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SEFA'!$B$1:$M$53</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33" i="8" l="1"/>
  <c r="J33" i="8"/>
  <c r="I34" i="8"/>
  <c r="J34" i="8"/>
  <c r="I31" i="8"/>
  <c r="L23" i="179"/>
  <c r="F35" i="179"/>
  <c r="L17" i="179"/>
  <c r="L16" i="179"/>
  <c r="L15" i="179"/>
  <c r="L14" i="179"/>
  <c r="L13" i="179"/>
  <c r="L33" i="179"/>
  <c r="L29" i="179"/>
  <c r="L28" i="179"/>
  <c r="L27" i="179"/>
  <c r="L26" i="179"/>
  <c r="L25" i="179"/>
  <c r="L24" i="179"/>
  <c r="L19" i="179"/>
  <c r="L18" i="179"/>
  <c r="L35" i="179"/>
  <c r="N21" i="3"/>
  <c r="F3" i="11"/>
  <c r="F5" i="11"/>
  <c r="F6" i="11"/>
  <c r="F8" i="11"/>
  <c r="F9" i="11"/>
  <c r="F10" i="11"/>
  <c r="F12" i="11"/>
  <c r="F13" i="11"/>
  <c r="F14" i="11"/>
  <c r="F15" i="11"/>
  <c r="F16" i="11"/>
  <c r="M40" i="3"/>
  <c r="C99" i="5"/>
  <c r="E349" i="29"/>
  <c r="D246" i="29"/>
  <c r="D276" i="29"/>
  <c r="D275" i="29"/>
  <c r="D268" i="29"/>
  <c r="D267" i="29"/>
  <c r="D266" i="29"/>
  <c r="D264" i="29"/>
  <c r="D259" i="29"/>
  <c r="D241" i="29"/>
  <c r="D240" i="29"/>
  <c r="D234" i="29"/>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c r="I34" i="182"/>
  <c r="H34" i="182"/>
  <c r="K34" i="182"/>
  <c r="D81" i="36"/>
  <c r="K356" i="29"/>
  <c r="K355" i="29"/>
  <c r="B7794" i="106"/>
  <c r="K354" i="29"/>
  <c r="H357" i="29"/>
  <c r="L334" i="29"/>
  <c r="K333" i="29"/>
  <c r="B7788" i="106"/>
  <c r="K332" i="29"/>
  <c r="B7786" i="106"/>
  <c r="H334" i="29"/>
  <c r="B7789" i="106"/>
  <c r="K282" i="29"/>
  <c r="B7784" i="106"/>
  <c r="H160" i="29"/>
  <c r="K159" i="29"/>
  <c r="K158" i="29"/>
  <c r="B7780" i="106"/>
  <c r="K157" i="29"/>
  <c r="B7778" i="106"/>
  <c r="B7795" i="106"/>
  <c r="K133" i="29"/>
  <c r="B7776" i="106"/>
  <c r="B7793" i="106"/>
  <c r="B7791" i="106"/>
  <c r="B7787" i="106"/>
  <c r="B7785" i="106"/>
  <c r="B7783" i="106"/>
  <c r="B7782" i="106"/>
  <c r="B7781" i="106"/>
  <c r="B7779" i="106"/>
  <c r="B7777" i="106"/>
  <c r="B7775" i="106"/>
  <c r="B7774" i="106"/>
  <c r="K334" i="29"/>
  <c r="F74" i="34"/>
  <c r="K357" i="29"/>
  <c r="B7792" i="106"/>
  <c r="K15" i="4"/>
  <c r="B7790" i="106"/>
  <c r="J15" i="4"/>
  <c r="B7796" i="106"/>
  <c r="L357" i="29"/>
  <c r="L285" i="29"/>
  <c r="D285" i="29"/>
  <c r="L160" i="29"/>
  <c r="K160" i="29"/>
  <c r="F60" i="34"/>
  <c r="L137" i="29"/>
  <c r="H137" i="29"/>
  <c r="E137" i="29"/>
  <c r="E139" i="29"/>
  <c r="E15" i="4"/>
  <c r="F139" i="181"/>
  <c r="G139" i="181"/>
  <c r="E139" i="181"/>
  <c r="F138" i="181"/>
  <c r="G138" i="181"/>
  <c r="E138" i="181"/>
  <c r="F137" i="181"/>
  <c r="G137" i="181"/>
  <c r="E137" i="181"/>
  <c r="F136" i="181"/>
  <c r="G136" i="181"/>
  <c r="E136" i="181"/>
  <c r="F135" i="181"/>
  <c r="G135" i="181"/>
  <c r="E135" i="181"/>
  <c r="F134" i="181"/>
  <c r="G134" i="181"/>
  <c r="E134" i="181"/>
  <c r="F133" i="181"/>
  <c r="G133" i="181"/>
  <c r="E133" i="181"/>
  <c r="E132" i="181"/>
  <c r="F132" i="181"/>
  <c r="G132" i="181"/>
  <c r="F131" i="181"/>
  <c r="G131" i="181"/>
  <c r="E131" i="181"/>
  <c r="F130" i="181"/>
  <c r="G130" i="181"/>
  <c r="E130" i="181"/>
  <c r="F129" i="181"/>
  <c r="G129" i="181"/>
  <c r="E129" i="181"/>
  <c r="F128" i="181"/>
  <c r="G128" i="181"/>
  <c r="E128" i="181"/>
  <c r="E127" i="181"/>
  <c r="F127" i="181"/>
  <c r="G127" i="181"/>
  <c r="F126" i="181"/>
  <c r="G126" i="181"/>
  <c r="E126" i="181"/>
  <c r="F125" i="181"/>
  <c r="G125" i="181"/>
  <c r="E125" i="181"/>
  <c r="F124" i="181"/>
  <c r="G124" i="181"/>
  <c r="E124" i="181"/>
  <c r="E123" i="181"/>
  <c r="F123" i="181"/>
  <c r="G123" i="181"/>
  <c r="F122" i="181"/>
  <c r="G122" i="181"/>
  <c r="E122" i="181"/>
  <c r="F121" i="181"/>
  <c r="G121" i="181"/>
  <c r="E121" i="181"/>
  <c r="F120" i="181"/>
  <c r="G120" i="181"/>
  <c r="E120" i="181"/>
  <c r="F119" i="181"/>
  <c r="G119" i="181"/>
  <c r="E119" i="181"/>
  <c r="F118" i="181"/>
  <c r="G118" i="181"/>
  <c r="E118" i="181"/>
  <c r="F117" i="181"/>
  <c r="G117" i="181"/>
  <c r="E117" i="181"/>
  <c r="F116" i="181"/>
  <c r="G116" i="181"/>
  <c r="E116" i="181"/>
  <c r="F115" i="181"/>
  <c r="G115" i="181"/>
  <c r="E115" i="181"/>
  <c r="E114" i="181"/>
  <c r="F114" i="181"/>
  <c r="G114" i="181"/>
  <c r="F113" i="181"/>
  <c r="G113" i="181"/>
  <c r="E113" i="181"/>
  <c r="F112" i="181"/>
  <c r="G112" i="181"/>
  <c r="E112" i="181"/>
  <c r="F111" i="181"/>
  <c r="G111" i="181"/>
  <c r="E111" i="181"/>
  <c r="E110" i="181"/>
  <c r="F110" i="181"/>
  <c r="G110" i="181"/>
  <c r="F109" i="181"/>
  <c r="G109" i="181"/>
  <c r="E109" i="181"/>
  <c r="F108" i="181"/>
  <c r="G108" i="181"/>
  <c r="E108" i="181"/>
  <c r="F107" i="181"/>
  <c r="G107" i="181"/>
  <c r="E107" i="181"/>
  <c r="F106" i="181"/>
  <c r="G106" i="181"/>
  <c r="E106" i="181"/>
  <c r="F105" i="181"/>
  <c r="G105" i="181"/>
  <c r="E105" i="181"/>
  <c r="F104" i="181"/>
  <c r="G104" i="181"/>
  <c r="E104" i="181"/>
  <c r="F99" i="181"/>
  <c r="G99" i="181"/>
  <c r="E99" i="181"/>
  <c r="F103" i="181"/>
  <c r="G103" i="181"/>
  <c r="E103" i="181"/>
  <c r="E102" i="181"/>
  <c r="F102" i="181"/>
  <c r="G102" i="181"/>
  <c r="F101" i="181"/>
  <c r="G101" i="181"/>
  <c r="E101" i="181"/>
  <c r="E100" i="181"/>
  <c r="F100" i="181"/>
  <c r="G100" i="181"/>
  <c r="F98" i="181"/>
  <c r="G98" i="181"/>
  <c r="E98" i="181"/>
  <c r="E97" i="181"/>
  <c r="F97" i="181"/>
  <c r="G97" i="181"/>
  <c r="F96" i="181"/>
  <c r="G96" i="181"/>
  <c r="E96" i="181"/>
  <c r="E95" i="181"/>
  <c r="F95" i="181"/>
  <c r="G95" i="181"/>
  <c r="F93" i="181"/>
  <c r="G93" i="181"/>
  <c r="E93" i="181"/>
  <c r="F92" i="181"/>
  <c r="G92" i="181"/>
  <c r="E92" i="181"/>
  <c r="E91" i="181"/>
  <c r="F91" i="181"/>
  <c r="G91" i="181"/>
  <c r="F90" i="181"/>
  <c r="G90" i="181"/>
  <c r="E90" i="181"/>
  <c r="F89" i="181"/>
  <c r="G89" i="181"/>
  <c r="E89" i="181"/>
  <c r="E88" i="181"/>
  <c r="F88" i="181"/>
  <c r="G88" i="181"/>
  <c r="F87" i="181"/>
  <c r="G87" i="181"/>
  <c r="E87" i="181"/>
  <c r="E86" i="181"/>
  <c r="F86" i="181"/>
  <c r="G86" i="181"/>
  <c r="F84" i="181"/>
  <c r="G84" i="181"/>
  <c r="E84" i="181"/>
  <c r="F83" i="181"/>
  <c r="G83" i="181"/>
  <c r="E83" i="181"/>
  <c r="F82" i="181"/>
  <c r="G82" i="181"/>
  <c r="E82" i="181"/>
  <c r="F81" i="181"/>
  <c r="G81" i="181"/>
  <c r="E81" i="181"/>
  <c r="F80" i="181"/>
  <c r="G80" i="181"/>
  <c r="E80" i="181"/>
  <c r="F79" i="181"/>
  <c r="G79" i="181"/>
  <c r="E79" i="181"/>
  <c r="F78" i="181"/>
  <c r="G78" i="181"/>
  <c r="E78" i="181"/>
  <c r="F77" i="181"/>
  <c r="G77" i="181"/>
  <c r="E77" i="181"/>
  <c r="F76" i="181"/>
  <c r="G76" i="181"/>
  <c r="E76" i="181"/>
  <c r="E75" i="181"/>
  <c r="F75" i="181"/>
  <c r="G75" i="181"/>
  <c r="F74" i="181"/>
  <c r="G74" i="181"/>
  <c r="E74" i="181"/>
  <c r="F73" i="181"/>
  <c r="G73" i="181"/>
  <c r="E73" i="181"/>
  <c r="F140" i="181"/>
  <c r="G140" i="181"/>
  <c r="E140" i="181"/>
  <c r="F94" i="181"/>
  <c r="G94" i="181"/>
  <c r="E94" i="181"/>
  <c r="F85" i="181"/>
  <c r="G85" i="181"/>
  <c r="E85" i="181"/>
  <c r="E72" i="181"/>
  <c r="F72" i="181"/>
  <c r="G72" i="181"/>
  <c r="F71" i="181"/>
  <c r="G71" i="181"/>
  <c r="E71" i="181"/>
  <c r="F70" i="181"/>
  <c r="G70" i="181"/>
  <c r="E70" i="181"/>
  <c r="F69" i="181"/>
  <c r="G69" i="181"/>
  <c r="E69" i="181"/>
  <c r="F68" i="181"/>
  <c r="G68" i="181"/>
  <c r="E68" i="181"/>
  <c r="F67" i="181"/>
  <c r="G67" i="181"/>
  <c r="E67" i="181"/>
  <c r="F66" i="181"/>
  <c r="G66" i="181"/>
  <c r="E66" i="181"/>
  <c r="E65" i="181"/>
  <c r="F65" i="181"/>
  <c r="G65" i="181"/>
  <c r="E64" i="181"/>
  <c r="F64" i="181"/>
  <c r="G64" i="181"/>
  <c r="F63" i="181"/>
  <c r="G63" i="181"/>
  <c r="E63" i="181"/>
  <c r="F62" i="181"/>
  <c r="G62" i="181"/>
  <c r="E62" i="181"/>
  <c r="F61" i="181"/>
  <c r="G61" i="181"/>
  <c r="E61" i="181"/>
  <c r="E60" i="181"/>
  <c r="F60" i="181"/>
  <c r="G60" i="181"/>
  <c r="F59" i="181"/>
  <c r="G59" i="181"/>
  <c r="E59" i="181"/>
  <c r="E58" i="181"/>
  <c r="F58" i="181"/>
  <c r="G58" i="181"/>
  <c r="F57" i="181"/>
  <c r="G57" i="181"/>
  <c r="E57" i="181"/>
  <c r="E56" i="181"/>
  <c r="F56" i="181"/>
  <c r="G56" i="181"/>
  <c r="F55" i="181"/>
  <c r="G55" i="181"/>
  <c r="E55" i="181"/>
  <c r="E54" i="181"/>
  <c r="F54" i="181"/>
  <c r="G54" i="181"/>
  <c r="F53" i="181"/>
  <c r="G53" i="181"/>
  <c r="E53" i="181"/>
  <c r="F52" i="181"/>
  <c r="G52" i="181"/>
  <c r="E52" i="181"/>
  <c r="F51" i="181"/>
  <c r="G51" i="181"/>
  <c r="E51" i="181"/>
  <c r="F50" i="181"/>
  <c r="G50" i="181"/>
  <c r="E50" i="181"/>
  <c r="F49" i="181"/>
  <c r="G49" i="181"/>
  <c r="E49" i="181"/>
  <c r="E48" i="181"/>
  <c r="F48" i="181"/>
  <c r="G48" i="181"/>
  <c r="F47" i="181"/>
  <c r="G47" i="181"/>
  <c r="E47" i="181"/>
  <c r="F46" i="181"/>
  <c r="G46" i="181"/>
  <c r="E46" i="181"/>
  <c r="F45" i="181"/>
  <c r="G45" i="181"/>
  <c r="E45" i="181"/>
  <c r="F44" i="181"/>
  <c r="G44" i="181"/>
  <c r="E44" i="181"/>
  <c r="E43" i="181"/>
  <c r="F43" i="181"/>
  <c r="G43" i="181"/>
  <c r="E42" i="181"/>
  <c r="F42" i="181"/>
  <c r="G42" i="181"/>
  <c r="F41" i="181"/>
  <c r="G41" i="181"/>
  <c r="E41" i="181"/>
  <c r="F40" i="181"/>
  <c r="G40" i="181"/>
  <c r="E40" i="181"/>
  <c r="F39" i="181"/>
  <c r="G39" i="181"/>
  <c r="E39" i="181"/>
  <c r="F38" i="181"/>
  <c r="G38" i="181"/>
  <c r="E38" i="181"/>
  <c r="F37" i="181"/>
  <c r="G37" i="181"/>
  <c r="E37" i="181"/>
  <c r="F36" i="181"/>
  <c r="G36" i="181"/>
  <c r="E36" i="181"/>
  <c r="F35" i="181"/>
  <c r="G35" i="181"/>
  <c r="E35" i="181"/>
  <c r="F34" i="181"/>
  <c r="G34" i="181"/>
  <c r="E34" i="181"/>
  <c r="E33" i="181"/>
  <c r="F33" i="181"/>
  <c r="G33" i="181"/>
  <c r="F32" i="181"/>
  <c r="G32" i="181"/>
  <c r="E32" i="181"/>
  <c r="E31" i="181"/>
  <c r="F31" i="181"/>
  <c r="G31" i="181"/>
  <c r="E30" i="181"/>
  <c r="F30" i="181"/>
  <c r="G30" i="181"/>
  <c r="E29" i="181"/>
  <c r="F29" i="181"/>
  <c r="G29" i="181"/>
  <c r="E28" i="181"/>
  <c r="F28" i="181"/>
  <c r="G28" i="181"/>
  <c r="E27" i="181"/>
  <c r="F27" i="181"/>
  <c r="G27" i="181"/>
  <c r="E26" i="181"/>
  <c r="F26" i="181"/>
  <c r="G26" i="181"/>
  <c r="E25" i="181"/>
  <c r="F25" i="181"/>
  <c r="G25" i="181"/>
  <c r="E24" i="181"/>
  <c r="F24" i="181"/>
  <c r="G24" i="181"/>
  <c r="E23" i="181"/>
  <c r="F23" i="181"/>
  <c r="G23" i="181"/>
  <c r="E22" i="181"/>
  <c r="F22" i="181"/>
  <c r="G22" i="181"/>
  <c r="E21" i="181"/>
  <c r="F21" i="181"/>
  <c r="G21" i="181"/>
  <c r="E20" i="181"/>
  <c r="F20" i="181"/>
  <c r="G20" i="181"/>
  <c r="E19" i="181"/>
  <c r="F19" i="181"/>
  <c r="G19" i="181"/>
  <c r="E18" i="181"/>
  <c r="F18" i="181"/>
  <c r="G18" i="181"/>
  <c r="D141" i="181"/>
  <c r="D80" i="36"/>
  <c r="B7797" i="106"/>
  <c r="E141" i="181"/>
  <c r="E17" i="181"/>
  <c r="E16" i="181"/>
  <c r="F16" i="181"/>
  <c r="G16" i="181"/>
  <c r="F17" i="181"/>
  <c r="G17" i="181"/>
  <c r="G141" i="181"/>
  <c r="G40" i="108"/>
  <c r="B7799" i="106"/>
  <c r="F141" i="181"/>
  <c r="B7798" i="106"/>
  <c r="E40" i="108"/>
  <c r="B4" i="179"/>
  <c r="D17" i="171"/>
  <c r="L22" i="179"/>
  <c r="L21" i="179"/>
  <c r="L20" i="179"/>
  <c r="L12" i="179"/>
  <c r="L11" i="179"/>
  <c r="D14" i="171"/>
  <c r="D12" i="171"/>
  <c r="A10" i="169"/>
  <c r="A16" i="169"/>
  <c r="A15" i="169"/>
  <c r="A14" i="169"/>
  <c r="K18" i="169"/>
  <c r="G18" i="169"/>
  <c r="G15" i="169"/>
  <c r="I13" i="169"/>
  <c r="G11" i="169"/>
  <c r="G10" i="169"/>
  <c r="G9" i="169"/>
  <c r="G7" i="169"/>
  <c r="E7" i="169"/>
  <c r="B2" i="179" s="1"/>
  <c r="A7" i="16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4"/>
  <c r="B2" i="177"/>
  <c r="A1" i="171"/>
  <c r="B1" i="179"/>
  <c r="B2" i="176"/>
  <c r="B1" i="175"/>
  <c r="B1" i="177"/>
  <c r="A1" i="170"/>
  <c r="A2" i="171"/>
  <c r="A1" i="173"/>
  <c r="B1" i="174"/>
  <c r="B1" i="176"/>
  <c r="B7773" i="106"/>
  <c r="B61" i="106"/>
  <c r="B52" i="106"/>
  <c r="B51" i="106"/>
  <c r="B49" i="106"/>
  <c r="B48" i="106"/>
  <c r="B47" i="106"/>
  <c r="B46" i="106"/>
  <c r="B45" i="106"/>
  <c r="B44" i="106"/>
  <c r="B43" i="106"/>
  <c r="B42" i="106"/>
  <c r="B41" i="106"/>
  <c r="B50" i="106"/>
  <c r="F163" i="34"/>
  <c r="B7769" i="106"/>
  <c r="B7768" i="106"/>
  <c r="B7766" i="106"/>
  <c r="B7765" i="106"/>
  <c r="B7764" i="106"/>
  <c r="J85" i="28"/>
  <c r="B7758" i="106"/>
  <c r="D7758" i="106"/>
  <c r="J88" i="28"/>
  <c r="K6" i="29"/>
  <c r="B7763" i="106"/>
  <c r="B7762" i="106"/>
  <c r="K12" i="12"/>
  <c r="K23" i="12"/>
  <c r="K24" i="12"/>
  <c r="B7733" i="106"/>
  <c r="J12" i="12"/>
  <c r="B7718" i="106"/>
  <c r="D7718" i="106"/>
  <c r="J21" i="12"/>
  <c r="J23" i="12"/>
  <c r="B7729" i="106"/>
  <c r="D7729" i="106"/>
  <c r="B7734" i="106"/>
  <c r="B7726" i="106"/>
  <c r="D76" i="36"/>
  <c r="F162" i="34"/>
  <c r="B30" i="36"/>
  <c r="B33" i="36"/>
  <c r="B43" i="36"/>
  <c r="B56" i="36"/>
  <c r="B66" i="36"/>
  <c r="B70" i="36"/>
  <c r="B74" i="36"/>
  <c r="D73" i="36"/>
  <c r="C191" i="5"/>
  <c r="C201" i="5"/>
  <c r="B5246" i="106"/>
  <c r="D5246" i="106"/>
  <c r="C211" i="5"/>
  <c r="C216" i="5"/>
  <c r="C224" i="5"/>
  <c r="C228" i="5"/>
  <c r="C259" i="5"/>
  <c r="B7761" i="106"/>
  <c r="L127" i="29"/>
  <c r="L129" i="29"/>
  <c r="L139" i="29"/>
  <c r="L149" i="29"/>
  <c r="I7" i="145"/>
  <c r="I6" i="145"/>
  <c r="D78" i="36"/>
  <c r="K75" i="29"/>
  <c r="C14" i="4"/>
  <c r="B2558" i="106"/>
  <c r="D2558" i="106"/>
  <c r="K130" i="29"/>
  <c r="F56" i="34"/>
  <c r="K185" i="29"/>
  <c r="B2836" i="106"/>
  <c r="D2836" i="106"/>
  <c r="K122" i="29"/>
  <c r="F15" i="145"/>
  <c r="F19" i="145"/>
  <c r="K67" i="29"/>
  <c r="K64" i="29"/>
  <c r="F31" i="108"/>
  <c r="K59" i="29"/>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H92" i="29"/>
  <c r="K92" i="29"/>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K60" i="29"/>
  <c r="K61" i="29"/>
  <c r="B1128" i="106"/>
  <c r="D1128" i="106"/>
  <c r="K62" i="29"/>
  <c r="B1129" i="106"/>
  <c r="D1129" i="106"/>
  <c r="K63" i="29"/>
  <c r="B1130" i="106"/>
  <c r="D1130" i="106"/>
  <c r="D1132" i="106"/>
  <c r="K68" i="29"/>
  <c r="G34" i="108"/>
  <c r="K69" i="29"/>
  <c r="B1136" i="106"/>
  <c r="D1136" i="106"/>
  <c r="K70" i="29"/>
  <c r="B1137" i="106"/>
  <c r="D1137" i="106"/>
  <c r="D1138" i="106"/>
  <c r="K71" i="29"/>
  <c r="B1139" i="106"/>
  <c r="D1139" i="106"/>
  <c r="D1140" i="106"/>
  <c r="K73" i="29"/>
  <c r="B1142" i="106"/>
  <c r="D1142" i="106"/>
  <c r="K78" i="29"/>
  <c r="K79" i="29"/>
  <c r="B2974" i="106"/>
  <c r="D2974" i="106"/>
  <c r="K80" i="29"/>
  <c r="B2975" i="106"/>
  <c r="D2975" i="106"/>
  <c r="K81" i="29"/>
  <c r="K82" i="29"/>
  <c r="K83" i="29"/>
  <c r="B2978" i="106"/>
  <c r="D2978" i="106"/>
  <c r="K93" i="29"/>
  <c r="K94" i="29"/>
  <c r="B6999" i="106"/>
  <c r="D6999" i="106"/>
  <c r="K95" i="29"/>
  <c r="K96" i="29"/>
  <c r="K97" i="29"/>
  <c r="K98" i="29"/>
  <c r="K99" i="29"/>
  <c r="K101" i="29"/>
  <c r="K105" i="29"/>
  <c r="K106" i="29"/>
  <c r="B1147" i="106"/>
  <c r="D1147" i="106"/>
  <c r="D1148" i="106"/>
  <c r="K109" i="29"/>
  <c r="B1149" i="106"/>
  <c r="D1149" i="106"/>
  <c r="D1150" i="106"/>
  <c r="K107" i="29"/>
  <c r="K108" i="29"/>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K124" i="29"/>
  <c r="B1276" i="106"/>
  <c r="D1276" i="106"/>
  <c r="K126" i="29"/>
  <c r="B1277" i="106"/>
  <c r="D1277" i="106"/>
  <c r="D1278" i="106"/>
  <c r="K125" i="29"/>
  <c r="K128" i="29"/>
  <c r="B1280" i="106"/>
  <c r="D1280" i="106"/>
  <c r="K120" i="29"/>
  <c r="B4080" i="106"/>
  <c r="D4080" i="106"/>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K166" i="29"/>
  <c r="B2819" i="106"/>
  <c r="D2819" i="106"/>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8" i="29"/>
  <c r="B3007" i="106"/>
  <c r="D3007" i="106"/>
  <c r="K189" i="29"/>
  <c r="B3008" i="106"/>
  <c r="D3008" i="106"/>
  <c r="K190" i="29"/>
  <c r="K191" i="29"/>
  <c r="K192" i="29"/>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K206" i="29"/>
  <c r="B4211" i="106"/>
  <c r="D4211" i="106"/>
  <c r="K207" i="29"/>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K219" i="29"/>
  <c r="B3065" i="106"/>
  <c r="D3065" i="106"/>
  <c r="K220" i="29"/>
  <c r="F69" i="34"/>
  <c r="K226" i="29"/>
  <c r="K228" i="29"/>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B2726" i="106"/>
  <c r="D2726" i="106"/>
  <c r="K248" i="29"/>
  <c r="B7082" i="106"/>
  <c r="D7082" i="106"/>
  <c r="K249" i="29"/>
  <c r="K250" i="29"/>
  <c r="K251" i="29"/>
  <c r="K252" i="29"/>
  <c r="K253" i="29"/>
  <c r="K254" i="29"/>
  <c r="K255" i="29"/>
  <c r="B7096" i="106"/>
  <c r="D7096" i="106"/>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B7107" i="106"/>
  <c r="D7107" i="106"/>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F11" i="8"/>
  <c r="H28" i="118"/>
  <c r="B1868" i="106"/>
  <c r="D1868" i="106"/>
  <c r="F12" i="8"/>
  <c r="B1869" i="106"/>
  <c r="D1869" i="106"/>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B2027" i="106"/>
  <c r="D2027" i="106"/>
  <c r="B2028" i="106"/>
  <c r="D2028" i="106"/>
  <c r="B2029" i="106"/>
  <c r="D2029" i="106"/>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c r="B2813" i="106"/>
  <c r="D2813" i="106"/>
  <c r="D2814" i="106"/>
  <c r="D2815" i="106"/>
  <c r="D2816" i="106"/>
  <c r="B2817" i="106"/>
  <c r="D2817" i="106"/>
  <c r="D2818"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6" i="106"/>
  <c r="D2976"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0" i="106"/>
  <c r="D3010"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B7239" i="106"/>
  <c r="D7239" i="106"/>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2"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H29" i="118"/>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6" i="106"/>
  <c r="D6286" i="106"/>
  <c r="B6287" i="106"/>
  <c r="D6287"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7" i="106"/>
  <c r="D6997" i="106"/>
  <c r="B6998" i="106"/>
  <c r="D6998"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K111" i="29"/>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8" i="106"/>
  <c r="D7068" i="106"/>
  <c r="B7069" i="106"/>
  <c r="D7069" i="106"/>
  <c r="B7070" i="106"/>
  <c r="D7070" i="106"/>
  <c r="I210" i="29"/>
  <c r="B7071" i="106"/>
  <c r="D7071" i="106"/>
  <c r="J210" i="29"/>
  <c r="B7072" i="106"/>
  <c r="D7072" i="106"/>
  <c r="B7073" i="106"/>
  <c r="D7073" i="106"/>
  <c r="B7074" i="106"/>
  <c r="D7074" i="106"/>
  <c r="B7075" i="106"/>
  <c r="D7075" i="106"/>
  <c r="B7076" i="106"/>
  <c r="D7076" i="106"/>
  <c r="B7077" i="106"/>
  <c r="D7077" i="106"/>
  <c r="B7079" i="106"/>
  <c r="D7079" i="106"/>
  <c r="B7080" i="106"/>
  <c r="D7080" i="106"/>
  <c r="B7081" i="106"/>
  <c r="D7081"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208" i="106"/>
  <c r="D7208" i="106"/>
  <c r="K337" i="29"/>
  <c r="B7209" i="106"/>
  <c r="D7209" i="106"/>
  <c r="B7210" i="106"/>
  <c r="D7210" i="106"/>
  <c r="K338" i="29"/>
  <c r="B7212" i="106"/>
  <c r="D7212" i="106"/>
  <c r="K339" i="29"/>
  <c r="B7213" i="106"/>
  <c r="D7213" i="106"/>
  <c r="H340" i="29"/>
  <c r="B7226" i="106"/>
  <c r="D7226" i="106"/>
  <c r="B7227" i="106"/>
  <c r="D7227" i="106"/>
  <c r="B7228" i="106"/>
  <c r="D7228" i="106"/>
  <c r="B7229" i="106"/>
  <c r="D7229" i="106"/>
  <c r="I350" i="29"/>
  <c r="J350" i="29"/>
  <c r="J352" i="29"/>
  <c r="B7232" i="106"/>
  <c r="D7232" i="106"/>
  <c r="B7233" i="106"/>
  <c r="D7233" i="106"/>
  <c r="B7236" i="106"/>
  <c r="D7236" i="106"/>
  <c r="B7237" i="106"/>
  <c r="D7237" i="106"/>
  <c r="B7238" i="106"/>
  <c r="D7238"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B7601" i="106"/>
  <c r="B7602" i="106"/>
  <c r="B7603" i="106"/>
  <c r="K6" i="11"/>
  <c r="B7604" i="106"/>
  <c r="B7606" i="106"/>
  <c r="B7607" i="106"/>
  <c r="B7608" i="106"/>
  <c r="B7609" i="106"/>
  <c r="B7610" i="106"/>
  <c r="B7611" i="106"/>
  <c r="B7612" i="106"/>
  <c r="K9" i="11"/>
  <c r="B7613" i="106"/>
  <c r="B7615" i="106"/>
  <c r="B7616" i="106"/>
  <c r="B7617" i="106"/>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9" i="106"/>
  <c r="D7719" i="106"/>
  <c r="B7720" i="106"/>
  <c r="D7720" i="106"/>
  <c r="B7721" i="106"/>
  <c r="D7721" i="106"/>
  <c r="B7722" i="106"/>
  <c r="D7722" i="106"/>
  <c r="B7723" i="106"/>
  <c r="D7723" i="106"/>
  <c r="B7724" i="106"/>
  <c r="D7724" i="106"/>
  <c r="B7725" i="106"/>
  <c r="D7725" i="106"/>
  <c r="D7726" i="106"/>
  <c r="B7728" i="106"/>
  <c r="D7728" i="106"/>
  <c r="B7731" i="106"/>
  <c r="D7731" i="106"/>
  <c r="D7733" i="106"/>
  <c r="D7734" i="106"/>
  <c r="B7735" i="106"/>
  <c r="D7735" i="106"/>
  <c r="B7736" i="106"/>
  <c r="D7736" i="106"/>
  <c r="B7737" i="106"/>
  <c r="D7737" i="106"/>
  <c r="B7738" i="106"/>
  <c r="D7738" i="106"/>
  <c r="K26" i="12"/>
  <c r="B7743" i="106"/>
  <c r="D7743"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7" i="108"/>
  <c r="G28" i="108"/>
  <c r="E31" i="108"/>
  <c r="G31" i="108"/>
  <c r="E33" i="108"/>
  <c r="G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F49" i="34"/>
  <c r="C50" i="34"/>
  <c r="D50" i="34"/>
  <c r="C51" i="34"/>
  <c r="D51" i="34"/>
  <c r="C52" i="34"/>
  <c r="C53" i="34"/>
  <c r="D53" i="34"/>
  <c r="C56" i="34"/>
  <c r="C57" i="34"/>
  <c r="D57" i="34"/>
  <c r="C61" i="34"/>
  <c r="C62" i="34"/>
  <c r="F62" i="34"/>
  <c r="C63" i="34"/>
  <c r="D63" i="34"/>
  <c r="C64" i="34"/>
  <c r="C67" i="34"/>
  <c r="D67" i="34"/>
  <c r="F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B7591" i="106"/>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B5066" i="106"/>
  <c r="D5066" i="106"/>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B5096" i="106"/>
  <c r="D5096" i="106"/>
  <c r="C82" i="5"/>
  <c r="B5102" i="106"/>
  <c r="D5102" i="106"/>
  <c r="D82" i="5"/>
  <c r="B5348" i="106"/>
  <c r="D5348" i="106"/>
  <c r="C93" i="5"/>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B5599" i="106"/>
  <c r="D5599" i="106"/>
  <c r="F131" i="5"/>
  <c r="B5614" i="106"/>
  <c r="D5614" i="106"/>
  <c r="F154" i="5"/>
  <c r="C154" i="5"/>
  <c r="D154" i="5"/>
  <c r="G154" i="5"/>
  <c r="F111" i="34"/>
  <c r="G121" i="5"/>
  <c r="B5748" i="106"/>
  <c r="D5748" i="106"/>
  <c r="H121" i="5"/>
  <c r="B5893" i="106"/>
  <c r="D5893" i="106"/>
  <c r="J121" i="5"/>
  <c r="B6357" i="106"/>
  <c r="D6357" i="106"/>
  <c r="K121" i="5"/>
  <c r="B6006" i="106"/>
  <c r="D6006" i="106"/>
  <c r="C131" i="5"/>
  <c r="B5147" i="106"/>
  <c r="D5147" i="106"/>
  <c r="D131" i="5"/>
  <c r="B5369" i="106"/>
  <c r="D5369" i="106"/>
  <c r="C140" i="5"/>
  <c r="B5161" i="106"/>
  <c r="D5161" i="106"/>
  <c r="D140" i="5"/>
  <c r="B5383" i="106"/>
  <c r="D5383" i="106"/>
  <c r="G140" i="5"/>
  <c r="G144" i="5"/>
  <c r="B5756" i="106"/>
  <c r="D5756" i="106"/>
  <c r="C144" i="5"/>
  <c r="B5165" i="106"/>
  <c r="D5165" i="106"/>
  <c r="B5178" i="106"/>
  <c r="D5178" i="106"/>
  <c r="B5394" i="106"/>
  <c r="D5394" i="106"/>
  <c r="E172" i="5"/>
  <c r="H172" i="5"/>
  <c r="B5899" i="106"/>
  <c r="D5899" i="106"/>
  <c r="I172" i="5"/>
  <c r="B4363" i="106"/>
  <c r="D4363" i="106"/>
  <c r="J172" i="5"/>
  <c r="B6396" i="106"/>
  <c r="D6396" i="106"/>
  <c r="K172" i="5"/>
  <c r="B5000" i="106"/>
  <c r="D5000" i="106"/>
  <c r="C178" i="5"/>
  <c r="B5225" i="106"/>
  <c r="D5225" i="106"/>
  <c r="D178" i="5"/>
  <c r="B5423" i="106"/>
  <c r="D5423" i="106"/>
  <c r="E178" i="5"/>
  <c r="B4372" i="106"/>
  <c r="D4372" i="106"/>
  <c r="F178" i="5"/>
  <c r="B5655" i="106"/>
  <c r="D5655" i="106"/>
  <c r="G178" i="5"/>
  <c r="B5780" i="106"/>
  <c r="D5780" i="106"/>
  <c r="H178" i="5"/>
  <c r="I178" i="5"/>
  <c r="I274" i="5"/>
  <c r="J178" i="5"/>
  <c r="B6400" i="106"/>
  <c r="D6400" i="106"/>
  <c r="K178" i="5"/>
  <c r="B4951" i="106"/>
  <c r="D4951" i="106"/>
  <c r="C184" i="5"/>
  <c r="B5232" i="106"/>
  <c r="D5232" i="106"/>
  <c r="D184" i="5"/>
  <c r="F184" i="5"/>
  <c r="G184" i="5"/>
  <c r="F127" i="34"/>
  <c r="B5658" i="106"/>
  <c r="D5658" i="106"/>
  <c r="B5784" i="106"/>
  <c r="D5784" i="106"/>
  <c r="H184" i="5"/>
  <c r="B5908" i="106"/>
  <c r="D5908" i="106"/>
  <c r="K184" i="5"/>
  <c r="B6016" i="106"/>
  <c r="D6016" i="106"/>
  <c r="B4395" i="106"/>
  <c r="D4395" i="106"/>
  <c r="D191" i="5"/>
  <c r="B4396" i="106"/>
  <c r="D4396" i="106"/>
  <c r="F191" i="5"/>
  <c r="G191" i="5"/>
  <c r="G201" i="5"/>
  <c r="B6409" i="106"/>
  <c r="D6409" i="106"/>
  <c r="B5260" i="106"/>
  <c r="D5260" i="106"/>
  <c r="D211" i="5"/>
  <c r="B5444" i="106"/>
  <c r="D5444" i="106"/>
  <c r="F211" i="5"/>
  <c r="B5677" i="106"/>
  <c r="D5677" i="106"/>
  <c r="G211" i="5"/>
  <c r="B5803" i="106"/>
  <c r="D5803" i="106"/>
  <c r="B4411" i="106"/>
  <c r="D4411" i="106"/>
  <c r="D216" i="5"/>
  <c r="B4412" i="106"/>
  <c r="D4412" i="106"/>
  <c r="F216" i="5"/>
  <c r="B4413" i="106"/>
  <c r="D4413" i="106"/>
  <c r="G216" i="5"/>
  <c r="B4414" i="106"/>
  <c r="D4414" i="106"/>
  <c r="B5286" i="106"/>
  <c r="D5286" i="106"/>
  <c r="D224" i="5"/>
  <c r="B5470" i="106"/>
  <c r="D5470" i="106"/>
  <c r="F224" i="5"/>
  <c r="B5703" i="106"/>
  <c r="D5703" i="106"/>
  <c r="G224" i="5"/>
  <c r="B5829" i="106"/>
  <c r="D5829" i="106"/>
  <c r="B5304" i="106"/>
  <c r="D5304" i="106"/>
  <c r="D228" i="5"/>
  <c r="B5488" i="106"/>
  <c r="D5488" i="106"/>
  <c r="G228" i="5"/>
  <c r="B5847" i="106"/>
  <c r="D5847" i="106"/>
  <c r="G259" i="5"/>
  <c r="B6837" i="106"/>
  <c r="D6837" i="106"/>
  <c r="B6833" i="106"/>
  <c r="D6833" i="106"/>
  <c r="D259" i="5"/>
  <c r="B6834" i="106"/>
  <c r="D6834" i="106"/>
  <c r="E259" i="5"/>
  <c r="F259" i="5"/>
  <c r="B6836" i="106"/>
  <c r="D6836" i="106"/>
  <c r="H259" i="5"/>
  <c r="H273" i="5"/>
  <c r="B4441" i="106"/>
  <c r="D4441" i="106"/>
  <c r="J259" i="5"/>
  <c r="J273" i="5"/>
  <c r="J274" i="5"/>
  <c r="B7054" i="106"/>
  <c r="D7054" i="106"/>
  <c r="K259" i="5"/>
  <c r="K273" i="5"/>
  <c r="B4442" i="106"/>
  <c r="D4442" i="106"/>
  <c r="D5" i="4"/>
  <c r="B3406" i="106"/>
  <c r="D3406" i="106"/>
  <c r="G5" i="4"/>
  <c r="B3409" i="106"/>
  <c r="D3409" i="106"/>
  <c r="G14" i="4"/>
  <c r="B2609" i="106"/>
  <c r="D2609" i="106"/>
  <c r="D14" i="4"/>
  <c r="B2570" i="106"/>
  <c r="D2570" i="106"/>
  <c r="F14" i="4"/>
  <c r="B2597" i="106"/>
  <c r="D2597" i="106"/>
  <c r="B2633" i="106"/>
  <c r="D2633" i="106"/>
  <c r="D7" i="118"/>
  <c r="D8" i="118"/>
  <c r="D9" i="118"/>
  <c r="H14" i="118"/>
  <c r="H19" i="118"/>
  <c r="H24" i="118"/>
  <c r="H33" i="118"/>
  <c r="D22" i="37"/>
  <c r="J22" i="37"/>
  <c r="L22" i="37"/>
  <c r="D24" i="37"/>
  <c r="B4270" i="106"/>
  <c r="D4270" i="106"/>
  <c r="D4" i="7"/>
  <c r="B1760" i="106"/>
  <c r="D1760" i="106"/>
  <c r="F131" i="34"/>
  <c r="F128" i="34"/>
  <c r="B5752" i="106"/>
  <c r="D5752" i="106"/>
  <c r="F106" i="34"/>
  <c r="D12" i="7"/>
  <c r="B1769" i="106"/>
  <c r="D1769" i="106"/>
  <c r="D11" i="7"/>
  <c r="B1768" i="106"/>
  <c r="D1768" i="106"/>
  <c r="K41" i="3"/>
  <c r="B3568" i="106"/>
  <c r="D3568" i="106"/>
  <c r="D17" i="7"/>
  <c r="B4104" i="106"/>
  <c r="D4104" i="106"/>
  <c r="D9" i="7"/>
  <c r="B1767" i="106"/>
  <c r="D1767" i="106"/>
  <c r="L342" i="29"/>
  <c r="J41" i="3"/>
  <c r="D37" i="108"/>
  <c r="F36" i="108"/>
  <c r="D36" i="108"/>
  <c r="D31" i="108"/>
  <c r="C109" i="5"/>
  <c r="B5121" i="106"/>
  <c r="D5121" i="106"/>
  <c r="F28" i="108"/>
  <c r="E28" i="108"/>
  <c r="D7" i="7"/>
  <c r="B1763" i="106"/>
  <c r="D1763" i="106"/>
  <c r="E29" i="108"/>
  <c r="K350" i="29"/>
  <c r="B3670" i="106"/>
  <c r="D3670" i="106"/>
  <c r="D52" i="36"/>
  <c r="B6848" i="106"/>
  <c r="D6848" i="106"/>
  <c r="F34" i="34"/>
  <c r="H109" i="5"/>
  <c r="F130" i="34"/>
  <c r="B5425" i="106"/>
  <c r="D5425" i="106"/>
  <c r="K274" i="5"/>
  <c r="G172" i="5"/>
  <c r="B4357" i="106"/>
  <c r="D4357" i="106"/>
  <c r="E15" i="145"/>
  <c r="G15" i="145"/>
  <c r="B1126" i="106"/>
  <c r="D1126" i="106"/>
  <c r="B1746" i="106"/>
  <c r="D1746" i="106"/>
  <c r="F136" i="34"/>
  <c r="B4373" i="106"/>
  <c r="D4373" i="106"/>
  <c r="I173" i="5"/>
  <c r="B4216" i="106"/>
  <c r="D4216" i="106"/>
  <c r="B5112" i="106"/>
  <c r="D5112" i="106"/>
  <c r="L312" i="29"/>
  <c r="B6889" i="106"/>
  <c r="D6889" i="106"/>
  <c r="F45" i="34"/>
  <c r="B6289" i="106"/>
  <c r="D6289" i="106"/>
  <c r="H44" i="4"/>
  <c r="C352" i="29"/>
  <c r="B3619" i="106"/>
  <c r="D3619" i="106"/>
  <c r="C129" i="29"/>
  <c r="B1225" i="106"/>
  <c r="D1225" i="106"/>
  <c r="B1223" i="106"/>
  <c r="D1223" i="106"/>
  <c r="E109" i="5"/>
  <c r="E4" i="4"/>
  <c r="B2630" i="106"/>
  <c r="D2630" i="106"/>
  <c r="D6103" i="106"/>
  <c r="J77" i="4"/>
  <c r="B6262" i="106"/>
  <c r="D6262" i="106"/>
  <c r="K76" i="4"/>
  <c r="B3586" i="106"/>
  <c r="D3586" i="106"/>
  <c r="F77" i="4"/>
  <c r="B3255" i="106"/>
  <c r="D3255" i="106"/>
  <c r="L15" i="11"/>
  <c r="B3459" i="106"/>
  <c r="D3459" i="106"/>
  <c r="F66" i="34"/>
  <c r="I342" i="29"/>
  <c r="B7222" i="106"/>
  <c r="D7222" i="106"/>
  <c r="J129" i="29"/>
  <c r="B7038" i="106"/>
  <c r="D7038" i="106"/>
  <c r="G39" i="108"/>
  <c r="B3647" i="106"/>
  <c r="D3647" i="106"/>
  <c r="J367" i="29"/>
  <c r="B7245" i="106"/>
  <c r="D7245" i="106"/>
  <c r="B7235" i="106"/>
  <c r="D7235" i="106"/>
  <c r="F50" i="34"/>
  <c r="E30" i="108"/>
  <c r="B2724" i="106"/>
  <c r="D2724" i="106"/>
  <c r="F70" i="34"/>
  <c r="G29" i="108"/>
  <c r="B7231" i="106"/>
  <c r="D7231" i="106"/>
  <c r="B7078" i="106"/>
  <c r="D7078" i="106"/>
  <c r="F52" i="34"/>
  <c r="B6995" i="106"/>
  <c r="D6995" i="106"/>
  <c r="H365" i="29"/>
  <c r="B7242" i="106"/>
  <c r="D7242" i="106"/>
  <c r="F42" i="34"/>
  <c r="F36" i="34"/>
  <c r="I129" i="29"/>
  <c r="B7037" i="106"/>
  <c r="D7037" i="106"/>
  <c r="H112" i="29"/>
  <c r="B7018" i="106"/>
  <c r="D7018" i="106"/>
  <c r="B1329" i="106"/>
  <c r="D1329" i="106"/>
  <c r="F61" i="34"/>
  <c r="G38" i="108"/>
  <c r="L367" i="29"/>
  <c r="F64" i="34"/>
  <c r="E38" i="108"/>
  <c r="G30" i="108"/>
  <c r="B1124" i="106"/>
  <c r="D1124" i="106"/>
  <c r="L5" i="11"/>
  <c r="B2056" i="106"/>
  <c r="D2056" i="106"/>
  <c r="L13" i="11"/>
  <c r="B2060" i="106"/>
  <c r="D2060" i="106"/>
  <c r="I24" i="12"/>
  <c r="N22" i="3"/>
  <c r="B283" i="106"/>
  <c r="D283" i="106"/>
  <c r="F21" i="8"/>
  <c r="F19" i="7"/>
  <c r="B1807" i="106"/>
  <c r="D1807" i="106"/>
  <c r="B3621" i="106"/>
  <c r="D3621" i="106"/>
  <c r="C367" i="29"/>
  <c r="B3649" i="106"/>
  <c r="D3649" i="106"/>
  <c r="G367" i="29"/>
  <c r="B1410" i="106"/>
  <c r="D1410" i="106"/>
  <c r="D15" i="7"/>
  <c r="B1772" i="106"/>
  <c r="D1772" i="106"/>
  <c r="D13" i="7"/>
  <c r="B3726" i="106"/>
  <c r="D3726" i="106"/>
  <c r="C342" i="29"/>
  <c r="B7216" i="106"/>
  <c r="D7216" i="106"/>
  <c r="K285" i="29"/>
  <c r="B3724" i="106"/>
  <c r="D3724" i="106"/>
  <c r="D5" i="7"/>
  <c r="B1761" i="106"/>
  <c r="D1761" i="106"/>
  <c r="H342" i="29"/>
  <c r="K184" i="29"/>
  <c r="F13" i="4"/>
  <c r="B2596" i="106"/>
  <c r="D2596" i="106"/>
  <c r="G210" i="29"/>
  <c r="E174" i="29"/>
  <c r="B1309" i="106"/>
  <c r="D1309" i="106"/>
  <c r="D109" i="5"/>
  <c r="K173" i="5"/>
  <c r="K6" i="4"/>
  <c r="B3570" i="106"/>
  <c r="D3570" i="106"/>
  <c r="H173" i="5"/>
  <c r="F172" i="5"/>
  <c r="B5644" i="106"/>
  <c r="D5644" i="106"/>
  <c r="C172" i="5"/>
  <c r="B5214" i="106"/>
  <c r="D5214" i="106"/>
  <c r="G109" i="5"/>
  <c r="B7041" i="106"/>
  <c r="D7041" i="106"/>
  <c r="H76" i="4"/>
  <c r="B3298" i="106"/>
  <c r="D3298" i="106"/>
  <c r="D54" i="36"/>
  <c r="K28" i="118"/>
  <c r="O27" i="118"/>
  <c r="O29" i="118"/>
  <c r="B4268" i="106"/>
  <c r="D4268" i="106"/>
  <c r="D31" i="36"/>
  <c r="D11" i="37"/>
  <c r="C41" i="3"/>
  <c r="B93" i="106"/>
  <c r="D93" i="106"/>
  <c r="H295" i="29"/>
  <c r="B1454" i="106"/>
  <c r="D1454" i="106"/>
  <c r="B4156" i="106"/>
  <c r="D4156" i="106"/>
  <c r="H172" i="29"/>
  <c r="H174" i="29"/>
  <c r="B1318" i="106"/>
  <c r="D1318" i="106"/>
  <c r="B2823" i="106"/>
  <c r="D2823" i="106"/>
  <c r="J90" i="28"/>
  <c r="H352" i="29"/>
  <c r="B3656" i="106"/>
  <c r="D3656" i="106"/>
  <c r="K168" i="29"/>
  <c r="K172" i="29"/>
  <c r="K174" i="29"/>
  <c r="F10" i="34"/>
  <c r="E102" i="29"/>
  <c r="B2790" i="106"/>
  <c r="D2790" i="106"/>
  <c r="J342" i="29"/>
  <c r="B7223" i="106"/>
  <c r="D7223" i="106"/>
  <c r="G342" i="29"/>
  <c r="B7220" i="106"/>
  <c r="D7220" i="106"/>
  <c r="K137" i="29"/>
  <c r="K84" i="29"/>
  <c r="B79" i="36"/>
  <c r="B77" i="36"/>
  <c r="F173" i="5"/>
  <c r="F6" i="4"/>
  <c r="B2593" i="106"/>
  <c r="D2593" i="106"/>
  <c r="D18" i="7"/>
  <c r="B4105" i="106"/>
  <c r="D4105" i="106"/>
  <c r="K7" i="4"/>
  <c r="B3718" i="106"/>
  <c r="D3718" i="106"/>
  <c r="F105" i="34"/>
  <c r="F107" i="34"/>
  <c r="F109" i="5"/>
  <c r="J109" i="5"/>
  <c r="J173" i="5"/>
  <c r="I6" i="4"/>
  <c r="B5011" i="106"/>
  <c r="D5011" i="106"/>
  <c r="F95" i="34"/>
  <c r="F129" i="34"/>
  <c r="D14" i="7"/>
  <c r="B1770" i="106"/>
  <c r="D1770" i="106"/>
  <c r="F5" i="4"/>
  <c r="B3408" i="106"/>
  <c r="D3408" i="106"/>
  <c r="C5" i="4"/>
  <c r="B3405" i="106"/>
  <c r="D3405" i="106"/>
  <c r="B6840" i="106"/>
  <c r="D6840" i="106"/>
  <c r="B6839" i="106"/>
  <c r="D6839" i="106"/>
  <c r="B6838" i="106"/>
  <c r="D6838" i="106"/>
  <c r="D172" i="5"/>
  <c r="B5412" i="106"/>
  <c r="D5412" i="106"/>
  <c r="B5618" i="106"/>
  <c r="D5618" i="106"/>
  <c r="K109" i="5"/>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B7215" i="106"/>
  <c r="D7215" i="106"/>
  <c r="B6893" i="106"/>
  <c r="D6893" i="106"/>
  <c r="F47" i="34"/>
  <c r="B6877" i="106"/>
  <c r="D6877" i="106"/>
  <c r="F39" i="34"/>
  <c r="B6216" i="106"/>
  <c r="D6216" i="106"/>
  <c r="D51" i="36"/>
  <c r="B3703" i="106"/>
  <c r="D3703" i="106"/>
  <c r="K362" i="29"/>
  <c r="B3676" i="106"/>
  <c r="D3676" i="106"/>
  <c r="B3650" i="106"/>
  <c r="D3650" i="106"/>
  <c r="D352" i="29"/>
  <c r="D367" i="29"/>
  <c r="B3629" i="106"/>
  <c r="D3629" i="106"/>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H151" i="29"/>
  <c r="B1273" i="106"/>
  <c r="D1273" i="106"/>
  <c r="B1239" i="106"/>
  <c r="D1239" i="106"/>
  <c r="E129" i="29"/>
  <c r="B1146" i="106"/>
  <c r="D1146" i="106"/>
  <c r="K110" i="29"/>
  <c r="B122" i="106"/>
  <c r="D122" i="106"/>
  <c r="D41" i="3"/>
  <c r="E17" i="145"/>
  <c r="G17" i="145"/>
  <c r="B1134" i="106"/>
  <c r="D1134" i="106"/>
  <c r="B7759" i="106"/>
  <c r="D7759" i="106"/>
  <c r="B1339" i="106"/>
  <c r="D1339" i="106"/>
  <c r="C210" i="29"/>
  <c r="B1340" i="106"/>
  <c r="D1340"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4435" i="106"/>
  <c r="D4435" i="106"/>
  <c r="I7" i="4"/>
  <c r="B4444" i="106"/>
  <c r="D4444" i="106"/>
  <c r="F273" i="5"/>
  <c r="B5713" i="106"/>
  <c r="D5713" i="106"/>
  <c r="B4397" i="106"/>
  <c r="D4397" i="106"/>
  <c r="B4950" i="106"/>
  <c r="D4950" i="106"/>
  <c r="H274" i="5"/>
  <c r="H7" i="4"/>
  <c r="B2657" i="106"/>
  <c r="D2657" i="106"/>
  <c r="L210" i="29"/>
  <c r="L102" i="29"/>
  <c r="B1121" i="106"/>
  <c r="D1121" i="106"/>
  <c r="K53" i="29"/>
  <c r="E12" i="145"/>
  <c r="B731" i="106"/>
  <c r="D731" i="106"/>
  <c r="C74" i="29"/>
  <c r="B755" i="106"/>
  <c r="D755" i="106"/>
  <c r="B1116" i="106"/>
  <c r="D1116" i="106"/>
  <c r="K47" i="29"/>
  <c r="F161" i="34"/>
  <c r="F41" i="108"/>
  <c r="G43" i="108"/>
  <c r="D41" i="108"/>
  <c r="E43" i="108"/>
  <c r="B7600" i="106"/>
  <c r="L6" i="11"/>
  <c r="B7605" i="106"/>
  <c r="A7250" i="106"/>
  <c r="A7251" i="106"/>
  <c r="A7252" i="106"/>
  <c r="A7253" i="106"/>
  <c r="A7254" i="106"/>
  <c r="A7255" i="106"/>
  <c r="A7256" i="106"/>
  <c r="A7257" i="106"/>
  <c r="D7249" i="106"/>
  <c r="B6022" i="106"/>
  <c r="D6022" i="106"/>
  <c r="D44" i="36"/>
  <c r="E273" i="5"/>
  <c r="B6835" i="106"/>
  <c r="D6835" i="106"/>
  <c r="G273" i="5"/>
  <c r="B4398" i="106"/>
  <c r="D4398" i="106"/>
  <c r="B5537" i="106"/>
  <c r="D5537" i="106"/>
  <c r="E173" i="5"/>
  <c r="I109" i="5"/>
  <c r="L279" i="29"/>
  <c r="L295" i="29"/>
  <c r="L74" i="29"/>
  <c r="K33" i="29"/>
  <c r="B720" i="106"/>
  <c r="D720" i="106"/>
  <c r="B7618" i="106"/>
  <c r="L14" i="11"/>
  <c r="B7623" i="106"/>
  <c r="D7252" i="106"/>
  <c r="D7250" i="106"/>
  <c r="B7230" i="106"/>
  <c r="D7230" i="106"/>
  <c r="I352" i="29"/>
  <c r="I367" i="29"/>
  <c r="J16" i="4"/>
  <c r="B6226" i="106"/>
  <c r="D6226" i="106"/>
  <c r="B7202" i="106"/>
  <c r="D7202" i="106"/>
  <c r="F342" i="29"/>
  <c r="B7219" i="106"/>
  <c r="D7219" i="106"/>
  <c r="B7503" i="106"/>
  <c r="B7531" i="106"/>
  <c r="D7253" i="106"/>
  <c r="D7251" i="106"/>
  <c r="B7214" i="106"/>
  <c r="D7214" i="106"/>
  <c r="B7221" i="106"/>
  <c r="D7221" i="106"/>
  <c r="B7201" i="106"/>
  <c r="D7201" i="106"/>
  <c r="E342" i="29"/>
  <c r="B7218" i="106"/>
  <c r="D7218" i="106"/>
  <c r="B6917" i="106"/>
  <c r="D6917" i="106"/>
  <c r="J74" i="29"/>
  <c r="D273" i="5"/>
  <c r="B5501" i="106"/>
  <c r="D5501" i="106"/>
  <c r="D7256" i="106"/>
  <c r="D7255" i="106"/>
  <c r="D7254" i="106"/>
  <c r="D7248" i="106"/>
  <c r="D7247" i="106"/>
  <c r="D7246" i="106"/>
  <c r="J312" i="29"/>
  <c r="B7117" i="106"/>
  <c r="D7117" i="106"/>
  <c r="I312" i="29"/>
  <c r="B7116" i="106"/>
  <c r="D7116" i="106"/>
  <c r="J151" i="29"/>
  <c r="B7052" i="106"/>
  <c r="D7052" i="106"/>
  <c r="B6916" i="106"/>
  <c r="D6916" i="106"/>
  <c r="I74" i="29"/>
  <c r="I49" i="8"/>
  <c r="B3633" i="106"/>
  <c r="D3633" i="106"/>
  <c r="E352" i="29"/>
  <c r="E367" i="29"/>
  <c r="B3628" i="106"/>
  <c r="D3628"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127" i="106"/>
  <c r="D1127" i="106"/>
  <c r="K65" i="29"/>
  <c r="B1133" i="106"/>
  <c r="D1133" i="106"/>
  <c r="B1123" i="106"/>
  <c r="D1123" i="106"/>
  <c r="K57" i="29"/>
  <c r="K365" i="29"/>
  <c r="B3640" i="106"/>
  <c r="D3640" i="106"/>
  <c r="F352" i="29"/>
  <c r="F367" i="29"/>
  <c r="B3622" i="106"/>
  <c r="D3622" i="106"/>
  <c r="K77" i="4"/>
  <c r="B3587" i="106"/>
  <c r="D3587" i="106"/>
  <c r="B3296" i="106"/>
  <c r="D3296"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2986" i="106"/>
  <c r="D2986" i="106"/>
  <c r="B1256" i="106"/>
  <c r="D1256" i="106"/>
  <c r="G129" i="29"/>
  <c r="K100" i="29"/>
  <c r="B7013" i="106"/>
  <c r="D7013" i="106"/>
  <c r="B2088" i="106"/>
  <c r="D2088"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66" i="106"/>
  <c r="D1266"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D82" i="36"/>
  <c r="L151" i="29"/>
  <c r="C273" i="5"/>
  <c r="J24" i="12"/>
  <c r="B7730" i="106"/>
  <c r="D7730" i="106"/>
  <c r="B5914" i="106"/>
  <c r="D5914" i="106"/>
  <c r="J7" i="4"/>
  <c r="B3447" i="106"/>
  <c r="D3447" i="106"/>
  <c r="B7270" i="106"/>
  <c r="C4" i="4"/>
  <c r="B2551" i="106"/>
  <c r="D2551" i="106"/>
  <c r="B5653" i="106"/>
  <c r="D5653" i="106"/>
  <c r="K352" i="29"/>
  <c r="K13" i="4"/>
  <c r="B3572" i="106"/>
  <c r="D3572" i="106"/>
  <c r="B5527" i="106"/>
  <c r="D5527" i="106"/>
  <c r="D274" i="5"/>
  <c r="B1381" i="106"/>
  <c r="D1381" i="106"/>
  <c r="C173" i="5"/>
  <c r="B5906" i="106"/>
  <c r="D5906" i="106"/>
  <c r="H6" i="4"/>
  <c r="B2656" i="106"/>
  <c r="D2656" i="106"/>
  <c r="G173" i="5"/>
  <c r="B5770" i="106"/>
  <c r="D5770" i="106"/>
  <c r="B6014" i="106"/>
  <c r="D6014" i="106"/>
  <c r="B5356" i="106"/>
  <c r="D5356" i="106"/>
  <c r="D4" i="4"/>
  <c r="B2564" i="106"/>
  <c r="D2564" i="106"/>
  <c r="B6024" i="106"/>
  <c r="D6024" i="106"/>
  <c r="G4" i="4"/>
  <c r="B2603" i="106"/>
  <c r="D2603" i="106"/>
  <c r="B6025" i="106"/>
  <c r="D6025" i="106"/>
  <c r="H4" i="4"/>
  <c r="B2655" i="106"/>
  <c r="D2655" i="106"/>
  <c r="F274" i="5"/>
  <c r="B5719" i="106"/>
  <c r="D5719" i="106"/>
  <c r="H275" i="5"/>
  <c r="B5915" i="106"/>
  <c r="D5915" i="106"/>
  <c r="B1317" i="106"/>
  <c r="D1317" i="106"/>
  <c r="I151" i="29"/>
  <c r="F59" i="34"/>
  <c r="F275" i="5"/>
  <c r="B5720" i="106"/>
  <c r="D5720" i="106"/>
  <c r="H77" i="4"/>
  <c r="B3299" i="106"/>
  <c r="D3299" i="106"/>
  <c r="B1365" i="106"/>
  <c r="D1365" i="106"/>
  <c r="F65" i="34"/>
  <c r="B3672" i="106"/>
  <c r="D3672" i="106"/>
  <c r="B1328" i="106"/>
  <c r="D1328" i="106"/>
  <c r="C114" i="29"/>
  <c r="B757" i="106"/>
  <c r="D757" i="106"/>
  <c r="F73" i="34"/>
  <c r="G15" i="4"/>
  <c r="B6032" i="106"/>
  <c r="D6032" i="106"/>
  <c r="L16" i="11"/>
  <c r="B2061" i="106"/>
  <c r="D2061" i="106"/>
  <c r="B1996" i="106"/>
  <c r="D1996" i="106"/>
  <c r="I26" i="12"/>
  <c r="B7741" i="106"/>
  <c r="D7741" i="106"/>
  <c r="N23" i="3"/>
  <c r="B284" i="106"/>
  <c r="D284" i="106"/>
  <c r="B1879" i="106"/>
  <c r="D1879" i="106"/>
  <c r="H22" i="37"/>
  <c r="D19" i="7"/>
  <c r="B1775" i="106"/>
  <c r="D1775" i="106"/>
  <c r="H367" i="29"/>
  <c r="B3660" i="106"/>
  <c r="D3660" i="106"/>
  <c r="K342" i="29"/>
  <c r="F13" i="34"/>
  <c r="L114" i="29"/>
  <c r="B7760" i="106"/>
  <c r="D7760" i="106"/>
  <c r="D24" i="36"/>
  <c r="F178" i="34"/>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D275"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C274"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I114" i="29"/>
  <c r="B7051" i="106"/>
  <c r="D7051" i="106"/>
  <c r="B6026" i="106"/>
  <c r="D6026" i="106"/>
  <c r="I4" i="4"/>
  <c r="I275" i="5"/>
  <c r="B5946" i="106"/>
  <c r="D5946" i="106"/>
  <c r="G274" i="5"/>
  <c r="B5863" i="106"/>
  <c r="D5863" i="106"/>
  <c r="B7747" i="106"/>
  <c r="D7747" i="106"/>
  <c r="E274"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B3636" i="106"/>
  <c r="D3636" i="106"/>
  <c r="B3635"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G22" i="108"/>
  <c r="B1119" i="106"/>
  <c r="D1119" i="106"/>
  <c r="E22" i="108"/>
  <c r="G12" i="145"/>
  <c r="G19" i="145"/>
  <c r="J20" i="145"/>
  <c r="E19" i="145"/>
  <c r="B6222" i="106"/>
  <c r="D6222" i="106"/>
  <c r="J8" i="4"/>
  <c r="D7" i="4"/>
  <c r="B5507" i="106"/>
  <c r="D5507" i="106"/>
  <c r="B7298" i="106"/>
  <c r="B7299" i="106"/>
  <c r="B7224" i="106"/>
  <c r="D7224" i="106"/>
  <c r="K367" i="29"/>
  <c r="B3678" i="106"/>
  <c r="D3678" i="106"/>
  <c r="B5778" i="106"/>
  <c r="D5778" i="106"/>
  <c r="G6" i="4"/>
  <c r="B2604" i="106"/>
  <c r="D2604" i="106"/>
  <c r="B5223" i="106"/>
  <c r="D5223" i="106"/>
  <c r="C6" i="4"/>
  <c r="B2553" i="106"/>
  <c r="D2553" i="106"/>
  <c r="F7" i="4"/>
  <c r="B2594" i="106"/>
  <c r="D2594" i="106"/>
  <c r="H8" i="4"/>
  <c r="B1145" i="106"/>
  <c r="D1145" i="106"/>
  <c r="G41" i="108"/>
  <c r="G44" i="108"/>
  <c r="G45" i="108"/>
  <c r="E41" i="108"/>
  <c r="E44" i="108"/>
  <c r="E45" i="108"/>
  <c r="F24" i="37"/>
  <c r="J17" i="4"/>
  <c r="J20" i="4"/>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75" i="5"/>
  <c r="K151" i="29"/>
  <c r="B1281" i="106"/>
  <c r="D1281" i="106"/>
  <c r="D13" i="4"/>
  <c r="B2634" i="106"/>
  <c r="D2634" i="106"/>
  <c r="E17" i="4"/>
  <c r="B1332" i="106"/>
  <c r="D1332" i="106"/>
  <c r="B1259" i="106"/>
  <c r="D1259" i="106"/>
  <c r="B989" i="106"/>
  <c r="D989" i="106"/>
  <c r="F54" i="34"/>
  <c r="C275" i="5"/>
  <c r="B5326" i="106"/>
  <c r="D5326" i="106"/>
  <c r="C7" i="4"/>
  <c r="H37" i="37"/>
  <c r="B285" i="106"/>
  <c r="D285" i="106"/>
  <c r="N37" i="3"/>
  <c r="B1510" i="106"/>
  <c r="D1510" i="106"/>
  <c r="K295" i="29"/>
  <c r="F12" i="34"/>
  <c r="G13" i="4"/>
  <c r="K17" i="4"/>
  <c r="B3574" i="106"/>
  <c r="D3574" i="106"/>
  <c r="B1282" i="106"/>
  <c r="D1282" i="106"/>
  <c r="D15" i="4"/>
  <c r="B2571" i="106"/>
  <c r="D2571" i="106"/>
  <c r="J19" i="4"/>
  <c r="B6229" i="106"/>
  <c r="D6229" i="106"/>
  <c r="B5869" i="106"/>
  <c r="D5869" i="106"/>
  <c r="G275"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J10" i="4"/>
  <c r="B6225" i="106"/>
  <c r="D6225" i="106"/>
  <c r="B6223" i="106"/>
  <c r="D6223" i="106"/>
  <c r="B5508" i="106"/>
  <c r="D5508" i="106"/>
  <c r="D8" i="4"/>
  <c r="B2567" i="106"/>
  <c r="D2567" i="106"/>
  <c r="F8" i="4"/>
  <c r="B6227" i="106"/>
  <c r="D6227" i="106"/>
  <c r="K368" i="29"/>
  <c r="B3681" i="106"/>
  <c r="D3681" i="106"/>
  <c r="F10" i="4"/>
  <c r="B4125" i="106"/>
  <c r="D4125" i="106"/>
  <c r="H10" i="4"/>
  <c r="B4127" i="106"/>
  <c r="D4127" i="106"/>
  <c r="B2658" i="106"/>
  <c r="D2658" i="106"/>
  <c r="F76" i="34"/>
  <c r="D10" i="171"/>
  <c r="D19" i="171"/>
  <c r="D32" i="171"/>
  <c r="D49" i="171"/>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D20"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H13" i="118"/>
  <c r="B5327" i="106"/>
  <c r="D5327" i="106"/>
  <c r="K115" i="29"/>
  <c r="B1153" i="106"/>
  <c r="D1153" i="106"/>
  <c r="B5552" i="106"/>
  <c r="D5552" i="106"/>
  <c r="K175" i="29"/>
  <c r="B1333" i="106"/>
  <c r="D1333" i="106"/>
  <c r="A7260" i="106"/>
  <c r="D7259" i="106"/>
  <c r="E8" i="4"/>
  <c r="B6230" i="106"/>
  <c r="D6230" i="106"/>
  <c r="J78" i="4"/>
  <c r="C8" i="146"/>
  <c r="D10" i="4"/>
  <c r="B4123" i="106"/>
  <c r="D4123" i="106"/>
  <c r="B2568" i="106"/>
  <c r="D2568" i="106"/>
  <c r="B2595" i="106"/>
  <c r="D2595" i="106"/>
  <c r="D8" i="146"/>
  <c r="F14" i="34"/>
  <c r="F77"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2574" i="106"/>
  <c r="D2574" i="106"/>
  <c r="F8" i="146"/>
  <c r="F179" i="34"/>
  <c r="F79" i="34"/>
  <c r="B3588" i="106"/>
  <c r="D3588" i="106"/>
  <c r="K81" i="4"/>
  <c r="F78" i="4"/>
  <c r="B2601" i="106"/>
  <c r="D2601" i="106"/>
  <c r="B3320" i="106"/>
  <c r="D3320" i="106"/>
  <c r="I81" i="4"/>
  <c r="K17" i="118"/>
  <c r="B3300" i="106"/>
  <c r="D3300" i="106"/>
  <c r="H81" i="4"/>
  <c r="B7631" i="106"/>
  <c r="F180"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F181" i="34"/>
  <c r="F183" i="34"/>
  <c r="B3278" i="106"/>
  <c r="D3278" i="106"/>
  <c r="E81" i="4"/>
  <c r="B3233" i="106"/>
  <c r="D3233" i="106"/>
  <c r="C81" i="4"/>
  <c r="A7263" i="106"/>
  <c r="D7262" i="106"/>
  <c r="B1700" i="106"/>
  <c r="D1700" i="106"/>
  <c r="H82" i="4"/>
  <c r="D62" i="36"/>
  <c r="O16"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11" i="118"/>
  <c r="O13" i="118"/>
  <c r="J20"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K20" i="118"/>
  <c r="O17" i="118"/>
  <c r="O20" i="118"/>
  <c r="O35" i="118"/>
  <c r="O37" i="118"/>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 i="175" l="1"/>
  <c r="A2" i="173"/>
  <c r="A2" i="170"/>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<sst xmlns="http://schemas.openxmlformats.org/spreadsheetml/2006/main" count="5185" uniqueCount="2167">
  <si>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</si>
  <si>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</si>
  <si>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</si>
  <si>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</si>
  <si>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</si>
  <si>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</si>
  <si>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</si>
  <si>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</si>
  <si>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</si>
  <si>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</si>
  <si>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</si>
  <si>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</si>
  <si>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</si>
  <si>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</si>
  <si>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</si>
  <si>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</si>
  <si>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</si>
  <si>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</si>
  <si>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</si>
  <si>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</si>
  <si>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</si>
  <si>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</si>
  <si>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</si>
  <si>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</si>
  <si>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</si>
  <si>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</si>
  <si>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</si>
  <si>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</si>
  <si>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</si>
  <si>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</si>
  <si>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</si>
  <si>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</si>
  <si>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</si>
  <si>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</si>
  <si>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</si>
  <si>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</si>
  <si>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</si>
  <si>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</si>
  <si>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</si>
  <si>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</si>
  <si>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</si>
  <si>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</si>
  <si>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</si>
  <si>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</si>
  <si>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</si>
  <si>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</si>
  <si>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</si>
  <si>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</si>
  <si>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</si>
  <si>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</si>
  <si>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</si>
  <si>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</si>
  <si>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</si>
  <si>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</si>
  <si>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</si>
  <si>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</si>
  <si>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</si>
  <si>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</si>
  <si>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</si>
  <si>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</si>
  <si>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</si>
  <si>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</si>
  <si>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</si>
  <si>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</si>
  <si>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</si>
  <si>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</si>
  <si>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</si>
  <si>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</si>
  <si>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</si>
  <si>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</si>
  <si>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</si>
  <si>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</si>
  <si>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</si>
  <si>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</si>
  <si>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</si>
  <si>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</si>
  <si>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</si>
  <si>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</si>
  <si>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</si>
  <si>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</si>
  <si>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</si>
  <si>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</si>
  <si>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</si>
  <si>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</si>
  <si>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</si>
  <si>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</si>
  <si>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</si>
  <si>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</si>
  <si>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</si>
  <si>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</si>
  <si>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</si>
  <si>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</si>
  <si>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</si>
  <si>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</si>
  <si>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</si>
  <si>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</si>
  <si>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</si>
  <si>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</si>
  <si>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</si>
  <si>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</si>
  <si>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</si>
  <si>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</si>
  <si>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</si>
  <si>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</si>
  <si>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</si>
  <si>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</si>
  <si>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</si>
  <si>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</si>
  <si>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</si>
  <si>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</si>
  <si>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</si>
  <si>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</si>
  <si>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</si>
  <si>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</si>
  <si>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</si>
  <si>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</si>
  <si>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</si>
  <si>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</si>
  <si>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</si>
  <si>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</si>
  <si>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</si>
  <si>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</si>
  <si>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</si>
  <si>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</si>
  <si>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</si>
  <si>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</si>
  <si>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</si>
  <si>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</si>
  <si>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</si>
  <si>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</si>
  <si>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</si>
  <si>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</si>
  <si>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</si>
  <si>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</si>
  <si>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</si>
  <si>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</si>
  <si>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</si>
  <si>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</si>
  <si>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</si>
  <si>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</si>
  <si>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</si>
  <si>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</si>
  <si>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</si>
  <si>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</si>
  <si>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</si>
  <si>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</si>
  <si>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</si>
  <si>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</si>
  <si>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</si>
  <si>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</si>
  <si>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</si>
  <si>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</si>
  <si>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</si>
  <si>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</si>
  <si>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</si>
  <si>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</si>
  <si>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</si>
  <si>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</si>
  <si>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</si>
  <si>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</si>
  <si>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</si>
  <si>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</si>
  <si>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</si>
  <si>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</si>
  <si>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</si>
  <si>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</si>
  <si>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</si>
  <si>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</si>
  <si>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</si>
  <si>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</si>
  <si>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</si>
  <si>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</si>
  <si>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</si>
  <si>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</si>
  <si>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</si>
  <si>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</si>
  <si>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</si>
  <si>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</si>
  <si>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</si>
  <si>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</si>
  <si>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</si>
  <si>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</si>
  <si>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</si>
  <si>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</si>
  <si>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</si>
  <si>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</si>
  <si>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</si>
  <si>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</si>
  <si>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</si>
  <si>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</si>
  <si>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</si>
  <si>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</si>
  <si>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</si>
  <si>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</si>
  <si>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</si>
  <si>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</si>
  <si>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</si>
  <si>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</si>
  <si>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</si>
  <si>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</si>
  <si>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</si>
  <si>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</si>
  <si>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</si>
  <si>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</si>
  <si>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</si>
  <si>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</si>
  <si>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</si>
  <si>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</si>
  <si>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</si>
  <si>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</si>
  <si>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</si>
  <si>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</si>
  <si>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</si>
  <si>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</si>
  <si>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</si>
  <si>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</si>
  <si>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</si>
  <si>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</si>
  <si>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</si>
  <si>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</si>
  <si>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</si>
  <si>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</si>
  <si>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</si>
  <si>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</si>
  <si>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</si>
  <si>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</si>
  <si>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</si>
  <si>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</si>
  <si>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</si>
  <si>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</si>
  <si>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</si>
  <si>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</si>
  <si>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</si>
  <si>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</si>
  <si>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</si>
  <si>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</si>
  <si>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</si>
  <si>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</si>
  <si>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</si>
  <si>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</si>
  <si>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</si>
  <si>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</si>
  <si>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</si>
  <si>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</si>
  <si>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</si>
  <si>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</si>
  <si>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</si>
  <si>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</si>
  <si>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</si>
  <si>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</si>
  <si>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</si>
  <si>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</si>
  <si>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</si>
  <si>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</si>
  <si>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</si>
  <si>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</si>
  <si>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</si>
  <si>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</si>
  <si>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</si>
  <si>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</si>
  <si>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</si>
  <si>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</si>
  <si>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</si>
  <si>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</si>
  <si>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</si>
  <si>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</si>
  <si>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</si>
  <si>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</si>
  <si>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</si>
  <si>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</si>
  <si>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</si>
  <si>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</si>
  <si>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</si>
  <si>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</si>
  <si>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</si>
  <si>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</si>
  <si>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</si>
  <si>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</si>
  <si>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</si>
  <si>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</si>
  <si>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</si>
  <si>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</si>
  <si>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</si>
  <si>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</si>
  <si>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</si>
  <si>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</si>
  <si>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</si>
  <si>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</si>
  <si>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</si>
  <si>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</si>
  <si>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</si>
  <si>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</si>
  <si>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</si>
  <si>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</si>
  <si>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</si>
  <si>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</si>
  <si>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</si>
  <si>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</si>
  <si>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</si>
  <si>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</si>
  <si>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</si>
  <si>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</si>
  <si>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</si>
  <si>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</si>
  <si>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</si>
  <si>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</si>
  <si>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</si>
  <si>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</si>
  <si>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</si>
  <si>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</si>
  <si>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</si>
  <si>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</si>
  <si>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</si>
  <si>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</si>
  <si>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</si>
  <si>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</si>
  <si>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</si>
  <si>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</si>
  <si>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</si>
  <si>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</si>
  <si>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</si>
  <si>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</si>
  <si>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</si>
  <si>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</si>
  <si>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</si>
  <si>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</si>
  <si>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</si>
  <si>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</si>
  <si>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</si>
  <si>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</si>
  <si>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</si>
  <si>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</si>
  <si>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</si>
  <si>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</si>
  <si>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</si>
  <si>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</si>
  <si>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</si>
  <si>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</si>
  <si>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</si>
  <si>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</si>
  <si>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</si>
  <si>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</si>
  <si>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</si>
  <si>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</si>
  <si>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</si>
  <si>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</si>
  <si>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</si>
  <si>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</si>
  <si>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</si>
  <si>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</si>
  <si>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</si>
  <si>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</si>
  <si>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</si>
  <si>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</si>
  <si>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</si>
  <si>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</si>
  <si>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</si>
  <si>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</si>
  <si>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</si>
  <si>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</si>
  <si>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</si>
  <si>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</si>
  <si>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</si>
  <si>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</si>
  <si>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</si>
  <si>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</si>
  <si>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</si>
  <si>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</si>
  <si>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</si>
  <si>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</si>
  <si>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</si>
  <si>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</si>
  <si>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</si>
  <si>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</si>
  <si>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</si>
  <si>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</si>
  <si>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</si>
  <si>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</si>
  <si>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</si>
  <si>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</si>
  <si>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</si>
  <si>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</si>
  <si>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</si>
  <si>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</si>
  <si>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</si>
  <si>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</si>
  <si>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</si>
  <si>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</si>
  <si>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</si>
  <si>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</si>
  <si>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</si>
  <si>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</si>
  <si>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</si>
  <si>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</si>
  <si>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</si>
  <si>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</si>
  <si>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</si>
  <si>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</si>
  <si>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</si>
  <si>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</si>
  <si>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</si>
  <si>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</si>
  <si>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</si>
  <si>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</si>
  <si>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</si>
  <si>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</si>
  <si>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</si>
  <si>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</si>
  <si>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</si>
  <si>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</si>
  <si>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</si>
  <si>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</si>
  <si>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</si>
  <si>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</si>
  <si>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</si>
  <si>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</si>
  <si>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</si>
  <si>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</si>
  <si>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</si>
  <si>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</si>
  <si>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</si>
  <si>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</si>
  <si>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</si>
  <si>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</si>
  <si>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</si>
  <si>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</si>
  <si>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</si>
  <si>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</si>
  <si>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</si>
  <si>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</si>
  <si>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</si>
  <si>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</si>
  <si>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</si>
  <si>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</si>
  <si>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</si>
  <si>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</si>
  <si>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</si>
  <si>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</si>
  <si>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</si>
  <si>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</si>
  <si>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</si>
  <si>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</si>
  <si>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</si>
  <si>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</si>
  <si>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</si>
  <si>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</si>
  <si>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</si>
  <si>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</si>
  <si>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</si>
  <si>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</si>
  <si>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</si>
  <si>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</si>
  <si>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</si>
  <si>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</si>
  <si>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</si>
  <si>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</si>
  <si>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</si>
  <si>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</si>
  <si>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</si>
  <si>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</si>
  <si>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</si>
  <si>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</si>
  <si>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</si>
  <si>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</si>
  <si>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</si>
  <si>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</si>
  <si>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</si>
  <si>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</si>
  <si>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</si>
  <si>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</si>
  <si>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</si>
  <si>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</si>
  <si>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</si>
  <si>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</si>
  <si>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</si>
  <si>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</si>
  <si>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</si>
  <si>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</si>
  <si>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</si>
  <si>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</si>
  <si>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</si>
  <si>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</si>
  <si>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</si>
  <si>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</si>
  <si>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</si>
  <si>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</si>
  <si>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</si>
  <si>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</si>
  <si>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</si>
  <si>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</si>
  <si>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</si>
  <si>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</si>
  <si>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</si>
  <si>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</si>
  <si>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</si>
  <si>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</si>
  <si>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</si>
  <si>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</si>
  <si>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</si>
  <si>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</si>
  <si>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</si>
  <si>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</si>
  <si>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</si>
  <si>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</si>
  <si>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</si>
  <si>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</si>
  <si>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</si>
  <si>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</si>
  <si>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</si>
  <si>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</si>
  <si>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</si>
  <si>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</si>
  <si>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</si>
  <si>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</si>
  <si>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</si>
  <si>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</si>
  <si>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</si>
  <si>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</si>
  <si>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</si>
  <si>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</si>
  <si>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</si>
  <si>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</si>
  <si>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</si>
  <si>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</si>
  <si>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</si>
  <si>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</si>
  <si>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</si>
  <si>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</si>
  <si>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</si>
  <si>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</si>
  <si>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</si>
  <si>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</si>
  <si>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</si>
  <si>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</si>
  <si>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</si>
  <si>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</si>
  <si>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</si>
  <si>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</si>
  <si>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</si>
  <si>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</si>
  <si>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</si>
  <si>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</si>
  <si>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</si>
  <si>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</si>
  <si>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</si>
  <si>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</si>
  <si>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</si>
  <si>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</si>
  <si>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</si>
  <si>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</si>
  <si>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</si>
  <si>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</si>
  <si>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</si>
  <si>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</si>
  <si>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</si>
  <si>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</si>
  <si>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</si>
  <si>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</si>
  <si>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</si>
  <si>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</si>
  <si>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</si>
  <si>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</si>
  <si>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</si>
  <si>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</si>
  <si>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</si>
  <si>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</si>
  <si>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</si>
  <si>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</si>
  <si>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</si>
  <si>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</si>
  <si>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</si>
  <si>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</si>
  <si>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</si>
  <si>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</si>
  <si>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</si>
  <si>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</si>
  <si>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</si>
  <si>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</si>
  <si>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</si>
  <si>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</si>
  <si>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</si>
  <si>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</si>
  <si>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</si>
  <si>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</si>
  <si>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</si>
  <si>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</si>
  <si>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</si>
  <si>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</si>
  <si>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</si>
  <si>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</si>
  <si>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</si>
  <si>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</si>
  <si>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</si>
  <si>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</si>
  <si>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</si>
  <si>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</si>
  <si>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</si>
  <si>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</si>
  <si>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</si>
  <si>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</si>
  <si>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</si>
  <si>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</si>
  <si>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</si>
  <si>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</si>
  <si>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</si>
  <si>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</si>
  <si>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</si>
  <si>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</si>
  <si>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</si>
  <si>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</si>
  <si>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</si>
  <si>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</si>
  <si>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</si>
  <si>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</si>
  <si>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</si>
  <si>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</si>
  <si>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</si>
  <si>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</si>
  <si>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</si>
  <si>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</si>
  <si>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</si>
  <si>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</si>
  <si>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</si>
  <si>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</si>
  <si>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</si>
  <si>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</si>
  <si>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</si>
  <si>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</si>
  <si>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</si>
  <si>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</si>
  <si>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</si>
  <si>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</si>
  <si>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</si>
  <si>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</si>
  <si>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</si>
  <si>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</si>
  <si>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</si>
  <si>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</si>
  <si>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</si>
  <si>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</si>
  <si>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</si>
  <si>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</si>
  <si>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</si>
  <si>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</si>
  <si>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</si>
  <si>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</si>
  <si>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</si>
  <si>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</si>
  <si>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</si>
  <si>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</si>
  <si>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</si>
  <si>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</si>
  <si>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</si>
  <si>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</si>
  <si>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</si>
  <si>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</si>
  <si>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</si>
  <si>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</si>
  <si>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</si>
  <si>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</si>
  <si>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</si>
  <si>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</si>
  <si>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</si>
  <si>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</si>
  <si>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</si>
  <si>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</si>
  <si>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</si>
  <si>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</si>
  <si>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</si>
  <si>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</si>
  <si>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</si>
  <si>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</si>
  <si>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</si>
  <si>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</si>
  <si>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</si>
  <si>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</si>
  <si>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</si>
  <si>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</si>
  <si>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</si>
  <si>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</si>
  <si>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</si>
  <si>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</si>
  <si>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</si>
  <si>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</si>
  <si>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</si>
  <si>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</si>
  <si>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</si>
  <si>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</si>
  <si>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</si>
  <si>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</si>
  <si>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</si>
  <si>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</si>
  <si>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</si>
  <si>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</si>
  <si>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</si>
  <si>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</si>
  <si>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</si>
  <si>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</si>
  <si>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</si>
  <si>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</si>
  <si>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</si>
  <si>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</si>
  <si>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</si>
  <si>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</si>
  <si>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</si>
  <si>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</si>
  <si>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</si>
  <si>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</si>
  <si>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</si>
  <si>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</si>
  <si>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</si>
  <si>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</si>
  <si>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</si>
  <si>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</si>
  <si>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</si>
  <si>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</si>
  <si>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</si>
  <si>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</si>
  <si>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</si>
  <si>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</si>
  <si>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</si>
  <si>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</si>
  <si>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</si>
  <si>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</si>
  <si>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</si>
  <si>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</si>
  <si>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</si>
  <si>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</si>
  <si>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</si>
  <si>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</si>
  <si>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</si>
  <si>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</si>
  <si>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</si>
  <si>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</si>
  <si>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</si>
  <si>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</si>
  <si>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</si>
  <si>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</si>
  <si>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</si>
  <si>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</si>
  <si>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</si>
  <si>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</si>
  <si>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</si>
  <si>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</si>
  <si>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</si>
  <si>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</si>
  <si>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</si>
  <si>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</si>
  <si>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</si>
  <si>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</si>
  <si>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</si>
  <si>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</si>
  <si>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</si>
  <si>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</si>
  <si>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</si>
  <si>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</si>
  <si>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</si>
  <si>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</si>
  <si>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</si>
  <si>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</si>
  <si>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</si>
  <si>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</si>
  <si>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</si>
  <si>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</si>
  <si>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</si>
  <si>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</si>
  <si>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</si>
  <si>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</si>
  <si>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</si>
  <si>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</si>
  <si>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</si>
  <si>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</si>
  <si>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</si>
  <si>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</si>
  <si>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</si>
  <si>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</si>
  <si>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</si>
  <si>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</si>
  <si>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</si>
  <si>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</si>
  <si>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</si>
  <si>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</si>
  <si>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</si>
  <si>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</si>
  <si>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</si>
  <si>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</si>
  <si>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</si>
  <si>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</si>
  <si>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</si>
  <si>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</si>
  <si>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</si>
  <si>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</si>
  <si>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</si>
  <si>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</si>
  <si>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</si>
  <si>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</si>
  <si>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</si>
  <si>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</si>
  <si>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</si>
  <si>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</si>
  <si>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</si>
  <si>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</si>
  <si>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</si>
  <si>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</si>
  <si>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</si>
  <si>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</si>
  <si>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</si>
  <si>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</si>
  <si>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</si>
  <si>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</si>
  <si>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</si>
  <si>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</si>
  <si>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</si>
  <si>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</si>
  <si>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</si>
  <si>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</si>
  <si>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</si>
  <si>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</si>
  <si>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</si>
  <si>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</si>
  <si>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</si>
  <si>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</si>
  <si>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</si>
  <si>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</si>
  <si>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</si>
  <si>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</si>
  <si>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</si>
  <si>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</si>
  <si>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</si>
  <si>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</si>
  <si>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</si>
  <si>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</si>
  <si>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</si>
  <si>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</si>
  <si>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</si>
  <si>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</si>
  <si>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</si>
  <si>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</si>
  <si>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</si>
  <si>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</si>
  <si>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</si>
  <si>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</si>
  <si>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</si>
  <si>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</si>
  <si>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</si>
  <si>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</si>
  <si>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</si>
  <si>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</si>
  <si>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</si>
  <si>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</si>
  <si>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</si>
  <si>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</si>
  <si>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</si>
  <si>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</si>
  <si>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</si>
  <si>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</si>
  <si>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</si>
  <si>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</si>
  <si>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</si>
  <si>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</si>
  <si>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</si>
  <si>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</si>
  <si>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</si>
  <si>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</si>
  <si>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</si>
  <si>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</si>
  <si>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</si>
  <si>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</si>
  <si>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</si>
  <si>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</si>
  <si>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</si>
  <si>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</si>
  <si>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</si>
  <si>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</si>
  <si>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</si>
  <si>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</si>
  <si>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</si>
  <si>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</si>
  <si>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</si>
  <si>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</si>
  <si>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</si>
  <si>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</si>
  <si>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</si>
  <si>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</si>
  <si>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</si>
  <si>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</si>
  <si>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</si>
  <si>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</si>
  <si>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</si>
  <si>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</si>
  <si>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</si>
  <si>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</si>
  <si>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</si>
  <si>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</si>
  <si>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</si>
  <si>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</si>
  <si>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</si>
  <si>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</si>
  <si>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</si>
  <si>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</si>
  <si>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</si>
  <si>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</si>
  <si>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</si>
  <si>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</si>
  <si>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</si>
  <si>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</si>
  <si>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</si>
  <si>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</si>
  <si>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</si>
  <si>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</si>
  <si>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</si>
  <si>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</si>
  <si>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</si>
  <si>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</si>
  <si>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</si>
  <si>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</si>
  <si>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</si>
  <si>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</si>
  <si>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</si>
  <si>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</si>
  <si>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</si>
  <si>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</si>
  <si>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</si>
  <si>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</si>
  <si>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</si>
  <si>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</si>
  <si>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</si>
  <si>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</si>
  <si>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</si>
  <si>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</si>
  <si>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</si>
  <si>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</si>
  <si>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</si>
  <si>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</si>
  <si>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</si>
  <si>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</si>
  <si>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</si>
  <si>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</si>
  <si>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</si>
  <si>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</si>
  <si>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</si>
  <si>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</si>
  <si>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</si>
  <si>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</si>
  <si>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</si>
  <si>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</si>
  <si>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</si>
  <si>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</si>
  <si>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</si>
  <si>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</si>
  <si>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</si>
  <si>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</si>
  <si>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</si>
  <si>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</si>
  <si>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</si>
  <si>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</si>
  <si>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</si>
  <si>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</si>
  <si>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</si>
  <si>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</si>
  <si>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</si>
  <si>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</si>
  <si>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</si>
  <si>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</si>
  <si>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</si>
  <si>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</si>
  <si>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</si>
  <si>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</si>
  <si>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</si>
  <si>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</si>
  <si>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</si>
  <si>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</si>
  <si>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</si>
  <si>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</si>
  <si>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</si>
  <si>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</si>
  <si>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</si>
  <si>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</si>
  <si>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</si>
  <si>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</si>
  <si>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</si>
  <si>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</si>
  <si>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</si>
  <si>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</si>
  <si>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</si>
  <si>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</si>
  <si>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</si>
  <si>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</si>
  <si>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</si>
  <si>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</si>
  <si>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</si>
  <si>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</si>
  <si>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</si>
  <si>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</si>
  <si>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</si>
  <si>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</si>
  <si>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</si>
  <si>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</si>
  <si>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</si>
  <si>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</si>
  <si>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</si>
  <si>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</si>
  <si>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</si>
  <si>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</si>
  <si>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</si>
  <si>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</si>
  <si>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</si>
  <si>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</si>
  <si>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</si>
  <si>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</si>
  <si>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</si>
  <si>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</si>
  <si>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</si>
  <si>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</si>
  <si>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</si>
  <si>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</si>
  <si>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</si>
  <si>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</si>
  <si>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</si>
  <si>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</si>
  <si>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</si>
  <si>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</si>
  <si>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</si>
  <si>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</si>
  <si>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</si>
  <si>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</si>
  <si>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</si>
  <si>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</si>
  <si>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</si>
  <si>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</si>
  <si>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</si>
  <si>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</si>
  <si>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</si>
  <si>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</si>
  <si>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</si>
  <si>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</si>
  <si>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</si>
  <si>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</si>
  <si>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</si>
  <si>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</si>
  <si>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</si>
  <si>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</si>
  <si>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</si>
  <si>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</si>
  <si>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</si>
  <si>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</si>
  <si>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</si>
  <si>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</si>
  <si>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</si>
  <si>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</si>
  <si>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</si>
  <si>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</si>
  <si>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</si>
  <si>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</si>
  <si>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</si>
  <si>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</si>
  <si>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</si>
  <si>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</si>
  <si>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</si>
  <si>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</si>
  <si>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</si>
  <si>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</si>
  <si>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</si>
  <si>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</si>
  <si>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</si>
  <si>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</si>
  <si>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</si>
  <si>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</si>
  <si>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</si>
  <si>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</si>
  <si>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</si>
  <si>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</si>
  <si>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</si>
  <si>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</si>
  <si>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</si>
  <si>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</si>
  <si>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</si>
  <si>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</si>
  <si>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</si>
  <si>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</si>
  <si>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</si>
  <si>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</si>
  <si>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</si>
  <si>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</si>
  <si>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</si>
  <si>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</si>
  <si>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</si>
  <si>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</si>
  <si>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</si>
  <si>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</si>
  <si>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</si>
  <si>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</si>
  <si>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</si>
  <si>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</si>
  <si>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</si>
  <si>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</si>
  <si>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</si>
  <si>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</si>
  <si>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</si>
  <si>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</si>
  <si>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</si>
  <si>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</si>
  <si>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</si>
  <si>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</si>
  <si>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</si>
  <si>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</si>
  <si>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</si>
  <si>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</si>
  <si>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</si>
  <si>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</si>
  <si>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</si>
  <si>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</si>
  <si>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</si>
  <si>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</si>
  <si>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</si>
  <si>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</si>
  <si>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</si>
  <si>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</si>
  <si>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</si>
  <si>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</si>
  <si>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</si>
  <si>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</si>
  <si>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</si>
  <si>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</si>
  <si>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</si>
  <si>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</si>
  <si>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</si>
  <si>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</si>
  <si>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</si>
  <si>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</si>
  <si>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</si>
  <si>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</si>
  <si>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</si>
  <si>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</si>
  <si>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</si>
  <si>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</si>
  <si>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</si>
  <si>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</si>
  <si>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</si>
  <si>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</si>
  <si>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</si>
  <si>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</si>
  <si>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</si>
  <si>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</si>
  <si>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</si>
  <si>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</si>
  <si>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</si>
  <si>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</si>
  <si>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</si>
  <si>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</si>
  <si>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</si>
  <si>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</si>
  <si>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</si>
  <si>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</si>
  <si>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</si>
  <si>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</si>
  <si>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</si>
  <si>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</si>
  <si>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</si>
  <si>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</si>
  <si>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</si>
  <si>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</si>
  <si>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</si>
  <si>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</si>
  <si>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</si>
  <si>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</si>
  <si>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</si>
  <si>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</si>
  <si>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</si>
  <si>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</si>
  <si>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</si>
  <si>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</si>
  <si>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</si>
  <si>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</si>
  <si>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</si>
  <si>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</si>
  <si>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</si>
  <si>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</si>
  <si>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</si>
  <si>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</si>
  <si>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</si>
  <si>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</si>
  <si>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</si>
  <si>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</si>
  <si>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</si>
  <si>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</si>
  <si>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</si>
  <si>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</si>
  <si>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</si>
  <si>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</si>
  <si>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</si>
  <si>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</si>
  <si>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</si>
  <si>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</si>
  <si>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</si>
  <si>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</si>
  <si>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</si>
  <si>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</si>
  <si>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</si>
  <si>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</si>
  <si>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</si>
  <si>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</si>
  <si>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</si>
  <si>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</si>
  <si>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</si>
  <si>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</si>
  <si>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</si>
  <si>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</si>
  <si>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</si>
  <si>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</si>
  <si>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</si>
  <si>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</si>
  <si>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</si>
  <si>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</si>
  <si>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</si>
  <si>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</si>
  <si>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</si>
  <si>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</si>
  <si>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</si>
  <si>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</si>
  <si>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</si>
  <si>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</si>
  <si>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</si>
  <si>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</si>
  <si>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</si>
  <si>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</si>
  <si>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</si>
  <si>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</si>
  <si>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</si>
  <si>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</si>
  <si>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</si>
  <si>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</si>
  <si>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</si>
  <si>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</si>
  <si>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</si>
  <si>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</si>
  <si>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</si>
  <si>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</si>
  <si>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</si>
  <si>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</si>
  <si>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</si>
  <si>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</si>
  <si>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</si>
  <si>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</si>
  <si>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</si>
  <si>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</si>
  <si>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</si>
  <si>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</si>
  <si>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</si>
  <si>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</si>
  <si>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</si>
  <si>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</si>
  <si>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</si>
  <si>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</si>
  <si>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</si>
  <si>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</si>
  <si>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</si>
  <si>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</si>
  <si>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</si>
  <si>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</si>
  <si>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</si>
  <si>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</si>
  <si>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</si>
  <si>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</si>
  <si>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</si>
  <si>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</si>
  <si>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</si>
  <si>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</si>
  <si>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</si>
  <si>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</si>
  <si>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</si>
  <si>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</si>
  <si>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</si>
  <si>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</si>
  <si>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</si>
  <si>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</si>
  <si>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</si>
  <si>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</si>
  <si>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</si>
  <si>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</si>
  <si>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</si>
  <si>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</si>
  <si>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</si>
  <si>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</si>
  <si>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</si>
  <si>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</si>
  <si>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</si>
  <si>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</si>
  <si>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</si>
  <si>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</si>
  <si>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</si>
  <si>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</si>
  <si>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</si>
  <si>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</si>
  <si>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</si>
  <si>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</si>
  <si>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</si>
  <si>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</si>
  <si>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</si>
  <si>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</si>
  <si>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</si>
  <si>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</si>
  <si>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</si>
  <si>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</si>
  <si>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</si>
  <si>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</si>
  <si>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</si>
  <si>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</si>
  <si>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</si>
  <si>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</si>
  <si>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</si>
  <si>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</si>
  <si>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</si>
  <si>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</si>
  <si>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</si>
  <si>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</si>
  <si>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</si>
  <si>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</si>
  <si>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</si>
  <si>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</si>
  <si>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</si>
  <si>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</si>
  <si>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</si>
  <si>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</si>
  <si>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</si>
  <si>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</si>
  <si>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</si>
  <si>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</si>
  <si>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</si>
  <si>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</si>
  <si>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</si>
  <si>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</si>
  <si>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</si>
  <si>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</si>
  <si>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</si>
  <si>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</si>
  <si>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</si>
  <si>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</si>
  <si>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</si>
  <si>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</si>
  <si>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</si>
  <si>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</si>
  <si>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</si>
  <si>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</si>
  <si>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</si>
  <si>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</si>
  <si>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</si>
  <si>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</si>
  <si>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</si>
  <si>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</si>
  <si>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</si>
  <si>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</si>
  <si>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</si>
  <si>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</si>
  <si>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</si>
  <si>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</si>
  <si>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</si>
  <si>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</si>
  <si>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</si>
  <si>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</si>
  <si>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</si>
  <si>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</si>
  <si>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</si>
  <si>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</si>
  <si>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</si>
  <si>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</si>
  <si>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</si>
  <si>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</si>
  <si>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</si>
  <si>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</si>
  <si>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</si>
  <si>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</si>
  <si>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</si>
  <si>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</si>
  <si>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</si>
  <si>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</si>
  <si>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</si>
  <si>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</si>
  <si>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</si>
  <si>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</si>
  <si>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</si>
  <si>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</si>
  <si>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</si>
  <si>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</si>
  <si>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</si>
  <si>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</si>
  <si>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</si>
  <si>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</si>
  <si>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</si>
  <si>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</si>
  <si>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</si>
  <si>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</si>
  <si>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</si>
  <si>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</si>
  <si>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</si>
  <si>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</si>
  <si>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</si>
  <si>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</si>
  <si>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</si>
  <si>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</si>
  <si>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</si>
  <si>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</si>
  <si>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</si>
  <si>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</si>
  <si>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</si>
  <si>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</si>
  <si>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</si>
  <si>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</si>
  <si>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</si>
  <si>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</si>
  <si>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</si>
  <si>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</si>
  <si>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</si>
  <si>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</si>
  <si>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</si>
  <si>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</si>
  <si>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</si>
  <si>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</si>
  <si>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</si>
  <si>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</si>
  <si>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</si>
  <si>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</si>
  <si>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</si>
  <si>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</si>
  <si>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</si>
  <si>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</si>
  <si>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</si>
  <si>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</si>
  <si>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</si>
  <si>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</si>
  <si>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</si>
  <si>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</si>
  <si>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</si>
  <si>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</si>
  <si>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</si>
  <si>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</si>
  <si>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</si>
  <si>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</si>
  <si>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</si>
  <si>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</si>
  <si>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</si>
  <si>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</si>
  <si>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</si>
  <si>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</si>
  <si>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</si>
  <si>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</si>
  <si>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</si>
  <si>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</si>
  <si>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</si>
  <si>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</si>
  <si>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</si>
  <si>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</si>
  <si>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</si>
  <si>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</si>
  <si>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</si>
  <si>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</si>
  <si>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</si>
  <si>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</si>
  <si>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</si>
  <si>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</si>
  <si>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</si>
  <si>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</si>
  <si>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</si>
  <si>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</si>
  <si>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</si>
  <si>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</si>
  <si>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</si>
  <si>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</si>
  <si>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</si>
  <si>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</si>
  <si>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</si>
  <si>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</si>
  <si>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</si>
  <si>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</si>
  <si>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</si>
  <si>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</si>
  <si>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</si>
  <si>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</si>
  <si>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</si>
  <si>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</si>
  <si>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</si>
  <si>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</si>
  <si>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</si>
  <si>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</si>
  <si>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</si>
  <si>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</si>
  <si>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</si>
  <si>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</si>
  <si>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</si>
  <si>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</si>
  <si>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</si>
  <si>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</si>
  <si>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</si>
  <si>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</si>
  <si>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</si>
  <si>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</si>
  <si>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</si>
  <si>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</si>
  <si>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</si>
  <si>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</si>
  <si>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</si>
  <si>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</si>
  <si>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</si>
  <si>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</si>
  <si>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</si>
  <si>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</si>
  <si>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</si>
  <si>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</si>
  <si>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</si>
  <si>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</si>
  <si>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</si>
  <si>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</si>
  <si>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</si>
  <si>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</si>
  <si>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</si>
  <si>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</si>
  <si>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</si>
  <si>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</si>
  <si>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</si>
  <si>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</si>
  <si>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</si>
  <si>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</si>
  <si>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</si>
  <si>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</si>
  <si>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</si>
  <si>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</si>
  <si>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</si>
  <si>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</si>
  <si>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</si>
  <si>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</si>
  <si>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</si>
  <si>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</si>
  <si>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</si>
  <si>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</si>
  <si>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</si>
  <si>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</si>
  <si>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</si>
  <si>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</si>
  <si>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</si>
  <si>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</si>
  <si>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</si>
  <si>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</si>
  <si>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</si>
  <si>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</si>
  <si>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</si>
  <si>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</si>
  <si>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</si>
  <si>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</si>
  <si>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</si>
  <si>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</si>
  <si>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</si>
  <si>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</si>
  <si>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</si>
  <si>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</si>
  <si>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</si>
  <si>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</si>
  <si>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</si>
  <si>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</si>
  <si>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</si>
  <si>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</si>
  <si>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</si>
  <si>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</si>
  <si>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</si>
  <si>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</si>
  <si>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</si>
  <si>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</si>
  <si>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</si>
  <si>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</si>
  <si>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</si>
  <si>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</si>
  <si>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</si>
  <si>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</si>
  <si>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</si>
  <si>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</si>
  <si>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</si>
  <si>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</si>
  <si>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</si>
  <si>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</si>
  <si>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</si>
  <si>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</si>
  <si>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</si>
  <si>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</si>
  <si>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</si>
  <si>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</si>
  <si>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</si>
  <si>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</si>
  <si>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</si>
  <si>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</si>
  <si>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</si>
  <si>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</si>
  <si>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</si>
  <si>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</si>
  <si>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</si>
  <si>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</si>
  <si>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</si>
  <si>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</si>
  <si>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</si>
  <si>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</si>
  <si>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</si>
  <si>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</si>
  <si>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</si>
  <si>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</si>
  <si>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</si>
  <si>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</si>
  <si>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</si>
  <si>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</si>
  <si>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</si>
  <si>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</si>
  <si>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</si>
  <si>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</si>
  <si>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</si>
  <si>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</si>
  <si>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</si>
  <si>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</si>
  <si>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</si>
  <si>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</si>
  <si>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</si>
  <si>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</si>
  <si>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</si>
  <si>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</si>
  <si>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</si>
  <si>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</si>
  <si>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</si>
  <si>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</si>
  <si>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</si>
  <si>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</si>
  <si>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</si>
  <si>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</si>
  <si>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</si>
  <si>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</si>
  <si>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</si>
  <si>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</si>
  <si>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</si>
  <si>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</si>
  <si>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</si>
  <si>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</si>
  <si>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</si>
  <si>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</si>
  <si>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</si>
  <si>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</si>
  <si>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</si>
  <si>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</si>
  <si>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</si>
  <si>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</si>
  <si>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</si>
  <si>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</si>
  <si>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</si>
  <si>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</si>
  <si>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</si>
  <si>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</si>
  <si>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</si>
  <si>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</si>
  <si>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</si>
  <si>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</si>
  <si>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</si>
  <si>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</si>
  <si>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</si>
  <si>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</si>
  <si>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</si>
  <si>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</si>
  <si>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</si>
  <si>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</si>
  <si>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</si>
  <si>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</si>
  <si>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</si>
  <si>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</si>
  <si>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</si>
  <si>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</si>
  <si>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</si>
  <si>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</si>
  <si>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</si>
  <si>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</si>
  <si>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</si>
  <si>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</si>
  <si>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</si>
  <si>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</si>
  <si>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</si>
  <si>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</si>
  <si>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</si>
  <si>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</si>
  <si>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</si>
  <si>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</si>
  <si>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</si>
  <si>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</si>
  <si>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</si>
  <si>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</si>
  <si>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</si>
  <si>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</si>
  <si>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</si>
  <si>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</si>
  <si>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</si>
  <si>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</si>
  <si>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</si>
  <si>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</si>
  <si>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</si>
  <si>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</si>
  <si>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</si>
  <si>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</si>
  <si>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</si>
  <si>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</si>
  <si>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</si>
  <si>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</si>
  <si>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</si>
  <si>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</si>
  <si>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</si>
  <si>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</si>
  <si>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</si>
  <si>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</si>
  <si>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</si>
  <si>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</si>
  <si>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</si>
  <si>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</si>
  <si>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</si>
  <si>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</si>
  <si>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</si>
  <si>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</si>
  <si>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</si>
  <si>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</si>
  <si>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</si>
  <si>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</si>
  <si>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</si>
  <si>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</si>
  <si>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</si>
  <si>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</si>
  <si>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</si>
  <si>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</si>
  <si>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</si>
  <si>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</si>
  <si>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</si>
  <si>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</si>
  <si>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</si>
  <si>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</si>
  <si>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</si>
  <si>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</si>
  <si>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</si>
  <si>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</si>
  <si>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</si>
  <si>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</si>
  <si>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</si>
  <si>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</si>
  <si>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</si>
  <si>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</si>
  <si>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</si>
  <si>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</si>
  <si>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</si>
  <si>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</si>
  <si>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</si>
  <si>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</si>
  <si>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</si>
  <si>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</si>
  <si>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</si>
  <si>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</si>
  <si>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</si>
  <si>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</si>
  <si>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</si>
  <si>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</si>
  <si>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</si>
  <si>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</si>
  <si>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</si>
  <si>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</si>
  <si>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</si>
  <si>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</si>
  <si>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</si>
  <si>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</si>
  <si>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</si>
  <si>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</si>
  <si>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</si>
  <si>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</si>
  <si>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</si>
  <si>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</si>
  <si>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</si>
  <si>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</si>
  <si>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</si>
  <si>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</si>
  <si>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</si>
  <si>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</si>
  <si>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</si>
  <si>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</si>
  <si>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</si>
  <si>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</si>
  <si>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</si>
  <si>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</si>
  <si>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</si>
  <si>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</si>
  <si>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</si>
  <si>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</si>
  <si>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</si>
  <si>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</si>
  <si>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</si>
  <si>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</si>
  <si>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</si>
  <si>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</si>
  <si>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</si>
  <si>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</si>
  <si>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</si>
  <si>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</si>
  <si>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</si>
  <si>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</si>
  <si>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</si>
  <si>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</si>
  <si>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</si>
  <si>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</si>
  <si>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</si>
  <si>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</si>
  <si>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</si>
  <si>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</si>
  <si>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</si>
  <si>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</si>
  <si>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</si>
  <si>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</si>
  <si>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</si>
  <si>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</si>
  <si>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</si>
  <si>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</si>
  <si>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</si>
  <si>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</si>
  <si>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</si>
  <si>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</si>
  <si>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</si>
  <si>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</si>
  <si>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</si>
  <si>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</si>
  <si>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</si>
  <si>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</si>
  <si>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</si>
  <si>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</si>
  <si>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</si>
  <si>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</si>
  <si>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</si>
  <si>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</si>
  <si>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</si>
  <si>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</si>
  <si>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</si>
  <si>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</si>
  <si>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</si>
  <si>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</si>
  <si>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</si>
  <si>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</si>
  <si>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</si>
  <si>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</si>
  <si>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</si>
  <si>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</si>
  <si>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</si>
  <si>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</si>
  <si>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</si>
  <si>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</si>
  <si>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</si>
  <si>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</si>
  <si>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</si>
  <si>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</si>
  <si>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</si>
  <si>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</si>
  <si>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</si>
  <si>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</si>
  <si>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</si>
  <si>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</si>
  <si>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</si>
  <si>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</si>
  <si>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</si>
  <si>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</si>
  <si>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</si>
  <si>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</si>
  <si>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</si>
  <si>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</si>
  <si>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</si>
  <si>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</si>
  <si>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</si>
  <si>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</si>
  <si>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</si>
  <si>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</si>
  <si>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</si>
  <si>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</si>
  <si>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</si>
  <si>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</si>
  <si>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</si>
  <si>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</si>
  <si>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</si>
  <si>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</si>
  <si>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</si>
  <si>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</si>
  <si>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</si>
  <si>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</si>
  <si>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</si>
  <si>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</si>
  <si>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</si>
  <si>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</si>
  <si>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</si>
  <si>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</si>
  <si>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</si>
  <si>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</si>
  <si>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</si>
  <si>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</si>
  <si>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</si>
  <si>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</si>
  <si>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</si>
  <si>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</si>
  <si>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</si>
  <si>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</si>
  <si>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</si>
  <si>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</si>
  <si>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</si>
  <si>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</si>
  <si>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</si>
  <si>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</si>
  <si>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</si>
  <si>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</si>
  <si>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</si>
  <si>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</si>
  <si>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</si>
  <si>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</si>
  <si>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</si>
  <si>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</si>
  <si>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</si>
  <si>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</si>
  <si>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</si>
  <si>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</si>
  <si>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</si>
  <si>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</si>
  <si>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</si>
  <si>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</si>
  <si>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</si>
  <si>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</si>
  <si>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</si>
  <si>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</si>
  <si>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</si>
  <si>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</si>
  <si>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</si>
  <si>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</si>
  <si>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</si>
  <si>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</si>
  <si>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</si>
  <si>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</si>
  <si>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</si>
  <si>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</si>
  <si>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</si>
  <si>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</si>
  <si>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</si>
  <si>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</si>
  <si>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</si>
  <si>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</si>
  <si>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</si>
  <si>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</si>
  <si>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</si>
  <si>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</si>
  <si>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</si>
  <si>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</si>
  <si>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</si>
  <si>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</si>
  <si>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</si>
  <si>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</si>
  <si>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</si>
  <si>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</si>
  <si>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</si>
  <si>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</si>
  <si>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</si>
  <si>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</si>
  <si>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</si>
  <si>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</si>
  <si>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</si>
  <si>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</si>
  <si>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</si>
  <si>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</si>
  <si>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</si>
  <si>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</si>
  <si>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</si>
  <si>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</si>
  <si>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</si>
  <si>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</si>
  <si>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</si>
  <si>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</si>
  <si>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</si>
  <si>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</si>
  <si>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</si>
  <si>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</si>
  <si>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</si>
  <si>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</si>
  <si>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</si>
  <si>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</si>
  <si>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</si>
  <si>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</si>
  <si>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</si>
  <si>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</si>
  <si>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</si>
  <si>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</si>
  <si>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</si>
  <si>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</si>
  <si>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</si>
  <si>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</si>
  <si>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</si>
  <si>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</si>
  <si>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</si>
  <si>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</si>
  <si>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</si>
  <si>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</si>
  <si>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</si>
  <si>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</si>
  <si>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</si>
  <si>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</si>
  <si>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</si>
  <si>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</si>
  <si>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</si>
  <si>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</si>
  <si>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</si>
  <si>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</si>
  <si>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</si>
  <si>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</si>
  <si>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</si>
  <si>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</si>
  <si>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</si>
  <si>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</si>
  <si>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</si>
  <si>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</si>
  <si>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</si>
  <si>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</si>
  <si>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</si>
  <si>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</si>
  <si>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</si>
  <si>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</si>
  <si>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</si>
  <si>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</si>
  <si>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</si>
  <si>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</si>
  <si>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</si>
  <si>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</si>
  <si>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</si>
  <si>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</si>
  <si>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</si>
  <si>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</si>
  <si>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</si>
  <si>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</si>
  <si>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</si>
  <si>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</si>
  <si>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</si>
  <si>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</si>
  <si>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</si>
  <si>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</si>
  <si>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</si>
  <si>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</si>
  <si>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</si>
  <si>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</si>
  <si>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</si>
  <si>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</si>
  <si>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</si>
  <si>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</si>
  <si>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</si>
  <si>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</si>
  <si>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</si>
  <si>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</si>
  <si>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</si>
  <si>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</si>
  <si>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</si>
  <si>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</si>
  <si>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</si>
  <si>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</si>
  <si>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</si>
  <si>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</si>
  <si>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</si>
  <si>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</si>
  <si>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</si>
  <si>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</si>
  <si>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</si>
  <si>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</si>
  <si>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</si>
  <si>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</si>
  <si>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</si>
  <si>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</si>
  <si>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</si>
  <si>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</si>
  <si>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</si>
  <si>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</si>
  <si>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</si>
  <si>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</si>
  <si>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</si>
  <si>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</si>
  <si>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</si>
  <si>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</si>
  <si>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</si>
  <si>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</si>
  <si>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Lauterbach &amp; Amen, LLP</t>
  </si>
  <si>
    <t>Cook</t>
  </si>
  <si>
    <t>Matt Beran</t>
  </si>
  <si>
    <t>668 N. River Road</t>
  </si>
  <si>
    <t>1440 W. Vermont Street</t>
  </si>
  <si>
    <t>Naperville</t>
  </si>
  <si>
    <t>IL</t>
  </si>
  <si>
    <t>Calumet Park</t>
  </si>
  <si>
    <t>jstearns@sd132.org</t>
  </si>
  <si>
    <t>065-033233</t>
  </si>
  <si>
    <t>mberan@lauterbachamen.com</t>
  </si>
  <si>
    <t>Dr. Elizabeth H. Reynolds</t>
  </si>
  <si>
    <t>Issuance of May 15, 2008 - Series A</t>
  </si>
  <si>
    <t>Issuance of May 15, 2008 - Series B</t>
  </si>
  <si>
    <t>Issuance of May 15, 2008 - Series C</t>
  </si>
  <si>
    <t>Issuance of May 15, 2008 - Series D</t>
  </si>
  <si>
    <t>Capital Lease Obligation</t>
  </si>
  <si>
    <t>1, 3</t>
  </si>
  <si>
    <t>Capital Lease</t>
  </si>
  <si>
    <t>Short-Term Long-Term Debt 24 (Lines 35-38): Any Differences - Capital Lease Obligation buyouts for $51,538, $68,2449, $10,414, and $43,104</t>
  </si>
  <si>
    <t>NA</t>
  </si>
  <si>
    <t>N.A</t>
  </si>
  <si>
    <t>N/A</t>
  </si>
  <si>
    <t>Unmodified</t>
  </si>
  <si>
    <t>US Department of Agriculture</t>
  </si>
  <si>
    <t>Illinois State Board of Education</t>
  </si>
  <si>
    <t>2017-4220</t>
  </si>
  <si>
    <t>2018-4220</t>
  </si>
  <si>
    <t>2017-4210</t>
  </si>
  <si>
    <t>2018-4210</t>
  </si>
  <si>
    <t>Non-Cash Commoditied (Preferred Meals)</t>
  </si>
  <si>
    <t>Fresh Fruits and Vegetables</t>
  </si>
  <si>
    <t>2017-4240</t>
  </si>
  <si>
    <t>2018-4240</t>
  </si>
  <si>
    <t>Department of Education</t>
  </si>
  <si>
    <t>2017-4300</t>
  </si>
  <si>
    <t>Title I - Low Income (M)</t>
  </si>
  <si>
    <t>2018-4300</t>
  </si>
  <si>
    <t>Title III - Limited English LIPLEP</t>
  </si>
  <si>
    <t>2017-4909</t>
  </si>
  <si>
    <t>2018-4909</t>
  </si>
  <si>
    <t>2017-4932</t>
  </si>
  <si>
    <t>2018-4932</t>
  </si>
  <si>
    <t>2018-4400</t>
  </si>
  <si>
    <t>Department of Health and Human Services</t>
  </si>
  <si>
    <t>Illinois Department of Healthcare and Family Services</t>
  </si>
  <si>
    <t>Medical Assistance Program (Medicaid; Title XIX)</t>
  </si>
  <si>
    <t>Total Federal Award</t>
  </si>
  <si>
    <t>School Employees Loss Fund (SELF)</t>
  </si>
  <si>
    <t>Calumet Township School Treasurer</t>
  </si>
  <si>
    <t>Eisenhower Cooperative Joint Agreement</t>
  </si>
  <si>
    <t>Suburban School Co-Op Insurance Pool</t>
  </si>
  <si>
    <t>Title IVA - Student Support &amp; Academic Enrich</t>
  </si>
  <si>
    <t>ereynolds@sd132.org</t>
  </si>
  <si>
    <t>Account Summary 7-8 (Line 27 and 49): Difference in transfers is due to transfer of interest of $1,850,000 on Line 50</t>
  </si>
  <si>
    <t>Ed-Instruction-Purchase Services</t>
  </si>
  <si>
    <t>Ed-Support Services pupil-Purchase Services</t>
  </si>
  <si>
    <t>Ed-Support Services-Instructional Staff-Purchase Services</t>
  </si>
  <si>
    <t>Tort-Support Services General Admin-Purchase Services</t>
  </si>
  <si>
    <t>Ed-Fiscal Services-Purchase Services</t>
  </si>
  <si>
    <t>O&amp;M-Operations &amp; Maintenance Plant Services-Purchase Services</t>
  </si>
  <si>
    <t>Transportation-Pupil Transp Serv-Purchase Services</t>
  </si>
  <si>
    <t>Ed-Food Services-Purchase Services</t>
  </si>
  <si>
    <t>10-1000-300</t>
  </si>
  <si>
    <t>10-2100-300</t>
  </si>
  <si>
    <t>10-2200-300</t>
  </si>
  <si>
    <t>10-2300-300</t>
  </si>
  <si>
    <t>80-2300-300</t>
  </si>
  <si>
    <t>10-2520-300</t>
  </si>
  <si>
    <t>20-2540-300</t>
  </si>
  <si>
    <t>40-2550-300</t>
  </si>
  <si>
    <t>10-2560-300</t>
  </si>
  <si>
    <t>Ed-Support Services General Admin-Purchase Services</t>
  </si>
  <si>
    <t>RENAISSANCE LEARNING, INC</t>
  </si>
  <si>
    <t>MAXIM HEALTHCARE SERVICES INC</t>
  </si>
  <si>
    <t>CANON FINANCIAL SERVICES</t>
  </si>
  <si>
    <t>CLEAR CORP.</t>
  </si>
  <si>
    <t>JOSEPHINE TATE</t>
  </si>
  <si>
    <t>LAUTERBACH &amp; AMEN LLP</t>
  </si>
  <si>
    <t>SELF ISDLAF-SCHOOL EMPLOYEES LOSS FUND</t>
  </si>
  <si>
    <t>SUBURBAN SCHOOL COOP. INSURANCE</t>
  </si>
  <si>
    <t>AJD CONSULTING SERVICES</t>
  </si>
  <si>
    <t>AT &amp; T</t>
  </si>
  <si>
    <t>GCA SERVICES GROUP</t>
  </si>
  <si>
    <t>REPUBLIC SERVICES</t>
  </si>
  <si>
    <t>ALPHA SCHOOL BUS, INC</t>
  </si>
  <si>
    <t>FIRST STUDENT</t>
  </si>
  <si>
    <t>PREFERRED MEAL SYSTEMS, INC.</t>
  </si>
  <si>
    <t>Calumet Public SD 132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</si>
</sst>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49" fontId="98" fillId="0" borderId="107" xfId="18" applyNumberFormat="1" applyFont="1" applyFill="1" applyBorder="1" applyAlignment="1" applyProtection="1">
      <alignment horizontal="center" vertical="center"/>
      <protection locked="0"/>
    </xf>
    <xf numFmtId="49" fontId="98" fillId="0" borderId="105" xfId="18" applyNumberFormat="1" applyFont="1" applyBorder="1" applyAlignment="1" applyProtection="1">
      <alignment horizontal="center" vertic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337705</xdr:colOff>
          <xdr:row>0</xdr:row>
          <xdr:rowOff>77932</xdr:rowOff>
        </xdr:from>
        <xdr:to>
          <xdr:col>1</xdr:col>
          <xdr:colOff>1249507</xdr:colOff>
          <xdr:row>4</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2BAF981-3774-4C32-85C4-CE6A49C97E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2459182</xdr:colOff>
          <xdr:row>0</xdr:row>
          <xdr:rowOff>86592</xdr:rowOff>
        </xdr:from>
        <xdr:to>
          <xdr:col>1</xdr:col>
          <xdr:colOff>3370984</xdr:colOff>
          <xdr:row>4</xdr:row>
          <xdr:rowOff>124692</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A8A9DC63-542E-4827-A2C4-D064FBC63B0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1382856</xdr:colOff>
          <xdr:row>0</xdr:row>
          <xdr:rowOff>78797</xdr:rowOff>
        </xdr:from>
        <xdr:to>
          <xdr:col>1</xdr:col>
          <xdr:colOff>2297256</xdr:colOff>
          <xdr:row>4</xdr:row>
          <xdr:rowOff>116897</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BA05714C-65ED-4474-B3F3-D2A42B4644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346364</xdr:colOff>
          <xdr:row>6</xdr:row>
          <xdr:rowOff>8660</xdr:rowOff>
        </xdr:from>
        <xdr:to>
          <xdr:col>1</xdr:col>
          <xdr:colOff>1257301</xdr:colOff>
          <xdr:row>10</xdr:row>
          <xdr:rowOff>129887</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1359477</xdr:colOff>
          <xdr:row>6</xdr:row>
          <xdr:rowOff>8660</xdr:rowOff>
        </xdr:from>
        <xdr:to>
          <xdr:col>1</xdr:col>
          <xdr:colOff>2270414</xdr:colOff>
          <xdr:row>10</xdr:row>
          <xdr:rowOff>129887</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2467841</xdr:colOff>
          <xdr:row>6</xdr:row>
          <xdr:rowOff>0</xdr:rowOff>
        </xdr:from>
        <xdr:to>
          <xdr:col>1</xdr:col>
          <xdr:colOff>3378778</xdr:colOff>
          <xdr:row>10</xdr:row>
          <xdr:rowOff>121227</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7016132002</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2079</v>
      </c>
      <c r="B15" s="2037"/>
      <c r="C15" s="2037"/>
      <c r="D15" s="2037"/>
      <c r="E15" s="2037"/>
      <c r="F15" s="2037"/>
      <c r="G15" s="2037"/>
      <c r="H15" s="2038"/>
      <c r="T15" s="2043" t="s">
        <v>2080</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2166</v>
      </c>
      <c r="B17" s="1994"/>
      <c r="C17" s="1994"/>
      <c r="D17" s="1994"/>
      <c r="E17" s="1994"/>
      <c r="F17" s="1994"/>
      <c r="G17" s="1994"/>
      <c r="H17" s="2019"/>
      <c r="T17" s="2050" t="s">
        <v>2081</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2082</v>
      </c>
      <c r="B19" s="1979"/>
      <c r="C19" s="1979"/>
      <c r="D19" s="1979"/>
      <c r="E19" s="1979"/>
      <c r="F19" s="1979"/>
      <c r="G19" s="1979"/>
      <c r="H19" s="1959"/>
      <c r="I19" s="30"/>
      <c r="J19" s="99"/>
      <c r="K19" s="40"/>
      <c r="L19" s="38"/>
      <c r="M19" s="112" t="s">
        <v>333</v>
      </c>
      <c r="P19" s="27"/>
      <c r="Q19" s="27"/>
      <c r="R19" s="27"/>
      <c r="S19" s="31"/>
      <c r="T19" s="2033" t="s">
        <v>2083</v>
      </c>
      <c r="U19" s="1958"/>
      <c r="V19" s="1958"/>
      <c r="W19" s="1959"/>
      <c r="X19" s="2048" t="s">
        <v>2084</v>
      </c>
      <c r="Y19" s="2049"/>
      <c r="Z19" s="2046">
        <v>60563</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2085</v>
      </c>
      <c r="B21" s="1958"/>
      <c r="C21" s="1958"/>
      <c r="D21" s="1958"/>
      <c r="E21" s="1958"/>
      <c r="F21" s="1958"/>
      <c r="G21" s="1958"/>
      <c r="H21" s="1959"/>
      <c r="I21" s="2013" t="s">
        <v>699</v>
      </c>
      <c r="J21" s="2008"/>
      <c r="K21" s="2008"/>
      <c r="L21" s="2008"/>
      <c r="M21" s="2008"/>
      <c r="N21" s="2008"/>
      <c r="O21" s="2008"/>
      <c r="P21" s="2008"/>
      <c r="Q21" s="2008"/>
      <c r="R21" s="2008"/>
      <c r="S21" s="2014"/>
      <c r="T21" s="2057">
        <v>6303931483</v>
      </c>
      <c r="U21" s="2058"/>
      <c r="V21" s="2058"/>
      <c r="W21" s="2058"/>
      <c r="X21" s="2063">
        <v>6303932516</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2086</v>
      </c>
      <c r="B23" s="2011"/>
      <c r="C23" s="2011"/>
      <c r="D23" s="2011"/>
      <c r="E23" s="2011"/>
      <c r="F23" s="2011"/>
      <c r="G23" s="2011"/>
      <c r="H23" s="2012"/>
      <c r="T23" s="1993" t="s">
        <v>2087</v>
      </c>
      <c r="U23" s="2056"/>
      <c r="V23" s="2056"/>
      <c r="W23" s="2056"/>
      <c r="X23" s="2060"/>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60827</v>
      </c>
      <c r="B25" s="1958"/>
      <c r="C25" s="1958"/>
      <c r="D25" s="1958"/>
      <c r="E25" s="1958"/>
      <c r="F25" s="1958"/>
      <c r="G25" s="1958"/>
      <c r="H25" s="1959"/>
      <c r="I25" s="113"/>
      <c r="J25" s="1982"/>
      <c r="K25" s="1982"/>
      <c r="L25" s="1982"/>
      <c r="M25" s="1982"/>
      <c r="N25" s="1982"/>
      <c r="O25" s="1982"/>
      <c r="P25" s="1982"/>
      <c r="Q25" s="1982"/>
      <c r="R25" s="1982"/>
      <c r="S25" s="1983"/>
      <c r="T25" s="2053" t="s">
        <v>2088</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2089</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2131</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v>7083888920</v>
      </c>
      <c r="B42" s="1977"/>
      <c r="C42" s="1978"/>
      <c r="D42" s="1976">
        <v>7083888950</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110" zoomScaleNormal="110" workbookViewId="0">
      <selection activeCell="E8" sqref="E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199" t="s">
        <v>1905</v>
      </c>
      <c r="B2" s="1546" t="s">
        <v>2037</v>
      </c>
      <c r="C2" s="715" t="s">
        <v>1910</v>
      </c>
      <c r="D2" s="715" t="s">
        <v>1911</v>
      </c>
      <c r="E2" s="715" t="s">
        <v>1912</v>
      </c>
      <c r="F2" s="715" t="s">
        <v>1913</v>
      </c>
    </row>
    <row r="3" spans="1:6" ht="12" customHeight="1" x14ac:dyDescent="0.2">
      <c r="A3" s="2200"/>
      <c r="B3" s="1543"/>
      <c r="C3" s="1544"/>
      <c r="D3" s="1545" t="s">
        <v>274</v>
      </c>
      <c r="E3" s="1544"/>
      <c r="F3" s="1545" t="s">
        <v>275</v>
      </c>
    </row>
    <row r="4" spans="1:6" ht="13.7" customHeight="1" x14ac:dyDescent="0.2">
      <c r="A4" s="716" t="s">
        <v>1217</v>
      </c>
      <c r="B4" s="1767">
        <f>'Revenues 9-14'!C5</f>
        <v>2551992</v>
      </c>
      <c r="C4" s="1542">
        <v>640791</v>
      </c>
      <c r="D4" s="1770">
        <f>B4-C4</f>
        <v>1911201</v>
      </c>
      <c r="E4" s="1542">
        <v>3030602</v>
      </c>
      <c r="F4" s="1770">
        <f>E4-C4</f>
        <v>2389811</v>
      </c>
    </row>
    <row r="5" spans="1:6" ht="13.7" customHeight="1" x14ac:dyDescent="0.2">
      <c r="A5" s="716" t="s">
        <v>925</v>
      </c>
      <c r="B5" s="1768">
        <f>'Revenues 9-14'!D5</f>
        <v>371160</v>
      </c>
      <c r="C5" s="585">
        <v>79903</v>
      </c>
      <c r="D5" s="1771">
        <f t="shared" ref="D5:D18" si="0">B5-C5</f>
        <v>291257</v>
      </c>
      <c r="E5" s="585">
        <v>377901</v>
      </c>
      <c r="F5" s="1771">
        <f>E5-C5</f>
        <v>297998</v>
      </c>
    </row>
    <row r="6" spans="1:6" ht="13.7" customHeight="1" x14ac:dyDescent="0.2">
      <c r="A6" s="716" t="s">
        <v>431</v>
      </c>
      <c r="B6" s="1768">
        <f>'Revenues 9-14'!E5</f>
        <v>373849</v>
      </c>
      <c r="C6" s="585">
        <v>59831</v>
      </c>
      <c r="D6" s="1771">
        <f t="shared" si="0"/>
        <v>314018</v>
      </c>
      <c r="E6" s="585">
        <v>447529</v>
      </c>
      <c r="F6" s="1771">
        <f t="shared" ref="F6:F18" si="1">E6-C6</f>
        <v>387698</v>
      </c>
    </row>
    <row r="7" spans="1:6" ht="13.7" customHeight="1" x14ac:dyDescent="0.2">
      <c r="A7" s="716" t="s">
        <v>157</v>
      </c>
      <c r="B7" s="1768">
        <f>'Revenues 9-14'!F5</f>
        <v>294557</v>
      </c>
      <c r="C7" s="585">
        <v>100000</v>
      </c>
      <c r="D7" s="1771">
        <f t="shared" si="0"/>
        <v>194557</v>
      </c>
      <c r="E7" s="585">
        <v>308388</v>
      </c>
      <c r="F7" s="1771">
        <f t="shared" si="1"/>
        <v>208388</v>
      </c>
    </row>
    <row r="8" spans="1:6" ht="13.7" customHeight="1" x14ac:dyDescent="0.2">
      <c r="A8" s="716" t="s">
        <v>1241</v>
      </c>
      <c r="B8" s="1768">
        <f>'Revenues 9-14'!G5</f>
        <v>504501</v>
      </c>
      <c r="C8" s="585">
        <v>151878</v>
      </c>
      <c r="D8" s="1771">
        <f t="shared" si="0"/>
        <v>352623</v>
      </c>
      <c r="E8" s="585">
        <v>718300</v>
      </c>
      <c r="F8" s="1771">
        <f t="shared" si="1"/>
        <v>566422</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2730</v>
      </c>
      <c r="C10" s="585">
        <v>233</v>
      </c>
      <c r="D10" s="1771">
        <f t="shared" si="0"/>
        <v>2497</v>
      </c>
      <c r="E10" s="585">
        <v>1100</v>
      </c>
      <c r="F10" s="1771">
        <f t="shared" si="1"/>
        <v>867</v>
      </c>
    </row>
    <row r="11" spans="1:6" x14ac:dyDescent="0.2">
      <c r="A11" s="716" t="s">
        <v>429</v>
      </c>
      <c r="B11" s="1768">
        <f>'Revenues 9-14'!J5</f>
        <v>459675</v>
      </c>
      <c r="C11" s="585"/>
      <c r="D11" s="1771">
        <f t="shared" si="0"/>
        <v>459675</v>
      </c>
      <c r="E11" s="585"/>
      <c r="F11" s="1771">
        <f t="shared" si="1"/>
        <v>0</v>
      </c>
    </row>
    <row r="12" spans="1:6" ht="13.7" customHeight="1" x14ac:dyDescent="0.2">
      <c r="A12" s="716" t="s">
        <v>159</v>
      </c>
      <c r="B12" s="1768">
        <f>'Revenues 9-14'!K5</f>
        <v>19292</v>
      </c>
      <c r="C12" s="585">
        <v>256</v>
      </c>
      <c r="D12" s="1771">
        <f t="shared" si="0"/>
        <v>19036</v>
      </c>
      <c r="E12" s="585">
        <v>1211</v>
      </c>
      <c r="F12" s="1771">
        <f t="shared" si="1"/>
        <v>955</v>
      </c>
    </row>
    <row r="13" spans="1:6" ht="13.7" customHeight="1" x14ac:dyDescent="0.2">
      <c r="A13" s="716" t="s">
        <v>993</v>
      </c>
      <c r="B13" s="1768">
        <f>SUM('Revenues 9-14'!C6:D6)</f>
        <v>0</v>
      </c>
      <c r="C13" s="585"/>
      <c r="D13" s="1771">
        <f t="shared" si="0"/>
        <v>0</v>
      </c>
      <c r="E13" s="585"/>
      <c r="F13" s="1771">
        <f t="shared" si="1"/>
        <v>0</v>
      </c>
    </row>
    <row r="14" spans="1:6" ht="13.7" customHeight="1" x14ac:dyDescent="0.2">
      <c r="A14" s="716" t="s">
        <v>430</v>
      </c>
      <c r="B14" s="1768">
        <f>SUM('Revenues 9-14'!C7:D7,'Revenues 9-14'!F7:H7)</f>
        <v>41063</v>
      </c>
      <c r="C14" s="585"/>
      <c r="D14" s="1771">
        <f t="shared" si="0"/>
        <v>41063</v>
      </c>
      <c r="E14" s="585"/>
      <c r="F14" s="1771">
        <f t="shared" si="1"/>
        <v>0</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0</v>
      </c>
      <c r="C16" s="585">
        <v>152110</v>
      </c>
      <c r="D16" s="1771">
        <f t="shared" si="0"/>
        <v>-152110</v>
      </c>
      <c r="E16" s="585">
        <v>719400</v>
      </c>
      <c r="F16" s="1771">
        <f t="shared" si="1"/>
        <v>567290</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4618819</v>
      </c>
      <c r="C19" s="1769">
        <f>SUM(C4:C18)</f>
        <v>1185002</v>
      </c>
      <c r="D19" s="1769">
        <f>SUM(D4:D18)</f>
        <v>3433817</v>
      </c>
      <c r="E19" s="1769">
        <f>SUM(E4:E18)</f>
        <v>5604431</v>
      </c>
      <c r="F19" s="1769">
        <f>SUM(F4:F18)</f>
        <v>4419429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G35" sqref="G35:G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5" t="s">
        <v>2038</v>
      </c>
      <c r="D2" s="724" t="s">
        <v>2045</v>
      </c>
      <c r="E2" s="724" t="s">
        <v>2046</v>
      </c>
      <c r="F2" s="1905"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3">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12" t="s">
        <v>652</v>
      </c>
      <c r="B15" s="2213"/>
      <c r="C15" s="1773">
        <f>SUM(C6:C14)</f>
        <v>0</v>
      </c>
      <c r="D15" s="1773">
        <f>SUM(D6:D14)</f>
        <v>0</v>
      </c>
      <c r="E15" s="1773">
        <f>SUM(E6:E14)</f>
        <v>0</v>
      </c>
      <c r="F15" s="1773">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3">
        <f>SUM(C17+D17)-E17</f>
        <v>0</v>
      </c>
    </row>
    <row r="18" spans="1:11" ht="12.75" customHeight="1" thickTop="1" thickBot="1" x14ac:dyDescent="0.25">
      <c r="A18" s="2207" t="s">
        <v>6</v>
      </c>
      <c r="B18" s="2208"/>
      <c r="C18" s="727"/>
      <c r="D18" s="585"/>
      <c r="E18" s="727"/>
      <c r="F18" s="1773">
        <f>SUM(C18+D18)-E18</f>
        <v>0</v>
      </c>
    </row>
    <row r="19" spans="1:11" ht="12.75" customHeight="1" thickTop="1" thickBot="1" x14ac:dyDescent="0.25">
      <c r="A19" s="2207" t="s">
        <v>406</v>
      </c>
      <c r="B19" s="2208"/>
      <c r="C19" s="727"/>
      <c r="D19" s="585"/>
      <c r="E19" s="727"/>
      <c r="F19" s="1773">
        <f>SUM(C19+D19)-E19</f>
        <v>0</v>
      </c>
    </row>
    <row r="20" spans="1:11" ht="12.75" customHeight="1" thickTop="1" thickBot="1" x14ac:dyDescent="0.25">
      <c r="A20" s="2207" t="s">
        <v>468</v>
      </c>
      <c r="B20" s="2208"/>
      <c r="C20" s="727"/>
      <c r="D20" s="585"/>
      <c r="E20" s="727"/>
      <c r="F20" s="1773">
        <f>SUM(C20+D20)-E20</f>
        <v>0</v>
      </c>
    </row>
    <row r="21" spans="1:11" ht="14.25" thickTop="1" thickBot="1" x14ac:dyDescent="0.25">
      <c r="A21" s="2212" t="s">
        <v>653</v>
      </c>
      <c r="B21" s="2213"/>
      <c r="C21" s="1773">
        <f>SUM(C17:C20)</f>
        <v>0</v>
      </c>
      <c r="D21" s="1773">
        <f>SUM(D17:D20)</f>
        <v>0</v>
      </c>
      <c r="E21" s="1773">
        <f>SUM(E17:E20)</f>
        <v>0</v>
      </c>
      <c r="F21" s="1773">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3">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3">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3">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47" t="s">
        <v>1131</v>
      </c>
      <c r="B30" s="731" t="s">
        <v>1186</v>
      </c>
      <c r="C30" s="1906" t="s">
        <v>604</v>
      </c>
      <c r="D30" s="1906" t="s">
        <v>1772</v>
      </c>
      <c r="E30" s="1906" t="s">
        <v>2040</v>
      </c>
      <c r="F30" s="1906" t="s">
        <v>2041</v>
      </c>
      <c r="G30" s="1906" t="s">
        <v>2044</v>
      </c>
      <c r="H30" s="1906" t="s">
        <v>2042</v>
      </c>
      <c r="I30" s="1906" t="s">
        <v>2043</v>
      </c>
      <c r="J30" s="1907" t="s">
        <v>2</v>
      </c>
      <c r="K30" s="732"/>
    </row>
    <row r="31" spans="1:11" ht="12" customHeight="1" x14ac:dyDescent="0.2">
      <c r="A31" s="733" t="s">
        <v>2090</v>
      </c>
      <c r="B31" s="734">
        <v>39583</v>
      </c>
      <c r="C31" s="735">
        <v>1224000</v>
      </c>
      <c r="D31" s="736">
        <v>1</v>
      </c>
      <c r="E31" s="735">
        <v>1224000</v>
      </c>
      <c r="F31" s="735"/>
      <c r="G31" s="735"/>
      <c r="H31" s="735">
        <v>73000</v>
      </c>
      <c r="I31" s="1774">
        <f>((E31+F31)-H31)+G31</f>
        <v>1151000</v>
      </c>
      <c r="J31" s="735">
        <v>0</v>
      </c>
      <c r="K31" s="737"/>
    </row>
    <row r="32" spans="1:11" ht="12" customHeight="1" x14ac:dyDescent="0.2">
      <c r="A32" s="733" t="s">
        <v>2091</v>
      </c>
      <c r="B32" s="734">
        <v>39583</v>
      </c>
      <c r="C32" s="735">
        <v>661000</v>
      </c>
      <c r="D32" s="736" t="s">
        <v>2095</v>
      </c>
      <c r="E32" s="735">
        <v>23000</v>
      </c>
      <c r="F32" s="735"/>
      <c r="G32" s="735"/>
      <c r="H32" s="735">
        <v>23000</v>
      </c>
      <c r="I32" s="1774">
        <f>((E32+F32)-H32)+G32</f>
        <v>0</v>
      </c>
      <c r="J32" s="735"/>
      <c r="K32" s="737"/>
    </row>
    <row r="33" spans="1:11" ht="12" customHeight="1" x14ac:dyDescent="0.2">
      <c r="A33" s="733" t="s">
        <v>2092</v>
      </c>
      <c r="B33" s="734">
        <v>39583</v>
      </c>
      <c r="C33" s="735">
        <v>1545000</v>
      </c>
      <c r="D33" s="736">
        <v>3</v>
      </c>
      <c r="E33" s="735">
        <v>1545000</v>
      </c>
      <c r="F33" s="735"/>
      <c r="G33" s="735"/>
      <c r="H33" s="735"/>
      <c r="I33" s="1774">
        <f t="shared" ref="I33:I48" si="1">((E33+F33)-H33)+G33</f>
        <v>1545000</v>
      </c>
      <c r="J33" s="735">
        <f>I33-1447478</f>
        <v>97522</v>
      </c>
      <c r="K33" s="737"/>
    </row>
    <row r="34" spans="1:11" ht="12" customHeight="1" x14ac:dyDescent="0.2">
      <c r="A34" s="733" t="s">
        <v>2093</v>
      </c>
      <c r="B34" s="734">
        <v>39583</v>
      </c>
      <c r="C34" s="735">
        <v>915000</v>
      </c>
      <c r="D34" s="736">
        <v>3</v>
      </c>
      <c r="E34" s="735">
        <v>637000</v>
      </c>
      <c r="F34" s="735"/>
      <c r="G34" s="735"/>
      <c r="H34" s="735">
        <v>154000</v>
      </c>
      <c r="I34" s="1774">
        <f t="shared" si="1"/>
        <v>483000</v>
      </c>
      <c r="J34" s="735">
        <f>I34</f>
        <v>483000</v>
      </c>
      <c r="K34" s="738"/>
    </row>
    <row r="35" spans="1:11" ht="12" customHeight="1" x14ac:dyDescent="0.2">
      <c r="A35" s="733" t="s">
        <v>2094</v>
      </c>
      <c r="B35" s="734">
        <v>41730</v>
      </c>
      <c r="C35" s="739">
        <v>197177</v>
      </c>
      <c r="D35" s="736">
        <v>7</v>
      </c>
      <c r="E35" s="739">
        <v>80115</v>
      </c>
      <c r="F35" s="739"/>
      <c r="G35" s="739"/>
      <c r="H35" s="739">
        <v>80115</v>
      </c>
      <c r="I35" s="1774">
        <f t="shared" si="1"/>
        <v>0</v>
      </c>
      <c r="J35" s="739"/>
      <c r="K35" s="738"/>
    </row>
    <row r="36" spans="1:11" ht="12" customHeight="1" x14ac:dyDescent="0.2">
      <c r="A36" s="733" t="s">
        <v>2094</v>
      </c>
      <c r="B36" s="734">
        <v>41730</v>
      </c>
      <c r="C36" s="735">
        <v>207414</v>
      </c>
      <c r="D36" s="736">
        <v>7</v>
      </c>
      <c r="E36" s="735">
        <v>90207</v>
      </c>
      <c r="F36" s="735"/>
      <c r="G36" s="735"/>
      <c r="H36" s="735">
        <v>90207</v>
      </c>
      <c r="I36" s="1774">
        <f t="shared" si="1"/>
        <v>0</v>
      </c>
      <c r="J36" s="735"/>
      <c r="K36" s="740"/>
    </row>
    <row r="37" spans="1:11" ht="12" customHeight="1" x14ac:dyDescent="0.2">
      <c r="A37" s="733" t="s">
        <v>2094</v>
      </c>
      <c r="B37" s="734">
        <v>41730</v>
      </c>
      <c r="C37" s="467">
        <v>28292</v>
      </c>
      <c r="D37" s="741">
        <v>7</v>
      </c>
      <c r="E37" s="467">
        <v>13369</v>
      </c>
      <c r="F37" s="467"/>
      <c r="G37" s="467"/>
      <c r="H37" s="467">
        <v>13369</v>
      </c>
      <c r="I37" s="1774">
        <f t="shared" si="1"/>
        <v>0</v>
      </c>
      <c r="J37" s="467"/>
      <c r="K37" s="738"/>
    </row>
    <row r="38" spans="1:11" ht="12" customHeight="1" x14ac:dyDescent="0.2">
      <c r="A38" s="733" t="s">
        <v>2094</v>
      </c>
      <c r="B38" s="734">
        <v>42537</v>
      </c>
      <c r="C38" s="735">
        <v>105098</v>
      </c>
      <c r="D38" s="742">
        <v>7</v>
      </c>
      <c r="E38" s="743">
        <v>71730</v>
      </c>
      <c r="F38" s="743"/>
      <c r="G38" s="743"/>
      <c r="H38" s="743">
        <v>71730</v>
      </c>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4882981</v>
      </c>
      <c r="D49" s="746"/>
      <c r="E49" s="1774">
        <f t="shared" ref="E49:J49" si="2">SUM(E31:E48)</f>
        <v>3684421</v>
      </c>
      <c r="F49" s="1774">
        <f t="shared" si="2"/>
        <v>0</v>
      </c>
      <c r="G49" s="1774">
        <f t="shared" si="2"/>
        <v>0</v>
      </c>
      <c r="H49" s="1774">
        <f t="shared" si="2"/>
        <v>505421</v>
      </c>
      <c r="I49" s="1774">
        <f t="shared" si="2"/>
        <v>3179000</v>
      </c>
      <c r="J49" s="1774">
        <f t="shared" si="2"/>
        <v>580522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t="s">
        <v>2096</v>
      </c>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48"/>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5"/>
      <c r="G12" s="1776">
        <f>SUM(G5:G11)</f>
        <v>0</v>
      </c>
      <c r="H12" s="1776">
        <f>SUM(H5:H11)</f>
        <v>0</v>
      </c>
      <c r="I12" s="1776">
        <f>SUM(I5:I11)</f>
        <v>0</v>
      </c>
      <c r="J12" s="1776">
        <f>SUM(J5:J11)</f>
        <v>0</v>
      </c>
      <c r="K12" s="1776">
        <f>SUM(K5:K11)</f>
        <v>0</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c r="I14" s="772"/>
      <c r="J14" s="774"/>
      <c r="K14" s="766"/>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77"/>
      <c r="G21" s="793"/>
      <c r="H21" s="797"/>
      <c r="I21" s="797"/>
      <c r="J21" s="1778">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79"/>
      <c r="G23" s="1776">
        <f>SUM(G14:G16,G21,G22)</f>
        <v>0</v>
      </c>
      <c r="H23" s="1776">
        <f>SUM(H14:H16,H21,H22)</f>
        <v>0</v>
      </c>
      <c r="I23" s="1776">
        <f>SUM(I14:I16,I21,I22)</f>
        <v>0</v>
      </c>
      <c r="J23" s="1776">
        <f>SUM(J14:J16,J21,J22)</f>
        <v>0</v>
      </c>
      <c r="K23" s="1776">
        <f>SUM(K14:K16,K21,K22)</f>
        <v>0</v>
      </c>
    </row>
    <row r="24" spans="1:11" ht="14.25" thickTop="1" thickBot="1" x14ac:dyDescent="0.25">
      <c r="A24" s="2264" t="s">
        <v>2026</v>
      </c>
      <c r="B24" s="2263"/>
      <c r="C24" s="2263"/>
      <c r="D24" s="2263"/>
      <c r="E24" s="2263"/>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1" t="s">
        <v>2036</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9" t="s">
        <v>1917</v>
      </c>
      <c r="B46" s="408" t="s">
        <v>1774</v>
      </c>
    </row>
    <row r="47" spans="1:11" s="824" customFormat="1" ht="12.75" customHeight="1" x14ac:dyDescent="0.2">
      <c r="A47" s="822"/>
      <c r="B47" s="823" t="s">
        <v>1775</v>
      </c>
      <c r="E47" s="823"/>
      <c r="K47" s="825"/>
    </row>
    <row r="48" spans="1:11" ht="12.75" customHeight="1" x14ac:dyDescent="0.2">
      <c r="A48" s="1550"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47" t="s">
        <v>948</v>
      </c>
      <c r="B3" s="1648">
        <v>210</v>
      </c>
      <c r="C3" s="836"/>
      <c r="D3" s="836"/>
      <c r="E3" s="836"/>
      <c r="F3" s="1778">
        <f>(C3+D3)-E3</f>
        <v>0</v>
      </c>
      <c r="G3" s="837"/>
      <c r="H3" s="836"/>
      <c r="I3" s="836"/>
      <c r="J3" s="836"/>
      <c r="K3" s="1787">
        <f>(H3+I3)-J3</f>
        <v>0</v>
      </c>
      <c r="L3" s="1787">
        <f>F3-K3</f>
        <v>0</v>
      </c>
      <c r="M3" s="835"/>
      <c r="N3" s="835"/>
    </row>
    <row r="4" spans="1:14" ht="15" customHeight="1" thickTop="1" x14ac:dyDescent="0.2">
      <c r="A4" s="1649" t="s">
        <v>160</v>
      </c>
      <c r="B4" s="1648">
        <v>220</v>
      </c>
      <c r="C4" s="782"/>
      <c r="D4" s="782"/>
      <c r="E4" s="782"/>
      <c r="F4" s="774"/>
      <c r="G4" s="838"/>
      <c r="H4" s="839"/>
      <c r="I4" s="839"/>
      <c r="J4" s="839"/>
      <c r="K4" s="840"/>
      <c r="L4" s="774"/>
    </row>
    <row r="5" spans="1:14" ht="13.5" thickBot="1" x14ac:dyDescent="0.25">
      <c r="A5" s="779" t="s">
        <v>949</v>
      </c>
      <c r="B5" s="841">
        <v>221</v>
      </c>
      <c r="C5" s="842">
        <v>47297</v>
      </c>
      <c r="D5" s="842"/>
      <c r="E5" s="842"/>
      <c r="F5" s="1778">
        <f>(C5+D5)-E5</f>
        <v>47297</v>
      </c>
      <c r="G5" s="838"/>
      <c r="H5" s="843"/>
      <c r="I5" s="843"/>
      <c r="J5" s="843"/>
      <c r="K5" s="794"/>
      <c r="L5" s="1787">
        <f>F5-K5</f>
        <v>47297</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49" t="s">
        <v>161</v>
      </c>
      <c r="B7" s="1648">
        <v>230</v>
      </c>
      <c r="C7" s="782"/>
      <c r="D7" s="782"/>
      <c r="E7" s="782"/>
      <c r="F7" s="774"/>
      <c r="G7" s="844"/>
      <c r="H7" s="782"/>
      <c r="I7" s="782"/>
      <c r="J7" s="782"/>
      <c r="K7" s="774"/>
      <c r="L7" s="774"/>
    </row>
    <row r="8" spans="1:14" ht="13.5" thickBot="1" x14ac:dyDescent="0.25">
      <c r="A8" s="779" t="s">
        <v>1180</v>
      </c>
      <c r="B8" s="841">
        <v>231</v>
      </c>
      <c r="C8" s="845">
        <v>25369844</v>
      </c>
      <c r="D8" s="845"/>
      <c r="E8" s="845"/>
      <c r="F8" s="1778">
        <f>(C8+D8)-E8</f>
        <v>25369844</v>
      </c>
      <c r="G8" s="844">
        <v>50</v>
      </c>
      <c r="H8" s="766">
        <v>5801109</v>
      </c>
      <c r="I8" s="766">
        <v>683915</v>
      </c>
      <c r="J8" s="766"/>
      <c r="K8" s="1787">
        <f>(H8+I8)-J8</f>
        <v>6485024</v>
      </c>
      <c r="L8" s="1787">
        <f>F8-K8</f>
        <v>18884820</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1240746</v>
      </c>
      <c r="D10" s="847">
        <v>22180</v>
      </c>
      <c r="E10" s="847"/>
      <c r="F10" s="1782">
        <f>(C10+D10)-E10</f>
        <v>1262926</v>
      </c>
      <c r="G10" s="844">
        <v>20</v>
      </c>
      <c r="H10" s="848">
        <v>337271</v>
      </c>
      <c r="I10" s="848">
        <v>57764</v>
      </c>
      <c r="J10" s="848"/>
      <c r="K10" s="1787">
        <f>(H10+I10)-J10</f>
        <v>395035</v>
      </c>
      <c r="L10" s="1787">
        <f>F10-K10</f>
        <v>867891</v>
      </c>
    </row>
    <row r="11" spans="1:14" ht="13.5" thickTop="1" x14ac:dyDescent="0.2">
      <c r="A11" s="1650" t="s">
        <v>1198</v>
      </c>
      <c r="B11" s="1648">
        <v>250</v>
      </c>
      <c r="C11" s="782"/>
      <c r="D11" s="782"/>
      <c r="E11" s="782"/>
      <c r="F11" s="774"/>
      <c r="G11" s="844"/>
      <c r="H11" s="782"/>
      <c r="I11" s="782"/>
      <c r="J11" s="782"/>
      <c r="K11" s="774"/>
      <c r="L11" s="774"/>
    </row>
    <row r="12" spans="1:14" ht="13.5" thickBot="1" x14ac:dyDescent="0.25">
      <c r="A12" s="849" t="s">
        <v>1183</v>
      </c>
      <c r="B12" s="841">
        <v>251</v>
      </c>
      <c r="C12" s="845">
        <v>1745556</v>
      </c>
      <c r="D12" s="845">
        <v>64042</v>
      </c>
      <c r="E12" s="845">
        <v>360348</v>
      </c>
      <c r="F12" s="1778">
        <f>(C12+D12)-E12</f>
        <v>1449250</v>
      </c>
      <c r="G12" s="844">
        <v>10</v>
      </c>
      <c r="H12" s="766">
        <v>867078</v>
      </c>
      <c r="I12" s="766">
        <v>186467</v>
      </c>
      <c r="J12" s="766">
        <v>272678</v>
      </c>
      <c r="K12" s="1787">
        <f>(H12+I12)-J12</f>
        <v>780867</v>
      </c>
      <c r="L12" s="1787">
        <f>F12-K12</f>
        <v>668383</v>
      </c>
    </row>
    <row r="13" spans="1:14" ht="14.25" thickTop="1" thickBot="1" x14ac:dyDescent="0.25">
      <c r="A13" s="849" t="s">
        <v>1184</v>
      </c>
      <c r="B13" s="841">
        <v>252</v>
      </c>
      <c r="C13" s="845"/>
      <c r="D13" s="845"/>
      <c r="E13" s="845"/>
      <c r="F13" s="1778">
        <f>(C13+D13)-E13</f>
        <v>0</v>
      </c>
      <c r="G13" s="844">
        <v>5</v>
      </c>
      <c r="H13" s="766"/>
      <c r="I13" s="766"/>
      <c r="J13" s="766"/>
      <c r="K13" s="1787">
        <f>(H13+I13)-J13</f>
        <v>0</v>
      </c>
      <c r="L13" s="1787">
        <f>F13-K13</f>
        <v>0</v>
      </c>
    </row>
    <row r="14" spans="1:14" ht="14.25" thickTop="1" thickBot="1" x14ac:dyDescent="0.25">
      <c r="A14" s="849" t="s">
        <v>1185</v>
      </c>
      <c r="B14" s="841">
        <v>253</v>
      </c>
      <c r="C14" s="766"/>
      <c r="D14" s="766"/>
      <c r="E14" s="766"/>
      <c r="F14" s="1778">
        <f>(C14+D14)-E14</f>
        <v>0</v>
      </c>
      <c r="G14" s="844">
        <v>3</v>
      </c>
      <c r="H14" s="766"/>
      <c r="I14" s="766"/>
      <c r="J14" s="766"/>
      <c r="K14" s="1787">
        <f>(H14+I14)-J14</f>
        <v>0</v>
      </c>
      <c r="L14" s="1787">
        <f>F14-K14</f>
        <v>0</v>
      </c>
    </row>
    <row r="15" spans="1:14" ht="15" customHeight="1" thickTop="1" thickBot="1" x14ac:dyDescent="0.25">
      <c r="A15" s="1649" t="s">
        <v>549</v>
      </c>
      <c r="B15" s="1648">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28403443</v>
      </c>
      <c r="D16" s="1778">
        <f>SUM(D3,D5:D6,D8:D10,D12:D15)</f>
        <v>86222</v>
      </c>
      <c r="E16" s="1778">
        <f>SUM(E3,E5:E6,E8:E10,E12:E15)</f>
        <v>360348</v>
      </c>
      <c r="F16" s="1778">
        <f>SUM(F3,F5:F6,F8:F10,F12:F15)</f>
        <v>28129317</v>
      </c>
      <c r="G16" s="844"/>
      <c r="H16" s="1778">
        <f>SUM(H3,H6,H8:H10,H12:H14,)</f>
        <v>7005458</v>
      </c>
      <c r="I16" s="1778">
        <f>SUM(I3,I6,I8:I10,I12:I14,)</f>
        <v>928146</v>
      </c>
      <c r="J16" s="1778">
        <f>SUM(J3,J6,J8:J10,J12:J14,)</f>
        <v>272678</v>
      </c>
      <c r="K16" s="1778">
        <f>(H16+I16)-J16</f>
        <v>7660926</v>
      </c>
      <c r="L16" s="1778">
        <f>F16-K16</f>
        <v>20468391</v>
      </c>
    </row>
    <row r="17" spans="1:12" ht="15" customHeight="1" thickTop="1" thickBot="1" x14ac:dyDescent="0.25">
      <c r="A17" s="1651" t="s">
        <v>309</v>
      </c>
      <c r="B17" s="1648">
        <v>700</v>
      </c>
      <c r="C17" s="770"/>
      <c r="D17" s="770"/>
      <c r="E17" s="770"/>
      <c r="F17" s="1778">
        <f>SUM('Expenditures 15-22'!I114,'Expenditures 15-22'!I151,'Expenditures 15-22'!I210,'Expenditures 15-22'!I312,'Expenditures 15-22'!I342,'Expenditures 15-22'!I367)</f>
        <v>299110</v>
      </c>
      <c r="G17" s="838">
        <v>10</v>
      </c>
      <c r="H17" s="770"/>
      <c r="I17" s="1787">
        <f>F17/G17</f>
        <v>29911</v>
      </c>
      <c r="J17" s="770"/>
      <c r="K17" s="796"/>
      <c r="L17" s="796"/>
    </row>
    <row r="18" spans="1:12" ht="14.25" thickTop="1" thickBot="1" x14ac:dyDescent="0.25">
      <c r="A18" s="1785" t="s">
        <v>706</v>
      </c>
      <c r="B18" s="1786"/>
      <c r="C18" s="772"/>
      <c r="D18" s="772"/>
      <c r="E18" s="772"/>
      <c r="F18" s="851"/>
      <c r="G18" s="852"/>
      <c r="H18" s="774"/>
      <c r="I18" s="1778">
        <f>SUM(I16,I17)</f>
        <v>958057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10894650</v>
      </c>
      <c r="G8" s="866"/>
    </row>
    <row r="9" spans="1:7" x14ac:dyDescent="0.2">
      <c r="A9" s="870" t="s">
        <v>480</v>
      </c>
      <c r="B9" s="871" t="s">
        <v>1989</v>
      </c>
      <c r="C9" s="872"/>
      <c r="D9" s="870" t="s">
        <v>522</v>
      </c>
      <c r="E9" s="869"/>
      <c r="F9" s="1931">
        <f>'Expenditures 15-22'!K151</f>
        <v>947191</v>
      </c>
      <c r="G9" s="873"/>
    </row>
    <row r="10" spans="1:7" x14ac:dyDescent="0.2">
      <c r="A10" s="870" t="s">
        <v>520</v>
      </c>
      <c r="B10" s="871" t="s">
        <v>1990</v>
      </c>
      <c r="C10" s="872"/>
      <c r="D10" s="870" t="s">
        <v>522</v>
      </c>
      <c r="E10" s="869"/>
      <c r="F10" s="1931">
        <f>'Expenditures 15-22'!K174</f>
        <v>661529</v>
      </c>
      <c r="G10" s="873"/>
    </row>
    <row r="11" spans="1:7" x14ac:dyDescent="0.2">
      <c r="A11" s="870" t="s">
        <v>481</v>
      </c>
      <c r="B11" s="871" t="s">
        <v>1991</v>
      </c>
      <c r="C11" s="872"/>
      <c r="D11" s="870" t="s">
        <v>522</v>
      </c>
      <c r="E11" s="869"/>
      <c r="F11" s="1931">
        <f>'Expenditures 15-22'!K210</f>
        <v>961209</v>
      </c>
      <c r="G11" s="873"/>
    </row>
    <row r="12" spans="1:7" x14ac:dyDescent="0.2">
      <c r="A12" s="870" t="s">
        <v>482</v>
      </c>
      <c r="B12" s="871" t="s">
        <v>1992</v>
      </c>
      <c r="C12" s="872"/>
      <c r="D12" s="870" t="s">
        <v>522</v>
      </c>
      <c r="E12" s="869"/>
      <c r="F12" s="1931">
        <f>'Expenditures 15-22'!K295</f>
        <v>314831</v>
      </c>
      <c r="G12" s="873"/>
    </row>
    <row r="13" spans="1:7" x14ac:dyDescent="0.2">
      <c r="A13" s="870" t="s">
        <v>108</v>
      </c>
      <c r="B13" s="871" t="s">
        <v>1993</v>
      </c>
      <c r="C13" s="872"/>
      <c r="D13" s="870" t="s">
        <v>522</v>
      </c>
      <c r="E13" s="869"/>
      <c r="F13" s="1931">
        <f>'Expenditures 15-22'!K342</f>
        <v>316583</v>
      </c>
      <c r="G13" s="874"/>
    </row>
    <row r="14" spans="1:7" ht="12" customHeight="1" thickBot="1" x14ac:dyDescent="0.25">
      <c r="A14" s="1788"/>
      <c r="B14" s="1789"/>
      <c r="C14" s="1790"/>
      <c r="D14" s="1791" t="s">
        <v>522</v>
      </c>
      <c r="E14" s="1792" t="s">
        <v>1015</v>
      </c>
      <c r="F14" s="1793">
        <f>SUM(F8:F13)</f>
        <v>14095993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157533</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20953</v>
      </c>
      <c r="G52" s="866"/>
    </row>
    <row r="53" spans="1:7" x14ac:dyDescent="0.2">
      <c r="A53" s="870" t="s">
        <v>479</v>
      </c>
      <c r="B53" s="870" t="s">
        <v>1551</v>
      </c>
      <c r="C53" s="890">
        <f>'Expenditures 15-22'!B102</f>
        <v>4000</v>
      </c>
      <c r="D53" s="889" t="str">
        <f>'Expenditures 15-22'!A102</f>
        <v>Total Payments to Other Govt Units</v>
      </c>
      <c r="E53" s="869"/>
      <c r="F53" s="1935">
        <f>'Expenditures 15-22'!K102</f>
        <v>1481951</v>
      </c>
      <c r="G53" s="866"/>
    </row>
    <row r="54" spans="1:7" x14ac:dyDescent="0.2">
      <c r="A54" s="870" t="s">
        <v>479</v>
      </c>
      <c r="B54" s="870" t="s">
        <v>1552</v>
      </c>
      <c r="C54" s="890" t="s">
        <v>1039</v>
      </c>
      <c r="D54" s="886" t="s">
        <v>1157</v>
      </c>
      <c r="E54" s="869"/>
      <c r="F54" s="1935">
        <f>'Expenditures 15-22'!G114</f>
        <v>68155</v>
      </c>
      <c r="G54" s="866"/>
    </row>
    <row r="55" spans="1:7" x14ac:dyDescent="0.2">
      <c r="A55" s="870" t="s">
        <v>479</v>
      </c>
      <c r="B55" s="870" t="s">
        <v>1553</v>
      </c>
      <c r="C55" s="890" t="s">
        <v>1039</v>
      </c>
      <c r="D55" s="886" t="s">
        <v>309</v>
      </c>
      <c r="E55" s="869"/>
      <c r="F55" s="1935">
        <f>'Expenditures 15-22'!I114</f>
        <v>298335</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5">
        <f>'Expenditures 15-22'!K139</f>
        <v>0</v>
      </c>
      <c r="G57" s="866"/>
    </row>
    <row r="58" spans="1:7" x14ac:dyDescent="0.2">
      <c r="A58" s="870" t="s">
        <v>480</v>
      </c>
      <c r="B58" s="870" t="s">
        <v>1995</v>
      </c>
      <c r="C58" s="887" t="s">
        <v>1039</v>
      </c>
      <c r="D58" s="886" t="s">
        <v>1157</v>
      </c>
      <c r="E58" s="869"/>
      <c r="F58" s="1937">
        <f>'Expenditures 15-22'!G151</f>
        <v>18068</v>
      </c>
      <c r="G58" s="866"/>
    </row>
    <row r="59" spans="1:7" x14ac:dyDescent="0.2">
      <c r="A59" s="894" t="s">
        <v>480</v>
      </c>
      <c r="B59" s="857" t="s">
        <v>1996</v>
      </c>
      <c r="C59" s="895" t="s">
        <v>1039</v>
      </c>
      <c r="D59" s="857" t="s">
        <v>309</v>
      </c>
      <c r="F59" s="1938">
        <f>'Expenditures 15-22'!I151</f>
        <v>775</v>
      </c>
      <c r="G59" s="866"/>
    </row>
    <row r="60" spans="1:7" x14ac:dyDescent="0.2">
      <c r="A60" s="894" t="s">
        <v>520</v>
      </c>
      <c r="B60" s="857" t="s">
        <v>1997</v>
      </c>
      <c r="C60" s="895">
        <v>4000</v>
      </c>
      <c r="D60" s="857" t="s">
        <v>330</v>
      </c>
      <c r="F60" s="1936">
        <f>'Expenditures 15-22'!K160</f>
        <v>0</v>
      </c>
      <c r="G60" s="866"/>
    </row>
    <row r="61" spans="1:7" x14ac:dyDescent="0.2">
      <c r="A61" s="896" t="s">
        <v>520</v>
      </c>
      <c r="B61" s="896" t="s">
        <v>1998</v>
      </c>
      <c r="C61" s="897" t="str">
        <f>'Expenditures 15-22'!B170</f>
        <v>5300</v>
      </c>
      <c r="D61" s="898" t="s">
        <v>329</v>
      </c>
      <c r="E61" s="880"/>
      <c r="F61" s="1935">
        <f>'Expenditures 15-22'!K170</f>
        <v>505421</v>
      </c>
      <c r="G61" s="866"/>
    </row>
    <row r="62" spans="1:7" x14ac:dyDescent="0.2">
      <c r="A62" s="870" t="s">
        <v>481</v>
      </c>
      <c r="B62" s="870" t="s">
        <v>1999</v>
      </c>
      <c r="C62" s="887">
        <f>'Expenditures 15-22'!B185</f>
        <v>3000</v>
      </c>
      <c r="D62" s="877" t="s">
        <v>469</v>
      </c>
      <c r="E62" s="869"/>
      <c r="F62" s="1935">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5">
        <f>'Expenditures 15-22'!K196</f>
        <v>0</v>
      </c>
      <c r="G63" s="866"/>
    </row>
    <row r="64" spans="1:7" x14ac:dyDescent="0.2">
      <c r="A64" s="896" t="s">
        <v>481</v>
      </c>
      <c r="B64" s="896" t="s">
        <v>2001</v>
      </c>
      <c r="C64" s="897" t="str">
        <f>'Expenditures 15-22'!B206</f>
        <v>5300</v>
      </c>
      <c r="D64" s="893" t="s">
        <v>329</v>
      </c>
      <c r="E64" s="869"/>
      <c r="F64" s="1935">
        <f>'Expenditures 15-22'!K206</f>
        <v>0</v>
      </c>
      <c r="G64" s="866"/>
    </row>
    <row r="65" spans="1:8" x14ac:dyDescent="0.2">
      <c r="A65" s="870" t="s">
        <v>481</v>
      </c>
      <c r="B65" s="870" t="s">
        <v>2002</v>
      </c>
      <c r="C65" s="887" t="s">
        <v>1039</v>
      </c>
      <c r="D65" s="886" t="s">
        <v>1157</v>
      </c>
      <c r="E65" s="869"/>
      <c r="F65" s="1935">
        <f>'Expenditures 15-22'!G210</f>
        <v>0</v>
      </c>
      <c r="G65" s="866"/>
    </row>
    <row r="66" spans="1:8" x14ac:dyDescent="0.2">
      <c r="A66" s="870" t="s">
        <v>481</v>
      </c>
      <c r="B66" s="870" t="s">
        <v>2003</v>
      </c>
      <c r="C66" s="887" t="s">
        <v>1039</v>
      </c>
      <c r="D66" s="886" t="s">
        <v>309</v>
      </c>
      <c r="E66" s="869"/>
      <c r="F66" s="1935">
        <f>'Expenditures 15-22'!I210</f>
        <v>0</v>
      </c>
      <c r="G66" s="866"/>
    </row>
    <row r="67" spans="1:8" x14ac:dyDescent="0.2">
      <c r="A67" s="870" t="s">
        <v>482</v>
      </c>
      <c r="B67" s="870" t="s">
        <v>2004</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2006</v>
      </c>
      <c r="C70" s="887">
        <f>'Expenditures 15-22'!B221</f>
        <v>1300</v>
      </c>
      <c r="D70" s="888" t="str">
        <f>'Expenditures 15-22'!A221</f>
        <v>Adult/Continuing Education Programs</v>
      </c>
      <c r="E70" s="869"/>
      <c r="F70" s="1935">
        <f>'Expenditures 15-22'!K221</f>
        <v>0</v>
      </c>
      <c r="G70" s="866"/>
    </row>
    <row r="71" spans="1:8" x14ac:dyDescent="0.2">
      <c r="A71" s="870" t="s">
        <v>482</v>
      </c>
      <c r="B71" s="870" t="s">
        <v>2007</v>
      </c>
      <c r="C71" s="887">
        <f>'Expenditures 15-22'!B224</f>
        <v>1600</v>
      </c>
      <c r="D71" s="888" t="str">
        <f>'Expenditures 15-22'!A224</f>
        <v>Summer School Programs</v>
      </c>
      <c r="E71" s="869"/>
      <c r="F71" s="1935">
        <f>'Expenditures 15-22'!K224</f>
        <v>7150</v>
      </c>
      <c r="G71" s="866"/>
    </row>
    <row r="72" spans="1:8" x14ac:dyDescent="0.2">
      <c r="A72" s="870" t="s">
        <v>482</v>
      </c>
      <c r="B72" s="870" t="s">
        <v>2008</v>
      </c>
      <c r="C72" s="887">
        <f>'Expenditures 15-22'!B280</f>
        <v>3000</v>
      </c>
      <c r="D72" s="877" t="s">
        <v>469</v>
      </c>
      <c r="E72" s="869"/>
      <c r="F72" s="1935">
        <f>'Expenditures 15-22'!K280</f>
        <v>799</v>
      </c>
      <c r="G72" s="866"/>
    </row>
    <row r="73" spans="1:8" x14ac:dyDescent="0.2">
      <c r="A73" s="870" t="s">
        <v>482</v>
      </c>
      <c r="B73" s="870" t="s">
        <v>2009</v>
      </c>
      <c r="C73" s="887" t="str">
        <f>'Expenditures 15-22'!B285</f>
        <v>4000</v>
      </c>
      <c r="D73" s="888" t="str">
        <f>'Expenditures 15-22'!A285</f>
        <v>Total Payments to Other Govt Units</v>
      </c>
      <c r="E73" s="869"/>
      <c r="F73" s="1935">
        <f>'Expenditures 15-22'!K285</f>
        <v>0</v>
      </c>
      <c r="G73" s="866"/>
    </row>
    <row r="74" spans="1:8" x14ac:dyDescent="0.2">
      <c r="A74" s="870" t="s">
        <v>456</v>
      </c>
      <c r="B74" s="870" t="s">
        <v>2010</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2011</v>
      </c>
      <c r="E76" s="1792" t="s">
        <v>1015</v>
      </c>
      <c r="F76" s="1796">
        <f>SUM(F18:F74)</f>
        <v>2559140</v>
      </c>
      <c r="G76" s="866"/>
    </row>
    <row r="77" spans="1:8" s="894" customFormat="1" ht="12" customHeight="1" thickTop="1" thickBot="1" x14ac:dyDescent="0.25">
      <c r="A77" s="1797"/>
      <c r="B77" s="1794"/>
      <c r="C77" s="1790"/>
      <c r="D77" s="1795" t="s">
        <v>2012</v>
      </c>
      <c r="E77" s="1792"/>
      <c r="F77" s="1798">
        <f>(F14-F76)</f>
        <v>11536853</v>
      </c>
      <c r="G77" s="870"/>
    </row>
    <row r="78" spans="1:8" s="894" customFormat="1" ht="12" customHeight="1" thickTop="1" x14ac:dyDescent="0.2">
      <c r="A78" s="1799"/>
      <c r="B78" s="1794"/>
      <c r="C78" s="1790"/>
      <c r="D78" s="1795" t="s">
        <v>2059</v>
      </c>
      <c r="E78" s="1792"/>
      <c r="F78" s="899">
        <v>932.6</v>
      </c>
      <c r="G78" s="900"/>
      <c r="H78" s="870"/>
    </row>
    <row r="79" spans="1:8" s="894" customFormat="1" ht="12" customHeight="1" thickBot="1" x14ac:dyDescent="0.25">
      <c r="A79" s="1800"/>
      <c r="B79" s="1794"/>
      <c r="C79" s="1790"/>
      <c r="D79" s="1795" t="s">
        <v>2013</v>
      </c>
      <c r="E79" s="1792" t="s">
        <v>1015</v>
      </c>
      <c r="F79" s="1801">
        <f>IF(F78&gt;0,F77/F78," Complete Line 78")</f>
        <v>12370.633712202445</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0</v>
      </c>
      <c r="G94" s="913"/>
    </row>
    <row r="95" spans="1:7" x14ac:dyDescent="0.2">
      <c r="A95" s="909" t="s">
        <v>142</v>
      </c>
      <c r="B95" s="909" t="s">
        <v>177</v>
      </c>
      <c r="C95" s="911">
        <v>1700</v>
      </c>
      <c r="D95" s="919" t="str">
        <f>'Revenues 9-14'!A82</f>
        <v>Total District/School Activity Income</v>
      </c>
      <c r="E95" s="907"/>
      <c r="F95" s="1807">
        <f>SUM('Revenues 9-14'!C82,'Revenues 9-14'!D82)</f>
        <v>0</v>
      </c>
      <c r="G95" s="913"/>
    </row>
    <row r="96" spans="1:7" x14ac:dyDescent="0.2">
      <c r="A96" s="909" t="s">
        <v>479</v>
      </c>
      <c r="B96" s="909" t="s">
        <v>178</v>
      </c>
      <c r="C96" s="911">
        <f>'Revenues 9-14'!B84</f>
        <v>1811</v>
      </c>
      <c r="D96" s="912" t="str">
        <f>'Revenues 9-14'!A84</f>
        <v>Rentals - Regular Textbooks</v>
      </c>
      <c r="E96" s="907"/>
      <c r="F96" s="1807">
        <f>'Revenues 9-14'!C84</f>
        <v>0</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292272</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34943</v>
      </c>
      <c r="G107" s="913"/>
    </row>
    <row r="108" spans="1:7" x14ac:dyDescent="0.2">
      <c r="A108" s="909" t="s">
        <v>479</v>
      </c>
      <c r="B108" s="909" t="s">
        <v>844</v>
      </c>
      <c r="C108" s="921">
        <f>'Revenues 9-14'!B145</f>
        <v>3360</v>
      </c>
      <c r="D108" s="912" t="str">
        <f>'Revenues 9-14'!A145</f>
        <v>State Free Lunch &amp; Breakfast</v>
      </c>
      <c r="E108" s="907"/>
      <c r="F108" s="1807">
        <f>'Revenues 9-14'!C145</f>
        <v>11353</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666456</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73702</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636577</v>
      </c>
      <c r="G129" s="931"/>
    </row>
    <row r="130" spans="1:7" x14ac:dyDescent="0.2">
      <c r="A130" s="928" t="s">
        <v>689</v>
      </c>
      <c r="B130" s="928" t="s">
        <v>804</v>
      </c>
      <c r="C130" s="933">
        <v>4300</v>
      </c>
      <c r="D130" s="934" t="str">
        <f>'Revenues 9-14'!A211</f>
        <v>Total Title I</v>
      </c>
      <c r="E130" s="907"/>
      <c r="F130" s="1807">
        <f>SUM('Revenues 9-14'!C211,'Revenues 9-14'!D211,'Revenues 9-14'!F211,'Revenues 9-14'!G211)</f>
        <v>592777</v>
      </c>
      <c r="G130" s="931"/>
    </row>
    <row r="131" spans="1:7" x14ac:dyDescent="0.2">
      <c r="A131" s="928" t="s">
        <v>689</v>
      </c>
      <c r="B131" s="928" t="s">
        <v>805</v>
      </c>
      <c r="C131" s="933">
        <v>4400</v>
      </c>
      <c r="D131" s="934" t="str">
        <f>'Revenues 9-14'!A216</f>
        <v>Total Title IV</v>
      </c>
      <c r="E131" s="907"/>
      <c r="F131" s="1807">
        <f>SUM('Revenues 9-14'!C216,'Revenues 9-14'!D216,'Revenues 9-14'!F216,'Revenues 9-14'!G216)</f>
        <v>12225</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8009</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64081</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16860</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14325</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40" t="s">
        <v>5</v>
      </c>
      <c r="B175" s="1941" t="s">
        <v>2058</v>
      </c>
      <c r="C175" s="1942">
        <v>3100</v>
      </c>
      <c r="D175" s="1943" t="s">
        <v>2061</v>
      </c>
      <c r="E175" s="907"/>
      <c r="F175" s="1927"/>
      <c r="G175" s="928"/>
    </row>
    <row r="176" spans="1:7" x14ac:dyDescent="0.2">
      <c r="A176" s="1940" t="s">
        <v>685</v>
      </c>
      <c r="B176" s="1941" t="s">
        <v>2058</v>
      </c>
      <c r="C176" s="1942">
        <v>3300</v>
      </c>
      <c r="D176" s="1943" t="s">
        <v>2062</v>
      </c>
      <c r="E176" s="907"/>
      <c r="F176" s="1927"/>
      <c r="G176" s="928"/>
    </row>
    <row r="177" spans="1:7" ht="6" customHeight="1" x14ac:dyDescent="0.2">
      <c r="A177" s="928"/>
      <c r="B177" s="928"/>
      <c r="C177" s="950"/>
      <c r="D177" s="928"/>
      <c r="E177" s="907"/>
      <c r="F177" s="951"/>
      <c r="G177" s="948"/>
    </row>
    <row r="178" spans="1:7" x14ac:dyDescent="0.2">
      <c r="A178" s="1788"/>
      <c r="B178" s="1802"/>
      <c r="C178" s="1803"/>
      <c r="D178" s="1804" t="s">
        <v>2014</v>
      </c>
      <c r="E178" s="1805" t="s">
        <v>1015</v>
      </c>
      <c r="F178" s="1806">
        <f>SUM(F84:F136,F161:F176)</f>
        <v>2423580</v>
      </c>
    </row>
    <row r="179" spans="1:7" ht="12" customHeight="1" x14ac:dyDescent="0.2">
      <c r="A179" s="1788"/>
      <c r="B179" s="1802"/>
      <c r="C179" s="1803"/>
      <c r="D179" s="1804" t="s">
        <v>2015</v>
      </c>
      <c r="E179" s="1805"/>
      <c r="F179" s="1807">
        <f>'PCTC-OEPP 27-28'!F77-F178</f>
        <v>9113273</v>
      </c>
    </row>
    <row r="180" spans="1:7" ht="12" customHeight="1" x14ac:dyDescent="0.2">
      <c r="A180" s="1788"/>
      <c r="B180" s="1802"/>
      <c r="C180" s="1803"/>
      <c r="D180" s="1804" t="s">
        <v>1924</v>
      </c>
      <c r="E180" s="1805"/>
      <c r="F180" s="1807">
        <f>'Cap Outlay Deprec 26'!I18</f>
        <v>958057</v>
      </c>
    </row>
    <row r="181" spans="1:7" ht="12" customHeight="1" x14ac:dyDescent="0.2">
      <c r="A181" s="1788"/>
      <c r="B181" s="1802"/>
      <c r="C181" s="1803"/>
      <c r="D181" s="1804" t="s">
        <v>2016</v>
      </c>
      <c r="E181" s="1805"/>
      <c r="F181" s="1807">
        <f>F179+F180</f>
        <v>10071330</v>
      </c>
    </row>
    <row r="182" spans="1:7" ht="12" customHeight="1" x14ac:dyDescent="0.2">
      <c r="A182" s="1788"/>
      <c r="B182" s="1808"/>
      <c r="C182" s="1803"/>
      <c r="D182" s="1804" t="str">
        <f>D78</f>
        <v>9 Month ADA from District Average Daily Attendance/Prior General State Aid Inquiry 2017-2018</v>
      </c>
      <c r="E182" s="1805"/>
      <c r="F182" s="1809">
        <f>'PCTC-OEPP 27-28'!F78</f>
        <v>932.6</v>
      </c>
      <c r="G182" s="931"/>
    </row>
    <row r="183" spans="1:7" ht="12" customHeight="1" thickBot="1" x14ac:dyDescent="0.25">
      <c r="A183" s="1788"/>
      <c r="B183" s="1808"/>
      <c r="C183" s="1803"/>
      <c r="D183" s="1804" t="s">
        <v>2017</v>
      </c>
      <c r="E183" s="1805" t="s">
        <v>1626</v>
      </c>
      <c r="F183" s="1810">
        <f>F181/F182</f>
        <v>10799.195796697404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4" customFormat="1" ht="12.2" customHeight="1" x14ac:dyDescent="0.2">
      <c r="A186" s="1944" t="s">
        <v>2065</v>
      </c>
      <c r="B186" s="1945"/>
      <c r="C186" s="1946"/>
      <c r="D186" s="1945"/>
      <c r="E186" s="1946"/>
      <c r="F186" s="1945"/>
      <c r="G186" s="1945"/>
    </row>
    <row r="187" spans="1:7" s="1944" customFormat="1" ht="12.2" customHeight="1" x14ac:dyDescent="0.2">
      <c r="A187" s="1947" t="s">
        <v>2066</v>
      </c>
      <c r="C187" s="1946"/>
      <c r="D187" s="1945"/>
      <c r="E187" s="1946"/>
      <c r="F187" s="1945"/>
      <c r="G187" s="1945"/>
    </row>
    <row r="188" spans="1:7" ht="12" customHeight="1" x14ac:dyDescent="0.2">
      <c r="C188" s="950"/>
      <c r="D188" s="931"/>
      <c r="E188" s="950"/>
      <c r="F188" s="931"/>
      <c r="G188" s="931"/>
    </row>
    <row r="189" spans="1:7" x14ac:dyDescent="0.2">
      <c r="A189" s="1948" t="s">
        <v>2064</v>
      </c>
      <c r="B189" s="1949"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1940</v>
      </c>
      <c r="B1" s="1678"/>
      <c r="C1" s="1678"/>
      <c r="D1" s="1678"/>
      <c r="E1" s="1678"/>
      <c r="F1" s="1678"/>
      <c r="G1" s="1678"/>
    </row>
    <row r="2" spans="1:7" x14ac:dyDescent="0.25">
      <c r="A2" s="1675"/>
      <c r="B2" s="1675"/>
      <c r="C2" s="1676" t="s">
        <v>1036</v>
      </c>
      <c r="D2" s="1675"/>
      <c r="E2" s="1675"/>
      <c r="F2" s="1675"/>
      <c r="G2" s="1675"/>
    </row>
    <row r="3" spans="1:7" ht="5.25" customHeight="1" x14ac:dyDescent="0.25">
      <c r="A3" s="1563"/>
      <c r="B3" s="1563"/>
      <c r="C3" s="1563"/>
      <c r="D3" s="1563"/>
      <c r="E3" s="1563"/>
      <c r="F3" s="1563"/>
      <c r="G3" s="1563"/>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2" t="s">
        <v>1926</v>
      </c>
      <c r="B6" s="1553"/>
      <c r="C6" s="1553"/>
      <c r="D6" s="1553"/>
      <c r="E6" s="1553"/>
      <c r="F6" s="1553"/>
      <c r="G6" s="1554"/>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5" t="s">
        <v>1927</v>
      </c>
      <c r="B10" s="1556"/>
      <c r="C10" s="1556"/>
      <c r="D10" s="1556"/>
      <c r="E10" s="1556"/>
      <c r="F10" s="1556"/>
      <c r="G10" s="1557"/>
    </row>
    <row r="11" spans="1:7" ht="17.25" customHeight="1" x14ac:dyDescent="0.25">
      <c r="A11" s="2292" t="s">
        <v>1941</v>
      </c>
      <c r="B11" s="2293"/>
      <c r="C11" s="2293"/>
      <c r="D11" s="2293"/>
      <c r="E11" s="2293"/>
      <c r="F11" s="2293"/>
      <c r="G11" s="2294"/>
    </row>
    <row r="12" spans="1:7" ht="15" customHeight="1" x14ac:dyDescent="0.25">
      <c r="A12" s="1555" t="s">
        <v>1932</v>
      </c>
      <c r="B12" s="1556"/>
      <c r="C12" s="1556"/>
      <c r="D12" s="1556"/>
      <c r="E12" s="1556"/>
      <c r="F12" s="1556"/>
      <c r="G12" s="1557"/>
    </row>
    <row r="13" spans="1:7" ht="32.25" customHeight="1" x14ac:dyDescent="0.25">
      <c r="A13" s="2283" t="s">
        <v>1933</v>
      </c>
      <c r="B13" s="2284"/>
      <c r="C13" s="2284"/>
      <c r="D13" s="2284"/>
      <c r="E13" s="2284"/>
      <c r="F13" s="2284"/>
      <c r="G13" s="2285"/>
    </row>
    <row r="14" spans="1:7" x14ac:dyDescent="0.25">
      <c r="A14" s="1679" t="s">
        <v>1942</v>
      </c>
      <c r="B14" s="1680"/>
      <c r="C14" s="1680"/>
      <c r="D14" s="1680"/>
      <c r="E14" s="1680"/>
      <c r="F14" s="1680"/>
      <c r="G14" s="1681"/>
    </row>
    <row r="15" spans="1:7" ht="61.5" customHeight="1" x14ac:dyDescent="0.25">
      <c r="A15" s="1564" t="s">
        <v>1934</v>
      </c>
      <c r="B15" s="1564" t="s">
        <v>1935</v>
      </c>
      <c r="C15" s="1564" t="s">
        <v>1936</v>
      </c>
      <c r="D15" s="1565" t="s">
        <v>1937</v>
      </c>
      <c r="E15" s="1565" t="s">
        <v>1928</v>
      </c>
      <c r="F15" s="1565" t="s">
        <v>1938</v>
      </c>
      <c r="G15" s="1565" t="s">
        <v>1939</v>
      </c>
    </row>
    <row r="16" spans="1:7" x14ac:dyDescent="0.25">
      <c r="A16" s="1666" t="s">
        <v>1943</v>
      </c>
      <c r="B16" s="1667" t="s">
        <v>1931</v>
      </c>
      <c r="C16" s="1668" t="s">
        <v>1929</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673" t="s">
        <v>2133</v>
      </c>
      <c r="B17" s="1864" t="s">
        <v>2141</v>
      </c>
      <c r="C17" s="1674" t="s">
        <v>2151</v>
      </c>
      <c r="D17" s="1863">
        <v>30304.32</v>
      </c>
      <c r="E17" s="1558">
        <f t="shared" ref="E17:E141" si="1">IF(D17&lt;=25000,D17,IF(D17&gt;25000,25000,0))</f>
        <v>25000</v>
      </c>
      <c r="F17" s="1811">
        <f t="shared" si="0"/>
        <v>25000</v>
      </c>
      <c r="G17" s="1812">
        <f>IF(F17=0,0,D17-F17)</f>
        <v>5304.32</v>
      </c>
      <c r="H17" s="1665"/>
    </row>
    <row r="18" spans="1:8" x14ac:dyDescent="0.25">
      <c r="A18" s="1671" t="s">
        <v>2134</v>
      </c>
      <c r="B18" s="1864" t="s">
        <v>2142</v>
      </c>
      <c r="C18" s="1674" t="s">
        <v>2152</v>
      </c>
      <c r="D18" s="1863">
        <v>106679</v>
      </c>
      <c r="E18" s="1558">
        <f t="shared" ref="E18:E140" si="2">IF(D18&lt;=25000,D18,IF(D18&gt;25000,25000,0))</f>
        <v>25000</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2">
        <f t="shared" ref="G18:G140" si="4">IF(F18=0,0,D18-F18)</f>
        <v>81679</v>
      </c>
    </row>
    <row r="19" spans="1:8" ht="30" x14ac:dyDescent="0.25">
      <c r="A19" s="1671" t="s">
        <v>2135</v>
      </c>
      <c r="B19" s="1865" t="s">
        <v>2143</v>
      </c>
      <c r="C19" s="1674" t="s">
        <v>2153</v>
      </c>
      <c r="D19" s="1863">
        <v>96211.27</v>
      </c>
      <c r="E19" s="1558">
        <f t="shared" si="2"/>
        <v>25000</v>
      </c>
      <c r="F19" s="1811">
        <f t="shared" si="3"/>
        <v>25000</v>
      </c>
      <c r="G19" s="1812">
        <f t="shared" si="4"/>
        <v>71211.27</v>
      </c>
    </row>
    <row r="20" spans="1:8" ht="30" x14ac:dyDescent="0.25">
      <c r="A20" s="1671" t="s">
        <v>2135</v>
      </c>
      <c r="B20" s="1864" t="s">
        <v>2143</v>
      </c>
      <c r="C20" s="1674" t="s">
        <v>2154</v>
      </c>
      <c r="D20" s="1863">
        <v>147960</v>
      </c>
      <c r="E20" s="1558">
        <f t="shared" si="2"/>
        <v>25000</v>
      </c>
      <c r="F20" s="1811">
        <f t="shared" si="3"/>
        <v>25000</v>
      </c>
      <c r="G20" s="1812">
        <f t="shared" si="4"/>
        <v>122960</v>
      </c>
    </row>
    <row r="21" spans="1:8" ht="30" x14ac:dyDescent="0.25">
      <c r="A21" s="1671" t="s">
        <v>2135</v>
      </c>
      <c r="B21" s="1864" t="s">
        <v>2143</v>
      </c>
      <c r="C21" s="1674" t="s">
        <v>2155</v>
      </c>
      <c r="D21" s="1863">
        <v>32000</v>
      </c>
      <c r="E21" s="1558">
        <f t="shared" si="2"/>
        <v>25000</v>
      </c>
      <c r="F21" s="1811">
        <f t="shared" si="3"/>
        <v>25000</v>
      </c>
      <c r="G21" s="1812">
        <f t="shared" si="4"/>
        <v>7000</v>
      </c>
    </row>
    <row r="22" spans="1:8" x14ac:dyDescent="0.25">
      <c r="A22" s="1671" t="s">
        <v>2150</v>
      </c>
      <c r="B22" s="1864" t="s">
        <v>2144</v>
      </c>
      <c r="C22" s="1674" t="s">
        <v>2156</v>
      </c>
      <c r="D22" s="1863">
        <v>34000</v>
      </c>
      <c r="E22" s="1558">
        <f t="shared" si="2"/>
        <v>25000</v>
      </c>
      <c r="F22" s="1811">
        <f t="shared" si="3"/>
        <v>25000</v>
      </c>
      <c r="G22" s="1812">
        <f t="shared" si="4"/>
        <v>9000</v>
      </c>
    </row>
    <row r="23" spans="1:8" x14ac:dyDescent="0.25">
      <c r="A23" s="1671" t="s">
        <v>2136</v>
      </c>
      <c r="B23" s="1864" t="s">
        <v>2145</v>
      </c>
      <c r="C23" s="1674" t="s">
        <v>2157</v>
      </c>
      <c r="D23" s="1863">
        <v>30385</v>
      </c>
      <c r="E23" s="1558">
        <f t="shared" si="2"/>
        <v>25000</v>
      </c>
      <c r="F23" s="1811">
        <f t="shared" si="3"/>
        <v>25000</v>
      </c>
      <c r="G23" s="1812">
        <f t="shared" si="4"/>
        <v>5385</v>
      </c>
    </row>
    <row r="24" spans="1:8" x14ac:dyDescent="0.25">
      <c r="A24" s="1671" t="s">
        <v>2136</v>
      </c>
      <c r="B24" s="1865" t="s">
        <v>2145</v>
      </c>
      <c r="C24" s="1674" t="s">
        <v>2158</v>
      </c>
      <c r="D24" s="1863">
        <v>65374</v>
      </c>
      <c r="E24" s="1558">
        <f t="shared" si="2"/>
        <v>25000</v>
      </c>
      <c r="F24" s="1811">
        <f t="shared" si="3"/>
        <v>25000</v>
      </c>
      <c r="G24" s="1812">
        <f t="shared" si="4"/>
        <v>40374</v>
      </c>
    </row>
    <row r="25" spans="1:8" x14ac:dyDescent="0.25">
      <c r="A25" s="1671" t="s">
        <v>2137</v>
      </c>
      <c r="B25" s="1864" t="s">
        <v>2146</v>
      </c>
      <c r="C25" s="1674" t="s">
        <v>2159</v>
      </c>
      <c r="D25" s="1863">
        <v>28258</v>
      </c>
      <c r="E25" s="1558">
        <f t="shared" si="2"/>
        <v>25000</v>
      </c>
      <c r="F25" s="1811">
        <f t="shared" si="3"/>
        <v>25000</v>
      </c>
      <c r="G25" s="1812">
        <f t="shared" si="4"/>
        <v>3258</v>
      </c>
    </row>
    <row r="26" spans="1:8" ht="30" x14ac:dyDescent="0.25">
      <c r="A26" s="1671" t="s">
        <v>2138</v>
      </c>
      <c r="B26" s="1865" t="s">
        <v>2147</v>
      </c>
      <c r="C26" s="1672" t="s">
        <v>2160</v>
      </c>
      <c r="D26" s="1863">
        <v>63344.81</v>
      </c>
      <c r="E26" s="1558">
        <f t="shared" si="2"/>
        <v>25000</v>
      </c>
      <c r="F26" s="1811">
        <f t="shared" si="3"/>
        <v>25000</v>
      </c>
      <c r="G26" s="1812">
        <f t="shared" si="4"/>
        <v>38344.81</v>
      </c>
    </row>
    <row r="27" spans="1:8" ht="30" x14ac:dyDescent="0.25">
      <c r="A27" s="1671" t="s">
        <v>2138</v>
      </c>
      <c r="B27" s="1865" t="s">
        <v>2147</v>
      </c>
      <c r="C27" s="1672" t="s">
        <v>2161</v>
      </c>
      <c r="D27" s="1863">
        <v>266215.44</v>
      </c>
      <c r="E27" s="1558">
        <f t="shared" si="2"/>
        <v>25000</v>
      </c>
      <c r="F27" s="1811">
        <f t="shared" si="3"/>
        <v>25000</v>
      </c>
      <c r="G27" s="1812">
        <f t="shared" si="4"/>
        <v>241215.44</v>
      </c>
    </row>
    <row r="28" spans="1:8" ht="30" x14ac:dyDescent="0.25">
      <c r="A28" s="1671" t="s">
        <v>2138</v>
      </c>
      <c r="B28" s="1865" t="s">
        <v>2147</v>
      </c>
      <c r="C28" s="1672" t="s">
        <v>2162</v>
      </c>
      <c r="D28" s="1863">
        <v>36490.82</v>
      </c>
      <c r="E28" s="1558">
        <f t="shared" si="2"/>
        <v>25000</v>
      </c>
      <c r="F28" s="1811">
        <f t="shared" si="3"/>
        <v>25000</v>
      </c>
      <c r="G28" s="1812">
        <f t="shared" si="4"/>
        <v>11490.82</v>
      </c>
    </row>
    <row r="29" spans="1:8" x14ac:dyDescent="0.25">
      <c r="A29" s="1671" t="s">
        <v>2139</v>
      </c>
      <c r="B29" s="1865" t="s">
        <v>2148</v>
      </c>
      <c r="C29" s="1672" t="s">
        <v>2163</v>
      </c>
      <c r="D29" s="1863">
        <v>497428.62</v>
      </c>
      <c r="E29" s="1558">
        <f t="shared" si="2"/>
        <v>25000</v>
      </c>
      <c r="F29" s="1811">
        <f t="shared" si="3"/>
        <v>25000</v>
      </c>
      <c r="G29" s="1812">
        <f t="shared" si="4"/>
        <v>472428.62</v>
      </c>
    </row>
    <row r="30" spans="1:8" x14ac:dyDescent="0.25">
      <c r="A30" s="1671" t="s">
        <v>2139</v>
      </c>
      <c r="B30" s="1865" t="s">
        <v>2148</v>
      </c>
      <c r="C30" s="1672" t="s">
        <v>2164</v>
      </c>
      <c r="D30" s="1863">
        <v>290718.90000000002</v>
      </c>
      <c r="E30" s="1558">
        <f t="shared" si="2"/>
        <v>25000</v>
      </c>
      <c r="F30" s="1811">
        <f t="shared" si="3"/>
        <v>25000</v>
      </c>
      <c r="G30" s="1812">
        <f t="shared" si="4"/>
        <v>265718.90000000002</v>
      </c>
    </row>
    <row r="31" spans="1:8" x14ac:dyDescent="0.25">
      <c r="A31" s="1671" t="s">
        <v>2140</v>
      </c>
      <c r="B31" s="1865" t="s">
        <v>2149</v>
      </c>
      <c r="C31" s="1672" t="s">
        <v>2165</v>
      </c>
      <c r="D31" s="1863">
        <v>514029.68</v>
      </c>
      <c r="E31" s="1558">
        <f t="shared" si="2"/>
        <v>25000</v>
      </c>
      <c r="F31" s="1811">
        <f t="shared" si="3"/>
        <v>25000</v>
      </c>
      <c r="G31" s="1812">
        <f t="shared" si="4"/>
        <v>489029.68</v>
      </c>
    </row>
    <row r="32" spans="1:8" x14ac:dyDescent="0.25">
      <c r="A32" s="1671"/>
      <c r="B32" s="1865"/>
      <c r="C32" s="1672"/>
      <c r="D32" s="1863"/>
      <c r="E32" s="1558">
        <f t="shared" si="2"/>
        <v>0</v>
      </c>
      <c r="F32" s="1811">
        <f t="shared" si="3"/>
        <v>0</v>
      </c>
      <c r="G32" s="1812">
        <f t="shared" si="4"/>
        <v>0</v>
      </c>
    </row>
    <row r="33" spans="1:7" x14ac:dyDescent="0.25">
      <c r="A33" s="1671"/>
      <c r="B33" s="1865"/>
      <c r="C33" s="1672"/>
      <c r="D33" s="1863"/>
      <c r="E33" s="1558">
        <f t="shared" si="2"/>
        <v>0</v>
      </c>
      <c r="F33" s="1811">
        <f t="shared" si="3"/>
        <v>0</v>
      </c>
      <c r="G33" s="1812">
        <f t="shared" si="4"/>
        <v>0</v>
      </c>
    </row>
    <row r="34" spans="1:7" x14ac:dyDescent="0.25">
      <c r="A34" s="1671"/>
      <c r="B34" s="1865"/>
      <c r="C34" s="1672"/>
      <c r="D34" s="1863"/>
      <c r="E34" s="1558">
        <f t="shared" si="2"/>
        <v>0</v>
      </c>
      <c r="F34" s="1811">
        <f t="shared" si="3"/>
        <v>0</v>
      </c>
      <c r="G34" s="1812">
        <f t="shared" si="4"/>
        <v>0</v>
      </c>
    </row>
    <row r="35" spans="1:7" x14ac:dyDescent="0.25">
      <c r="A35" s="1671"/>
      <c r="B35" s="1865"/>
      <c r="C35" s="1672"/>
      <c r="D35" s="1863"/>
      <c r="E35" s="1558">
        <f t="shared" si="2"/>
        <v>0</v>
      </c>
      <c r="F35" s="1811">
        <f t="shared" si="3"/>
        <v>0</v>
      </c>
      <c r="G35" s="1812">
        <f t="shared" si="4"/>
        <v>0</v>
      </c>
    </row>
    <row r="36" spans="1:7" x14ac:dyDescent="0.25">
      <c r="A36" s="1671"/>
      <c r="B36" s="1865"/>
      <c r="C36" s="1672"/>
      <c r="D36" s="1863"/>
      <c r="E36" s="1558">
        <f t="shared" si="2"/>
        <v>0</v>
      </c>
      <c r="F36" s="1811">
        <f t="shared" si="3"/>
        <v>0</v>
      </c>
      <c r="G36" s="1812">
        <f t="shared" si="4"/>
        <v>0</v>
      </c>
    </row>
    <row r="37" spans="1:7" x14ac:dyDescent="0.25">
      <c r="A37" s="1671"/>
      <c r="B37" s="1865"/>
      <c r="C37" s="1672"/>
      <c r="D37" s="1863"/>
      <c r="E37" s="1558">
        <f t="shared" si="2"/>
        <v>0</v>
      </c>
      <c r="F37" s="1811">
        <f t="shared" si="3"/>
        <v>0</v>
      </c>
      <c r="G37" s="1812">
        <f t="shared" si="4"/>
        <v>0</v>
      </c>
    </row>
    <row r="38" spans="1:7" x14ac:dyDescent="0.25">
      <c r="A38" s="1671"/>
      <c r="B38" s="1685"/>
      <c r="C38" s="1672"/>
      <c r="D38" s="1863"/>
      <c r="E38" s="1558">
        <f t="shared" si="2"/>
        <v>0</v>
      </c>
      <c r="F38" s="1811">
        <f t="shared" si="3"/>
        <v>0</v>
      </c>
      <c r="G38" s="1812">
        <f t="shared" si="4"/>
        <v>0</v>
      </c>
    </row>
    <row r="39" spans="1:7" x14ac:dyDescent="0.25">
      <c r="A39" s="1671"/>
      <c r="B39" s="1685"/>
      <c r="C39" s="1672"/>
      <c r="D39" s="1863"/>
      <c r="E39" s="1558">
        <f t="shared" si="2"/>
        <v>0</v>
      </c>
      <c r="F39" s="1811">
        <f t="shared" si="3"/>
        <v>0</v>
      </c>
      <c r="G39" s="1812">
        <f t="shared" si="4"/>
        <v>0</v>
      </c>
    </row>
    <row r="40" spans="1:7" x14ac:dyDescent="0.25">
      <c r="A40" s="1671"/>
      <c r="B40" s="1685"/>
      <c r="C40" s="1672"/>
      <c r="D40" s="1863"/>
      <c r="E40" s="1558">
        <f t="shared" si="2"/>
        <v>0</v>
      </c>
      <c r="F40" s="1811">
        <f t="shared" si="3"/>
        <v>0</v>
      </c>
      <c r="G40" s="1812">
        <f t="shared" si="4"/>
        <v>0</v>
      </c>
    </row>
    <row r="41" spans="1:7" x14ac:dyDescent="0.25">
      <c r="A41" s="1671"/>
      <c r="B41" s="1685"/>
      <c r="C41" s="1672"/>
      <c r="D41" s="1863"/>
      <c r="E41" s="1558">
        <f t="shared" si="2"/>
        <v>0</v>
      </c>
      <c r="F41" s="1811">
        <f t="shared" si="3"/>
        <v>0</v>
      </c>
      <c r="G41" s="1812">
        <f t="shared" si="4"/>
        <v>0</v>
      </c>
    </row>
    <row r="42" spans="1:7" x14ac:dyDescent="0.25">
      <c r="A42" s="1671"/>
      <c r="B42" s="1685"/>
      <c r="C42" s="1672"/>
      <c r="D42" s="1863"/>
      <c r="E42" s="1558">
        <f t="shared" si="2"/>
        <v>0</v>
      </c>
      <c r="F42" s="1811">
        <f t="shared" si="3"/>
        <v>0</v>
      </c>
      <c r="G42" s="1812">
        <f t="shared" si="4"/>
        <v>0</v>
      </c>
    </row>
    <row r="43" spans="1:7" x14ac:dyDescent="0.25">
      <c r="A43" s="1671"/>
      <c r="B43" s="1685"/>
      <c r="C43" s="1672"/>
      <c r="D43" s="1863"/>
      <c r="E43" s="1558">
        <f t="shared" si="2"/>
        <v>0</v>
      </c>
      <c r="F43" s="1811">
        <f t="shared" si="3"/>
        <v>0</v>
      </c>
      <c r="G43" s="1812">
        <f t="shared" si="4"/>
        <v>0</v>
      </c>
    </row>
    <row r="44" spans="1:7" x14ac:dyDescent="0.25">
      <c r="A44" s="1671"/>
      <c r="B44" s="1685"/>
      <c r="C44" s="1672"/>
      <c r="D44" s="1863"/>
      <c r="E44" s="1558">
        <f t="shared" si="2"/>
        <v>0</v>
      </c>
      <c r="F44" s="1811">
        <f t="shared" si="3"/>
        <v>0</v>
      </c>
      <c r="G44" s="1812">
        <f t="shared" si="4"/>
        <v>0</v>
      </c>
    </row>
    <row r="45" spans="1:7" x14ac:dyDescent="0.25">
      <c r="A45" s="1671"/>
      <c r="B45" s="1685"/>
      <c r="C45" s="1672"/>
      <c r="D45" s="1863"/>
      <c r="E45" s="1558">
        <f t="shared" si="2"/>
        <v>0</v>
      </c>
      <c r="F45" s="1811">
        <f t="shared" si="3"/>
        <v>0</v>
      </c>
      <c r="G45" s="1812">
        <f t="shared" si="4"/>
        <v>0</v>
      </c>
    </row>
    <row r="46" spans="1:7" x14ac:dyDescent="0.25">
      <c r="A46" s="1671"/>
      <c r="B46" s="1685"/>
      <c r="C46" s="1672"/>
      <c r="D46" s="1863"/>
      <c r="E46" s="1558">
        <f t="shared" si="2"/>
        <v>0</v>
      </c>
      <c r="F46" s="1811">
        <f t="shared" si="3"/>
        <v>0</v>
      </c>
      <c r="G46" s="1812">
        <f t="shared" si="4"/>
        <v>0</v>
      </c>
    </row>
    <row r="47" spans="1:7" x14ac:dyDescent="0.25">
      <c r="A47" s="1671"/>
      <c r="B47" s="1685"/>
      <c r="C47" s="1672"/>
      <c r="D47" s="1863"/>
      <c r="E47" s="1558">
        <f t="shared" si="2"/>
        <v>0</v>
      </c>
      <c r="F47" s="1811">
        <f t="shared" si="3"/>
        <v>0</v>
      </c>
      <c r="G47" s="1812">
        <f t="shared" si="4"/>
        <v>0</v>
      </c>
    </row>
    <row r="48" spans="1:7" x14ac:dyDescent="0.25">
      <c r="A48" s="1671"/>
      <c r="B48" s="1685"/>
      <c r="C48" s="1672"/>
      <c r="D48" s="1863"/>
      <c r="E48" s="1558">
        <f t="shared" si="2"/>
        <v>0</v>
      </c>
      <c r="F48" s="1811">
        <f t="shared" si="3"/>
        <v>0</v>
      </c>
      <c r="G48" s="1812">
        <f t="shared" si="4"/>
        <v>0</v>
      </c>
    </row>
    <row r="49" spans="1:7" x14ac:dyDescent="0.25">
      <c r="A49" s="1671"/>
      <c r="B49" s="1685"/>
      <c r="C49" s="1672"/>
      <c r="D49" s="1863"/>
      <c r="E49" s="1558">
        <f t="shared" si="2"/>
        <v>0</v>
      </c>
      <c r="F49" s="1811">
        <f t="shared" si="3"/>
        <v>0</v>
      </c>
      <c r="G49" s="1812">
        <f t="shared" si="4"/>
        <v>0</v>
      </c>
    </row>
    <row r="50" spans="1:7" x14ac:dyDescent="0.25">
      <c r="A50" s="1671"/>
      <c r="B50" s="1685"/>
      <c r="C50" s="1672"/>
      <c r="D50" s="1863"/>
      <c r="E50" s="1558">
        <f t="shared" si="2"/>
        <v>0</v>
      </c>
      <c r="F50" s="1811">
        <f t="shared" si="3"/>
        <v>0</v>
      </c>
      <c r="G50" s="1812">
        <f t="shared" si="4"/>
        <v>0</v>
      </c>
    </row>
    <row r="51" spans="1:7" x14ac:dyDescent="0.25">
      <c r="A51" s="1671"/>
      <c r="B51" s="1685"/>
      <c r="C51" s="1672"/>
      <c r="D51" s="1863"/>
      <c r="E51" s="1558">
        <f t="shared" si="2"/>
        <v>0</v>
      </c>
      <c r="F51" s="1811">
        <f t="shared" si="3"/>
        <v>0</v>
      </c>
      <c r="G51" s="1812">
        <f t="shared" si="4"/>
        <v>0</v>
      </c>
    </row>
    <row r="52" spans="1:7" x14ac:dyDescent="0.25">
      <c r="A52" s="1671"/>
      <c r="B52" s="1685"/>
      <c r="C52" s="1672"/>
      <c r="D52" s="1863"/>
      <c r="E52" s="1558">
        <f t="shared" si="2"/>
        <v>0</v>
      </c>
      <c r="F52" s="1811">
        <f t="shared" si="3"/>
        <v>0</v>
      </c>
      <c r="G52" s="1812">
        <f t="shared" si="4"/>
        <v>0</v>
      </c>
    </row>
    <row r="53" spans="1:7" x14ac:dyDescent="0.25">
      <c r="A53" s="1671"/>
      <c r="B53" s="1685"/>
      <c r="C53" s="1672"/>
      <c r="D53" s="1863"/>
      <c r="E53" s="1558">
        <f t="shared" si="2"/>
        <v>0</v>
      </c>
      <c r="F53" s="1811">
        <f t="shared" si="3"/>
        <v>0</v>
      </c>
      <c r="G53" s="1812">
        <f t="shared" si="4"/>
        <v>0</v>
      </c>
    </row>
    <row r="54" spans="1:7" x14ac:dyDescent="0.25">
      <c r="A54" s="1671"/>
      <c r="B54" s="1685"/>
      <c r="C54" s="1672"/>
      <c r="D54" s="1863"/>
      <c r="E54" s="1558">
        <f t="shared" si="2"/>
        <v>0</v>
      </c>
      <c r="F54" s="1811">
        <f t="shared" si="3"/>
        <v>0</v>
      </c>
      <c r="G54" s="1812">
        <f t="shared" si="4"/>
        <v>0</v>
      </c>
    </row>
    <row r="55" spans="1:7" x14ac:dyDescent="0.25">
      <c r="A55" s="1671"/>
      <c r="B55" s="1685"/>
      <c r="C55" s="1672"/>
      <c r="D55" s="1863"/>
      <c r="E55" s="1558">
        <f t="shared" si="2"/>
        <v>0</v>
      </c>
      <c r="F55" s="1811">
        <f t="shared" si="3"/>
        <v>0</v>
      </c>
      <c r="G55" s="1812">
        <f t="shared" si="4"/>
        <v>0</v>
      </c>
    </row>
    <row r="56" spans="1:7" x14ac:dyDescent="0.25">
      <c r="A56" s="1671"/>
      <c r="B56" s="1685"/>
      <c r="C56" s="1672"/>
      <c r="D56" s="1863"/>
      <c r="E56" s="1558">
        <f t="shared" si="2"/>
        <v>0</v>
      </c>
      <c r="F56" s="1811">
        <f t="shared" si="3"/>
        <v>0</v>
      </c>
      <c r="G56" s="1812">
        <f t="shared" si="4"/>
        <v>0</v>
      </c>
    </row>
    <row r="57" spans="1:7" x14ac:dyDescent="0.25">
      <c r="A57" s="1671"/>
      <c r="B57" s="1685"/>
      <c r="C57" s="1672"/>
      <c r="D57" s="1863"/>
      <c r="E57" s="1558">
        <f t="shared" si="2"/>
        <v>0</v>
      </c>
      <c r="F57" s="1811">
        <f t="shared" si="3"/>
        <v>0</v>
      </c>
      <c r="G57" s="1812">
        <f t="shared" si="4"/>
        <v>0</v>
      </c>
    </row>
    <row r="58" spans="1:7" x14ac:dyDescent="0.25">
      <c r="A58" s="1671"/>
      <c r="B58" s="1685"/>
      <c r="C58" s="1672"/>
      <c r="D58" s="1863"/>
      <c r="E58" s="1558">
        <f t="shared" si="2"/>
        <v>0</v>
      </c>
      <c r="F58" s="1811">
        <f t="shared" si="3"/>
        <v>0</v>
      </c>
      <c r="G58" s="1812">
        <f t="shared" si="4"/>
        <v>0</v>
      </c>
    </row>
    <row r="59" spans="1:7" x14ac:dyDescent="0.25">
      <c r="A59" s="1671"/>
      <c r="B59" s="1685"/>
      <c r="C59" s="1672"/>
      <c r="D59" s="1863"/>
      <c r="E59" s="1558">
        <f t="shared" si="2"/>
        <v>0</v>
      </c>
      <c r="F59" s="1811">
        <f t="shared" si="3"/>
        <v>0</v>
      </c>
      <c r="G59" s="1812">
        <f t="shared" si="4"/>
        <v>0</v>
      </c>
    </row>
    <row r="60" spans="1:7" x14ac:dyDescent="0.25">
      <c r="A60" s="1671"/>
      <c r="B60" s="1685"/>
      <c r="C60" s="1672"/>
      <c r="D60" s="1863"/>
      <c r="E60" s="1558">
        <f t="shared" si="2"/>
        <v>0</v>
      </c>
      <c r="F60" s="1811">
        <f t="shared" si="3"/>
        <v>0</v>
      </c>
      <c r="G60" s="1812">
        <f t="shared" si="4"/>
        <v>0</v>
      </c>
    </row>
    <row r="61" spans="1:7" x14ac:dyDescent="0.25">
      <c r="A61" s="1671"/>
      <c r="B61" s="1685"/>
      <c r="C61" s="1672"/>
      <c r="D61" s="1863"/>
      <c r="E61" s="1558">
        <f t="shared" si="2"/>
        <v>0</v>
      </c>
      <c r="F61" s="1811">
        <f t="shared" si="3"/>
        <v>0</v>
      </c>
      <c r="G61" s="1812">
        <f t="shared" si="4"/>
        <v>0</v>
      </c>
    </row>
    <row r="62" spans="1:7" x14ac:dyDescent="0.25">
      <c r="A62" s="1671"/>
      <c r="B62" s="1685"/>
      <c r="C62" s="1672"/>
      <c r="D62" s="1863"/>
      <c r="E62" s="1558">
        <f t="shared" si="2"/>
        <v>0</v>
      </c>
      <c r="F62" s="1811">
        <f t="shared" si="3"/>
        <v>0</v>
      </c>
      <c r="G62" s="1812">
        <f t="shared" si="4"/>
        <v>0</v>
      </c>
    </row>
    <row r="63" spans="1:7" x14ac:dyDescent="0.25">
      <c r="A63" s="1671"/>
      <c r="B63" s="1685"/>
      <c r="C63" s="1672"/>
      <c r="D63" s="1863"/>
      <c r="E63" s="1558">
        <f t="shared" si="2"/>
        <v>0</v>
      </c>
      <c r="F63" s="1811">
        <f t="shared" si="3"/>
        <v>0</v>
      </c>
      <c r="G63" s="1812">
        <f t="shared" si="4"/>
        <v>0</v>
      </c>
    </row>
    <row r="64" spans="1:7" x14ac:dyDescent="0.25">
      <c r="A64" s="1673"/>
      <c r="B64" s="1685"/>
      <c r="C64" s="1674"/>
      <c r="D64" s="1863"/>
      <c r="E64" s="1558">
        <f t="shared" si="2"/>
        <v>0</v>
      </c>
      <c r="F64" s="1811">
        <f t="shared" si="3"/>
        <v>0</v>
      </c>
      <c r="G64" s="1812">
        <f t="shared" si="4"/>
        <v>0</v>
      </c>
    </row>
    <row r="65" spans="1:7" x14ac:dyDescent="0.25">
      <c r="A65" s="1671"/>
      <c r="B65" s="1685"/>
      <c r="C65" s="1672"/>
      <c r="D65" s="1863"/>
      <c r="E65" s="1558">
        <f t="shared" si="2"/>
        <v>0</v>
      </c>
      <c r="F65" s="1811">
        <f t="shared" si="3"/>
        <v>0</v>
      </c>
      <c r="G65" s="1812">
        <f t="shared" si="4"/>
        <v>0</v>
      </c>
    </row>
    <row r="66" spans="1:7" x14ac:dyDescent="0.25">
      <c r="A66" s="1671"/>
      <c r="B66" s="1685"/>
      <c r="C66" s="1672"/>
      <c r="D66" s="1863"/>
      <c r="E66" s="1558">
        <f t="shared" si="2"/>
        <v>0</v>
      </c>
      <c r="F66" s="1811">
        <f t="shared" si="3"/>
        <v>0</v>
      </c>
      <c r="G66" s="1812">
        <f t="shared" si="4"/>
        <v>0</v>
      </c>
    </row>
    <row r="67" spans="1:7" x14ac:dyDescent="0.25">
      <c r="A67" s="1671"/>
      <c r="B67" s="1685"/>
      <c r="C67" s="1672"/>
      <c r="D67" s="1863"/>
      <c r="E67" s="1558">
        <f t="shared" si="2"/>
        <v>0</v>
      </c>
      <c r="F67" s="1811">
        <f t="shared" si="3"/>
        <v>0</v>
      </c>
      <c r="G67" s="1812">
        <f t="shared" si="4"/>
        <v>0</v>
      </c>
    </row>
    <row r="68" spans="1:7" x14ac:dyDescent="0.25">
      <c r="A68" s="1671"/>
      <c r="B68" s="1685"/>
      <c r="C68" s="1672"/>
      <c r="D68" s="1863"/>
      <c r="E68" s="1558">
        <f t="shared" si="2"/>
        <v>0</v>
      </c>
      <c r="F68" s="1811">
        <f t="shared" si="3"/>
        <v>0</v>
      </c>
      <c r="G68" s="1812">
        <f t="shared" si="4"/>
        <v>0</v>
      </c>
    </row>
    <row r="69" spans="1:7" x14ac:dyDescent="0.25">
      <c r="A69" s="1671"/>
      <c r="B69" s="1685"/>
      <c r="C69" s="1672"/>
      <c r="D69" s="1863"/>
      <c r="E69" s="1558">
        <f t="shared" si="2"/>
        <v>0</v>
      </c>
      <c r="F69" s="1811">
        <f t="shared" si="3"/>
        <v>0</v>
      </c>
      <c r="G69" s="1812">
        <f t="shared" si="4"/>
        <v>0</v>
      </c>
    </row>
    <row r="70" spans="1:7" x14ac:dyDescent="0.25">
      <c r="A70" s="1671"/>
      <c r="B70" s="1685"/>
      <c r="C70" s="1672"/>
      <c r="D70" s="1863"/>
      <c r="E70" s="1558">
        <f t="shared" si="2"/>
        <v>0</v>
      </c>
      <c r="F70" s="1811">
        <f t="shared" si="3"/>
        <v>0</v>
      </c>
      <c r="G70" s="1812">
        <f t="shared" si="4"/>
        <v>0</v>
      </c>
    </row>
    <row r="71" spans="1:7" x14ac:dyDescent="0.25">
      <c r="A71" s="1671"/>
      <c r="B71" s="1685"/>
      <c r="C71" s="1672"/>
      <c r="D71" s="1863"/>
      <c r="E71" s="1558">
        <f t="shared" si="2"/>
        <v>0</v>
      </c>
      <c r="F71" s="1811">
        <f t="shared" si="3"/>
        <v>0</v>
      </c>
      <c r="G71" s="1812">
        <f t="shared" si="4"/>
        <v>0</v>
      </c>
    </row>
    <row r="72" spans="1:7" x14ac:dyDescent="0.25">
      <c r="A72" s="1671"/>
      <c r="B72" s="1685"/>
      <c r="C72" s="1672"/>
      <c r="D72" s="1863"/>
      <c r="E72" s="1558">
        <f t="shared" si="2"/>
        <v>0</v>
      </c>
      <c r="F72" s="1811">
        <f t="shared" si="3"/>
        <v>0</v>
      </c>
      <c r="G72" s="1812">
        <f t="shared" si="4"/>
        <v>0</v>
      </c>
    </row>
    <row r="73" spans="1:7"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x14ac:dyDescent="0.25">
      <c r="A74" s="1671"/>
      <c r="B74" s="1685"/>
      <c r="C74" s="1672"/>
      <c r="D74" s="1863"/>
      <c r="E74" s="1558">
        <f t="shared" si="5"/>
        <v>0</v>
      </c>
      <c r="F74" s="1811">
        <f t="shared" si="6"/>
        <v>0</v>
      </c>
      <c r="G74" s="1812">
        <f t="shared" si="7"/>
        <v>0</v>
      </c>
    </row>
    <row r="75" spans="1:7" x14ac:dyDescent="0.25">
      <c r="A75" s="1671"/>
      <c r="B75" s="1685"/>
      <c r="C75" s="1672"/>
      <c r="D75" s="1863"/>
      <c r="E75" s="1558">
        <f t="shared" si="5"/>
        <v>0</v>
      </c>
      <c r="F75" s="1811">
        <f t="shared" si="6"/>
        <v>0</v>
      </c>
      <c r="G75" s="1812">
        <f t="shared" si="7"/>
        <v>0</v>
      </c>
    </row>
    <row r="76" spans="1:7" x14ac:dyDescent="0.25">
      <c r="A76" s="1671"/>
      <c r="B76" s="1685"/>
      <c r="C76" s="1672"/>
      <c r="D76" s="1863"/>
      <c r="E76" s="1558">
        <f t="shared" si="5"/>
        <v>0</v>
      </c>
      <c r="F76" s="1811">
        <f t="shared" si="6"/>
        <v>0</v>
      </c>
      <c r="G76" s="1812">
        <f t="shared" si="7"/>
        <v>0</v>
      </c>
    </row>
    <row r="77" spans="1:7" x14ac:dyDescent="0.25">
      <c r="A77" s="1671"/>
      <c r="B77" s="1685"/>
      <c r="C77" s="1672"/>
      <c r="D77" s="1863"/>
      <c r="E77" s="1558">
        <f t="shared" si="5"/>
        <v>0</v>
      </c>
      <c r="F77" s="1811">
        <f t="shared" si="6"/>
        <v>0</v>
      </c>
      <c r="G77" s="1812">
        <f t="shared" si="7"/>
        <v>0</v>
      </c>
    </row>
    <row r="78" spans="1:7" x14ac:dyDescent="0.25">
      <c r="A78" s="1671"/>
      <c r="B78" s="1685"/>
      <c r="C78" s="1672"/>
      <c r="D78" s="1863"/>
      <c r="E78" s="1558">
        <f t="shared" si="5"/>
        <v>0</v>
      </c>
      <c r="F78" s="1811">
        <f t="shared" si="6"/>
        <v>0</v>
      </c>
      <c r="G78" s="1812">
        <f t="shared" si="7"/>
        <v>0</v>
      </c>
    </row>
    <row r="79" spans="1:7" x14ac:dyDescent="0.25">
      <c r="A79" s="1671"/>
      <c r="B79" s="1685"/>
      <c r="C79" s="1672"/>
      <c r="D79" s="1863"/>
      <c r="E79" s="1558">
        <f t="shared" si="5"/>
        <v>0</v>
      </c>
      <c r="F79" s="1811">
        <f t="shared" si="6"/>
        <v>0</v>
      </c>
      <c r="G79" s="1812">
        <f t="shared" si="7"/>
        <v>0</v>
      </c>
    </row>
    <row r="80" spans="1:7" x14ac:dyDescent="0.25">
      <c r="A80" s="1671"/>
      <c r="B80" s="1685"/>
      <c r="C80" s="1672"/>
      <c r="D80" s="1863"/>
      <c r="E80" s="1558">
        <f t="shared" si="5"/>
        <v>0</v>
      </c>
      <c r="F80" s="1811">
        <f t="shared" si="6"/>
        <v>0</v>
      </c>
      <c r="G80" s="1812">
        <f t="shared" si="7"/>
        <v>0</v>
      </c>
    </row>
    <row r="81" spans="1:7" x14ac:dyDescent="0.25">
      <c r="A81" s="1671"/>
      <c r="B81" s="1685"/>
      <c r="C81" s="1672"/>
      <c r="D81" s="1863"/>
      <c r="E81" s="1558">
        <f t="shared" si="5"/>
        <v>0</v>
      </c>
      <c r="F81" s="1811">
        <f t="shared" si="6"/>
        <v>0</v>
      </c>
      <c r="G81" s="1812">
        <f t="shared" si="7"/>
        <v>0</v>
      </c>
    </row>
    <row r="82" spans="1:7" x14ac:dyDescent="0.25">
      <c r="A82" s="1671"/>
      <c r="B82" s="1685"/>
      <c r="C82" s="1672"/>
      <c r="D82" s="1863"/>
      <c r="E82" s="1558">
        <f t="shared" si="5"/>
        <v>0</v>
      </c>
      <c r="F82" s="1811">
        <f t="shared" si="6"/>
        <v>0</v>
      </c>
      <c r="G82" s="1812">
        <f t="shared" si="7"/>
        <v>0</v>
      </c>
    </row>
    <row r="83" spans="1:7" x14ac:dyDescent="0.25">
      <c r="A83" s="1671"/>
      <c r="B83" s="1685"/>
      <c r="C83" s="1672"/>
      <c r="D83" s="1863"/>
      <c r="E83" s="1558">
        <f t="shared" si="5"/>
        <v>0</v>
      </c>
      <c r="F83" s="1811">
        <f t="shared" si="6"/>
        <v>0</v>
      </c>
      <c r="G83" s="1812">
        <f t="shared" si="7"/>
        <v>0</v>
      </c>
    </row>
    <row r="84" spans="1:7" x14ac:dyDescent="0.25">
      <c r="A84" s="1671"/>
      <c r="B84" s="1685"/>
      <c r="C84" s="1672"/>
      <c r="D84" s="1863"/>
      <c r="E84" s="1558">
        <f t="shared" si="5"/>
        <v>0</v>
      </c>
      <c r="F84" s="1811">
        <f t="shared" si="6"/>
        <v>0</v>
      </c>
      <c r="G84" s="1812">
        <f t="shared" si="7"/>
        <v>0</v>
      </c>
    </row>
    <row r="85" spans="1:7" x14ac:dyDescent="0.25">
      <c r="A85" s="1671"/>
      <c r="B85" s="1685"/>
      <c r="C85" s="1672"/>
      <c r="D85" s="1863"/>
      <c r="E85" s="1558">
        <f t="shared" si="2"/>
        <v>0</v>
      </c>
      <c r="F85" s="1811">
        <f t="shared" si="3"/>
        <v>0</v>
      </c>
      <c r="G85" s="1812">
        <f t="shared" si="4"/>
        <v>0</v>
      </c>
    </row>
    <row r="86" spans="1:7" x14ac:dyDescent="0.25">
      <c r="A86" s="1671"/>
      <c r="B86" s="1685"/>
      <c r="C86" s="1672"/>
      <c r="D86" s="1863"/>
      <c r="E86" s="1558">
        <f t="shared" si="2"/>
        <v>0</v>
      </c>
      <c r="F86" s="1811">
        <f t="shared" si="3"/>
        <v>0</v>
      </c>
      <c r="G86" s="1812">
        <f t="shared" si="4"/>
        <v>0</v>
      </c>
    </row>
    <row r="87" spans="1:7" x14ac:dyDescent="0.25">
      <c r="A87" s="1671"/>
      <c r="B87" s="1685"/>
      <c r="C87" s="1672"/>
      <c r="D87" s="1863"/>
      <c r="E87" s="1558">
        <f t="shared" si="2"/>
        <v>0</v>
      </c>
      <c r="F87" s="1811">
        <f t="shared" si="3"/>
        <v>0</v>
      </c>
      <c r="G87" s="1812">
        <f t="shared" si="4"/>
        <v>0</v>
      </c>
    </row>
    <row r="88" spans="1:7" x14ac:dyDescent="0.25">
      <c r="A88" s="1671"/>
      <c r="B88" s="1685"/>
      <c r="C88" s="1672"/>
      <c r="D88" s="1863"/>
      <c r="E88" s="1558">
        <f t="shared" si="2"/>
        <v>0</v>
      </c>
      <c r="F88" s="1811">
        <f t="shared" si="3"/>
        <v>0</v>
      </c>
      <c r="G88" s="1812">
        <f t="shared" si="4"/>
        <v>0</v>
      </c>
    </row>
    <row r="89" spans="1:7" x14ac:dyDescent="0.25">
      <c r="A89" s="1671"/>
      <c r="B89" s="1685"/>
      <c r="C89" s="1672"/>
      <c r="D89" s="1863"/>
      <c r="E89" s="1558">
        <f t="shared" si="2"/>
        <v>0</v>
      </c>
      <c r="F89" s="1811">
        <f t="shared" si="3"/>
        <v>0</v>
      </c>
      <c r="G89" s="1812">
        <f t="shared" si="4"/>
        <v>0</v>
      </c>
    </row>
    <row r="90" spans="1:7" x14ac:dyDescent="0.25">
      <c r="A90" s="1671"/>
      <c r="B90" s="1685"/>
      <c r="C90" s="1672"/>
      <c r="D90" s="1863"/>
      <c r="E90" s="1558">
        <f t="shared" si="2"/>
        <v>0</v>
      </c>
      <c r="F90" s="1811">
        <f t="shared" si="3"/>
        <v>0</v>
      </c>
      <c r="G90" s="1812">
        <f t="shared" si="4"/>
        <v>0</v>
      </c>
    </row>
    <row r="91" spans="1:7" x14ac:dyDescent="0.25">
      <c r="A91" s="1671"/>
      <c r="B91" s="1685"/>
      <c r="C91" s="1672"/>
      <c r="D91" s="1863"/>
      <c r="E91" s="1558">
        <f t="shared" si="2"/>
        <v>0</v>
      </c>
      <c r="F91" s="1811">
        <f t="shared" si="3"/>
        <v>0</v>
      </c>
      <c r="G91" s="1812">
        <f t="shared" si="4"/>
        <v>0</v>
      </c>
    </row>
    <row r="92" spans="1:7" x14ac:dyDescent="0.25">
      <c r="A92" s="1671"/>
      <c r="B92" s="1685"/>
      <c r="C92" s="1672"/>
      <c r="D92" s="1863"/>
      <c r="E92" s="1558">
        <f t="shared" si="2"/>
        <v>0</v>
      </c>
      <c r="F92" s="1811">
        <f t="shared" si="3"/>
        <v>0</v>
      </c>
      <c r="G92" s="1812">
        <f t="shared" si="4"/>
        <v>0</v>
      </c>
    </row>
    <row r="93" spans="1:7"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x14ac:dyDescent="0.25">
      <c r="A94" s="1671"/>
      <c r="B94" s="1685"/>
      <c r="C94" s="1672"/>
      <c r="D94" s="1863"/>
      <c r="E94" s="1558">
        <f t="shared" si="2"/>
        <v>0</v>
      </c>
      <c r="F94" s="1811">
        <f t="shared" si="3"/>
        <v>0</v>
      </c>
      <c r="G94" s="1812">
        <f t="shared" si="4"/>
        <v>0</v>
      </c>
    </row>
    <row r="95" spans="1:7"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x14ac:dyDescent="0.25">
      <c r="A96" s="1671"/>
      <c r="B96" s="1685"/>
      <c r="C96" s="1672"/>
      <c r="D96" s="1863"/>
      <c r="E96" s="1558">
        <f t="shared" si="11"/>
        <v>0</v>
      </c>
      <c r="F96" s="1811">
        <f t="shared" si="12"/>
        <v>0</v>
      </c>
      <c r="G96" s="1812">
        <f t="shared" si="13"/>
        <v>0</v>
      </c>
    </row>
    <row r="97" spans="1:7" x14ac:dyDescent="0.25">
      <c r="A97" s="1671"/>
      <c r="B97" s="1685"/>
      <c r="C97" s="1672"/>
      <c r="D97" s="1863"/>
      <c r="E97" s="1558">
        <f t="shared" si="11"/>
        <v>0</v>
      </c>
      <c r="F97" s="1811">
        <f t="shared" si="12"/>
        <v>0</v>
      </c>
      <c r="G97" s="1812">
        <f t="shared" si="13"/>
        <v>0</v>
      </c>
    </row>
    <row r="98" spans="1:7" x14ac:dyDescent="0.25">
      <c r="A98" s="1671"/>
      <c r="B98" s="1685"/>
      <c r="C98" s="1672"/>
      <c r="D98" s="1863"/>
      <c r="E98" s="1558">
        <f t="shared" si="11"/>
        <v>0</v>
      </c>
      <c r="F98" s="1811">
        <f t="shared" si="12"/>
        <v>0</v>
      </c>
      <c r="G98" s="1812">
        <f t="shared" si="13"/>
        <v>0</v>
      </c>
    </row>
    <row r="99" spans="1:7"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x14ac:dyDescent="0.25">
      <c r="A101" s="1671"/>
      <c r="B101" s="1685"/>
      <c r="C101" s="1672"/>
      <c r="D101" s="1863"/>
      <c r="E101" s="1558">
        <f t="shared" si="17"/>
        <v>0</v>
      </c>
      <c r="F101" s="1811">
        <f t="shared" si="18"/>
        <v>0</v>
      </c>
      <c r="G101" s="1812">
        <f t="shared" si="19"/>
        <v>0</v>
      </c>
    </row>
    <row r="102" spans="1:7" x14ac:dyDescent="0.25">
      <c r="A102" s="1671"/>
      <c r="B102" s="1685"/>
      <c r="C102" s="1672"/>
      <c r="D102" s="1863"/>
      <c r="E102" s="1558">
        <f t="shared" si="17"/>
        <v>0</v>
      </c>
      <c r="F102" s="1811">
        <f t="shared" si="18"/>
        <v>0</v>
      </c>
      <c r="G102" s="1812">
        <f t="shared" si="19"/>
        <v>0</v>
      </c>
    </row>
    <row r="103" spans="1:7" x14ac:dyDescent="0.25">
      <c r="A103" s="1671"/>
      <c r="B103" s="1685"/>
      <c r="C103" s="1672"/>
      <c r="D103" s="1863"/>
      <c r="E103" s="1558">
        <f t="shared" si="17"/>
        <v>0</v>
      </c>
      <c r="F103" s="1811">
        <f t="shared" si="18"/>
        <v>0</v>
      </c>
      <c r="G103" s="1812">
        <f t="shared" si="19"/>
        <v>0</v>
      </c>
    </row>
    <row r="104" spans="1:7" x14ac:dyDescent="0.25">
      <c r="A104" s="1671"/>
      <c r="B104" s="1685"/>
      <c r="C104" s="1672"/>
      <c r="D104" s="1863"/>
      <c r="E104" s="1558">
        <f t="shared" si="17"/>
        <v>0</v>
      </c>
      <c r="F104" s="1811">
        <f t="shared" si="18"/>
        <v>0</v>
      </c>
      <c r="G104" s="1812">
        <f t="shared" si="19"/>
        <v>0</v>
      </c>
    </row>
    <row r="105" spans="1:7" x14ac:dyDescent="0.25">
      <c r="A105" s="1671"/>
      <c r="B105" s="1685"/>
      <c r="C105" s="1672"/>
      <c r="D105" s="1863"/>
      <c r="E105" s="1558">
        <f t="shared" si="17"/>
        <v>0</v>
      </c>
      <c r="F105" s="1811">
        <f t="shared" si="18"/>
        <v>0</v>
      </c>
      <c r="G105" s="1812">
        <f t="shared" si="19"/>
        <v>0</v>
      </c>
    </row>
    <row r="106" spans="1:7" x14ac:dyDescent="0.25">
      <c r="A106" s="1671"/>
      <c r="B106" s="1685"/>
      <c r="C106" s="1672"/>
      <c r="D106" s="1863"/>
      <c r="E106" s="1558">
        <f t="shared" si="17"/>
        <v>0</v>
      </c>
      <c r="F106" s="1811">
        <f t="shared" si="18"/>
        <v>0</v>
      </c>
      <c r="G106" s="1812">
        <f t="shared" si="19"/>
        <v>0</v>
      </c>
    </row>
    <row r="107" spans="1:7" x14ac:dyDescent="0.25">
      <c r="A107" s="1671"/>
      <c r="B107" s="1685"/>
      <c r="C107" s="1672"/>
      <c r="D107" s="1863"/>
      <c r="E107" s="1558">
        <f t="shared" si="17"/>
        <v>0</v>
      </c>
      <c r="F107" s="1811">
        <f t="shared" si="18"/>
        <v>0</v>
      </c>
      <c r="G107" s="1812">
        <f t="shared" si="19"/>
        <v>0</v>
      </c>
    </row>
    <row r="108" spans="1:7" x14ac:dyDescent="0.25">
      <c r="A108" s="1671"/>
      <c r="B108" s="1685"/>
      <c r="C108" s="1672"/>
      <c r="D108" s="1863"/>
      <c r="E108" s="1558">
        <f t="shared" si="17"/>
        <v>0</v>
      </c>
      <c r="F108" s="1811">
        <f t="shared" si="18"/>
        <v>0</v>
      </c>
      <c r="G108" s="1812">
        <f t="shared" si="19"/>
        <v>0</v>
      </c>
    </row>
    <row r="109" spans="1:7" x14ac:dyDescent="0.25">
      <c r="A109" s="1671"/>
      <c r="B109" s="1685"/>
      <c r="C109" s="1672"/>
      <c r="D109" s="1863"/>
      <c r="E109" s="1558">
        <f t="shared" si="17"/>
        <v>0</v>
      </c>
      <c r="F109" s="1811">
        <f t="shared" si="18"/>
        <v>0</v>
      </c>
      <c r="G109" s="1812">
        <f t="shared" si="19"/>
        <v>0</v>
      </c>
    </row>
    <row r="110" spans="1:7" x14ac:dyDescent="0.25">
      <c r="A110" s="1671"/>
      <c r="B110" s="1685"/>
      <c r="C110" s="1672"/>
      <c r="D110" s="1863"/>
      <c r="E110" s="1558">
        <f t="shared" si="17"/>
        <v>0</v>
      </c>
      <c r="F110" s="1811">
        <f t="shared" si="18"/>
        <v>0</v>
      </c>
      <c r="G110" s="1812">
        <f t="shared" si="19"/>
        <v>0</v>
      </c>
    </row>
    <row r="111" spans="1:7" x14ac:dyDescent="0.25">
      <c r="A111" s="1671"/>
      <c r="B111" s="1685"/>
      <c r="C111" s="1672"/>
      <c r="D111" s="1863"/>
      <c r="E111" s="1558">
        <f t="shared" si="17"/>
        <v>0</v>
      </c>
      <c r="F111" s="1811">
        <f t="shared" si="18"/>
        <v>0</v>
      </c>
      <c r="G111" s="1812">
        <f t="shared" si="19"/>
        <v>0</v>
      </c>
    </row>
    <row r="112" spans="1:7" x14ac:dyDescent="0.25">
      <c r="A112" s="1671"/>
      <c r="B112" s="1685"/>
      <c r="C112" s="1672"/>
      <c r="D112" s="1863"/>
      <c r="E112" s="1558">
        <f t="shared" si="17"/>
        <v>0</v>
      </c>
      <c r="F112" s="1811">
        <f t="shared" si="18"/>
        <v>0</v>
      </c>
      <c r="G112" s="1812">
        <f t="shared" si="19"/>
        <v>0</v>
      </c>
    </row>
    <row r="113" spans="1:7"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x14ac:dyDescent="0.25">
      <c r="A114" s="1671"/>
      <c r="B114" s="1685"/>
      <c r="C114" s="1672"/>
      <c r="D114" s="1863"/>
      <c r="E114" s="1558">
        <f t="shared" si="20"/>
        <v>0</v>
      </c>
      <c r="F114" s="1811">
        <f t="shared" si="21"/>
        <v>0</v>
      </c>
      <c r="G114" s="1812">
        <f t="shared" si="22"/>
        <v>0</v>
      </c>
    </row>
    <row r="115" spans="1:7" x14ac:dyDescent="0.25">
      <c r="A115" s="1671"/>
      <c r="B115" s="1685"/>
      <c r="C115" s="1672"/>
      <c r="D115" s="1863"/>
      <c r="E115" s="1558">
        <f t="shared" si="20"/>
        <v>0</v>
      </c>
      <c r="F115" s="1811">
        <f t="shared" si="21"/>
        <v>0</v>
      </c>
      <c r="G115" s="1812">
        <f t="shared" si="22"/>
        <v>0</v>
      </c>
    </row>
    <row r="116" spans="1:7" x14ac:dyDescent="0.25">
      <c r="A116" s="1671"/>
      <c r="B116" s="1685"/>
      <c r="C116" s="1672"/>
      <c r="D116" s="1863"/>
      <c r="E116" s="1558">
        <f t="shared" si="20"/>
        <v>0</v>
      </c>
      <c r="F116" s="1811">
        <f t="shared" si="21"/>
        <v>0</v>
      </c>
      <c r="G116" s="1812">
        <f t="shared" si="22"/>
        <v>0</v>
      </c>
    </row>
    <row r="117" spans="1:7" x14ac:dyDescent="0.25">
      <c r="A117" s="1671"/>
      <c r="B117" s="1685"/>
      <c r="C117" s="1672"/>
      <c r="D117" s="1863"/>
      <c r="E117" s="1558">
        <f t="shared" si="20"/>
        <v>0</v>
      </c>
      <c r="F117" s="1811">
        <f t="shared" si="21"/>
        <v>0</v>
      </c>
      <c r="G117" s="1812">
        <f t="shared" si="22"/>
        <v>0</v>
      </c>
    </row>
    <row r="118" spans="1:7" x14ac:dyDescent="0.25">
      <c r="A118" s="1671"/>
      <c r="B118" s="1685"/>
      <c r="C118" s="1672"/>
      <c r="D118" s="1863"/>
      <c r="E118" s="1558">
        <f t="shared" si="20"/>
        <v>0</v>
      </c>
      <c r="F118" s="1811">
        <f t="shared" si="21"/>
        <v>0</v>
      </c>
      <c r="G118" s="1812">
        <f t="shared" si="22"/>
        <v>0</v>
      </c>
    </row>
    <row r="119" spans="1:7" x14ac:dyDescent="0.25">
      <c r="A119" s="1671"/>
      <c r="B119" s="1685"/>
      <c r="C119" s="1672"/>
      <c r="D119" s="1863"/>
      <c r="E119" s="1558">
        <f t="shared" si="20"/>
        <v>0</v>
      </c>
      <c r="F119" s="1811">
        <f t="shared" si="21"/>
        <v>0</v>
      </c>
      <c r="G119" s="1812">
        <f t="shared" si="22"/>
        <v>0</v>
      </c>
    </row>
    <row r="120" spans="1:7" x14ac:dyDescent="0.25">
      <c r="A120" s="1671"/>
      <c r="B120" s="1685"/>
      <c r="C120" s="1672"/>
      <c r="D120" s="1863"/>
      <c r="E120" s="1558">
        <f t="shared" si="20"/>
        <v>0</v>
      </c>
      <c r="F120" s="1811">
        <f t="shared" si="21"/>
        <v>0</v>
      </c>
      <c r="G120" s="1812">
        <f t="shared" si="22"/>
        <v>0</v>
      </c>
    </row>
    <row r="121" spans="1:7" x14ac:dyDescent="0.25">
      <c r="A121" s="1671"/>
      <c r="B121" s="1685"/>
      <c r="C121" s="1672"/>
      <c r="D121" s="1863"/>
      <c r="E121" s="1558">
        <f t="shared" si="20"/>
        <v>0</v>
      </c>
      <c r="F121" s="1811">
        <f t="shared" si="21"/>
        <v>0</v>
      </c>
      <c r="G121" s="1812">
        <f t="shared" si="22"/>
        <v>0</v>
      </c>
    </row>
    <row r="122" spans="1:7" x14ac:dyDescent="0.25">
      <c r="A122" s="1671"/>
      <c r="B122" s="1685"/>
      <c r="C122" s="1672"/>
      <c r="D122" s="1863"/>
      <c r="E122" s="1558">
        <f t="shared" si="20"/>
        <v>0</v>
      </c>
      <c r="F122" s="1811">
        <f t="shared" si="21"/>
        <v>0</v>
      </c>
      <c r="G122" s="1812">
        <f t="shared" si="22"/>
        <v>0</v>
      </c>
    </row>
    <row r="123" spans="1:7" x14ac:dyDescent="0.25">
      <c r="A123" s="1671"/>
      <c r="B123" s="1685"/>
      <c r="C123" s="1672"/>
      <c r="D123" s="1863"/>
      <c r="E123" s="1558">
        <f t="shared" si="20"/>
        <v>0</v>
      </c>
      <c r="F123" s="1811">
        <f t="shared" si="21"/>
        <v>0</v>
      </c>
      <c r="G123" s="1812">
        <f t="shared" si="22"/>
        <v>0</v>
      </c>
    </row>
    <row r="124" spans="1:7" x14ac:dyDescent="0.25">
      <c r="A124" s="1671"/>
      <c r="B124" s="1685"/>
      <c r="C124" s="1672"/>
      <c r="D124" s="1863"/>
      <c r="E124" s="1558">
        <f t="shared" si="20"/>
        <v>0</v>
      </c>
      <c r="F124" s="1811">
        <f t="shared" si="21"/>
        <v>0</v>
      </c>
      <c r="G124" s="1812">
        <f t="shared" si="22"/>
        <v>0</v>
      </c>
    </row>
    <row r="125" spans="1:7" x14ac:dyDescent="0.25">
      <c r="A125" s="1671"/>
      <c r="B125" s="1685"/>
      <c r="C125" s="1672"/>
      <c r="D125" s="1863"/>
      <c r="E125" s="1558">
        <f t="shared" si="20"/>
        <v>0</v>
      </c>
      <c r="F125" s="1811">
        <f t="shared" si="21"/>
        <v>0</v>
      </c>
      <c r="G125" s="1812">
        <f t="shared" si="22"/>
        <v>0</v>
      </c>
    </row>
    <row r="126" spans="1:7"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x14ac:dyDescent="0.25">
      <c r="A127" s="1671"/>
      <c r="B127" s="1685"/>
      <c r="C127" s="1672"/>
      <c r="D127" s="1863"/>
      <c r="E127" s="1558">
        <f t="shared" si="23"/>
        <v>0</v>
      </c>
      <c r="F127" s="1811">
        <f t="shared" si="24"/>
        <v>0</v>
      </c>
      <c r="G127" s="1812">
        <f t="shared" si="25"/>
        <v>0</v>
      </c>
    </row>
    <row r="128" spans="1:7" x14ac:dyDescent="0.25">
      <c r="A128" s="1671"/>
      <c r="B128" s="1685"/>
      <c r="C128" s="1672"/>
      <c r="D128" s="1863"/>
      <c r="E128" s="1558">
        <f t="shared" si="23"/>
        <v>0</v>
      </c>
      <c r="F128" s="1811">
        <f t="shared" si="24"/>
        <v>0</v>
      </c>
      <c r="G128" s="1812">
        <f t="shared" si="25"/>
        <v>0</v>
      </c>
    </row>
    <row r="129" spans="1:7" x14ac:dyDescent="0.25">
      <c r="A129" s="1671"/>
      <c r="B129" s="1685"/>
      <c r="C129" s="1672"/>
      <c r="D129" s="1863"/>
      <c r="E129" s="1558">
        <f t="shared" si="23"/>
        <v>0</v>
      </c>
      <c r="F129" s="1811">
        <f t="shared" si="24"/>
        <v>0</v>
      </c>
      <c r="G129" s="1812">
        <f t="shared" si="25"/>
        <v>0</v>
      </c>
    </row>
    <row r="130" spans="1:7" x14ac:dyDescent="0.25">
      <c r="A130" s="1671"/>
      <c r="B130" s="1685"/>
      <c r="C130" s="1672"/>
      <c r="D130" s="1863"/>
      <c r="E130" s="1558">
        <f t="shared" si="23"/>
        <v>0</v>
      </c>
      <c r="F130" s="1811">
        <f t="shared" si="24"/>
        <v>0</v>
      </c>
      <c r="G130" s="1812">
        <f t="shared" si="25"/>
        <v>0</v>
      </c>
    </row>
    <row r="131" spans="1:7" x14ac:dyDescent="0.25">
      <c r="A131" s="1671"/>
      <c r="B131" s="1856"/>
      <c r="C131" s="1672"/>
      <c r="D131" s="1863"/>
      <c r="E131" s="1558">
        <f t="shared" si="23"/>
        <v>0</v>
      </c>
      <c r="F131" s="1811">
        <f t="shared" si="24"/>
        <v>0</v>
      </c>
      <c r="G131" s="1812">
        <f t="shared" si="25"/>
        <v>0</v>
      </c>
    </row>
    <row r="132" spans="1:7" x14ac:dyDescent="0.25">
      <c r="A132" s="1671"/>
      <c r="B132" s="1856"/>
      <c r="C132" s="1672"/>
      <c r="D132" s="1863"/>
      <c r="E132" s="1558">
        <f t="shared" si="23"/>
        <v>0</v>
      </c>
      <c r="F132" s="1811">
        <f t="shared" si="24"/>
        <v>0</v>
      </c>
      <c r="G132" s="1812">
        <f t="shared" si="25"/>
        <v>0</v>
      </c>
    </row>
    <row r="133" spans="1:7" x14ac:dyDescent="0.25">
      <c r="A133" s="1671"/>
      <c r="B133" s="1685"/>
      <c r="C133" s="1672"/>
      <c r="D133" s="1863"/>
      <c r="E133" s="1558">
        <f t="shared" si="23"/>
        <v>0</v>
      </c>
      <c r="F133" s="1811">
        <f t="shared" si="24"/>
        <v>0</v>
      </c>
      <c r="G133" s="1812">
        <f t="shared" si="25"/>
        <v>0</v>
      </c>
    </row>
    <row r="134" spans="1:7" x14ac:dyDescent="0.25">
      <c r="A134" s="1671"/>
      <c r="B134" s="1685"/>
      <c r="C134" s="1672"/>
      <c r="D134" s="1863"/>
      <c r="E134" s="1558">
        <f t="shared" si="23"/>
        <v>0</v>
      </c>
      <c r="F134" s="1811">
        <f t="shared" si="24"/>
        <v>0</v>
      </c>
      <c r="G134" s="1812">
        <f t="shared" si="25"/>
        <v>0</v>
      </c>
    </row>
    <row r="135" spans="1:7"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x14ac:dyDescent="0.25">
      <c r="A136" s="1671"/>
      <c r="B136" s="1685"/>
      <c r="C136" s="1672"/>
      <c r="D136" s="1863"/>
      <c r="E136" s="1558">
        <f t="shared" si="26"/>
        <v>0</v>
      </c>
      <c r="F136" s="1811">
        <f t="shared" si="27"/>
        <v>0</v>
      </c>
      <c r="G136" s="1812">
        <f t="shared" si="28"/>
        <v>0</v>
      </c>
    </row>
    <row r="137" spans="1:7" x14ac:dyDescent="0.25">
      <c r="A137" s="1671"/>
      <c r="B137" s="1685"/>
      <c r="C137" s="1672"/>
      <c r="D137" s="1863"/>
      <c r="E137" s="1558">
        <f t="shared" si="26"/>
        <v>0</v>
      </c>
      <c r="F137" s="1811">
        <f t="shared" si="27"/>
        <v>0</v>
      </c>
      <c r="G137" s="1812">
        <f t="shared" si="28"/>
        <v>0</v>
      </c>
    </row>
    <row r="138" spans="1:7" x14ac:dyDescent="0.25">
      <c r="A138" s="1671"/>
      <c r="B138" s="1685"/>
      <c r="C138" s="1672"/>
      <c r="D138" s="1863"/>
      <c r="E138" s="1558">
        <f t="shared" si="26"/>
        <v>0</v>
      </c>
      <c r="F138" s="1811">
        <f t="shared" si="27"/>
        <v>0</v>
      </c>
      <c r="G138" s="1812">
        <f t="shared" si="28"/>
        <v>0</v>
      </c>
    </row>
    <row r="139" spans="1:7" x14ac:dyDescent="0.25">
      <c r="A139" s="1671"/>
      <c r="B139" s="1685"/>
      <c r="C139" s="1672"/>
      <c r="D139" s="1863"/>
      <c r="E139" s="1558">
        <f t="shared" si="26"/>
        <v>0</v>
      </c>
      <c r="F139" s="1811">
        <f t="shared" si="27"/>
        <v>0</v>
      </c>
      <c r="G139" s="1812">
        <f t="shared" si="28"/>
        <v>0</v>
      </c>
    </row>
    <row r="140" spans="1:7"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2239399.8600000003</v>
      </c>
      <c r="E141" s="1559">
        <f t="shared" si="1"/>
        <v>25000</v>
      </c>
      <c r="F141" s="1813">
        <f>SUM(F17:F140)</f>
        <v>375000</v>
      </c>
      <c r="G141" s="1814">
        <f>SUM(G17:G140)</f>
        <v>1864399.86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5"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v>45331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6" t="s">
        <v>553</v>
      </c>
      <c r="E17" s="1657"/>
      <c r="F17" s="1656" t="s">
        <v>453</v>
      </c>
      <c r="G17" s="1658"/>
      <c r="H17" s="162"/>
      <c r="I17" s="162"/>
    </row>
    <row r="18" spans="1:9" s="259" customFormat="1" ht="11.25" x14ac:dyDescent="0.2">
      <c r="A18" s="989"/>
      <c r="C18" s="990" t="s">
        <v>454</v>
      </c>
      <c r="D18" s="1659" t="s">
        <v>455</v>
      </c>
      <c r="E18" s="1659" t="s">
        <v>55</v>
      </c>
      <c r="F18" s="1659" t="s">
        <v>455</v>
      </c>
      <c r="G18" s="1659"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5458045</v>
      </c>
      <c r="F19" s="1818"/>
      <c r="G19" s="1820">
        <f>'Expenditures 15-22'!K33-SUM('Expenditures 15-22'!G33,'Expenditures 15-22'!I33)+'Expenditures 15-22'!D229</f>
        <v>5458045</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542952</v>
      </c>
      <c r="F21" s="1821"/>
      <c r="G21" s="1824">
        <f>'Expenditures 15-22'!K42-SUM('Expenditures 15-22'!G42,'Expenditures 15-22'!I42)+'Expenditures 15-22'!K120-SUM('Expenditures 15-22'!G120,'Expenditures 15-22'!I120)+'Expenditures 15-22'!K180-SUM('Expenditures 15-22'!G180,'Expenditures 15-22'!I180)+'Expenditures 15-22'!D238</f>
        <v>542952</v>
      </c>
      <c r="H21" s="988"/>
      <c r="I21" s="162"/>
    </row>
    <row r="22" spans="1:9" s="669" customFormat="1" ht="12" customHeight="1" x14ac:dyDescent="0.2">
      <c r="A22" s="995" t="s">
        <v>585</v>
      </c>
      <c r="B22" s="996"/>
      <c r="C22" s="994">
        <v>2200</v>
      </c>
      <c r="D22" s="1821"/>
      <c r="E22" s="1823">
        <f>'Expenditures 15-22'!K47-SUM('Expenditures 15-22'!G47,'Expenditures 15-22'!I47)+'Expenditures 15-22'!D243</f>
        <v>796417</v>
      </c>
      <c r="F22" s="1821"/>
      <c r="G22" s="1824">
        <f>'Expenditures 15-22'!K47-SUM('Expenditures 15-22'!G47,'Expenditures 15-22'!I47)+'Expenditures 15-22'!D243</f>
        <v>796417</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913510</v>
      </c>
      <c r="F23" s="1821"/>
      <c r="G23" s="1823">
        <f>'Expenditures 15-22'!K53-SUM('Expenditures 15-22'!G53,'Expenditures 15-22'!I53)+'Expenditures 15-22'!D257+'Expenditures 15-22'!K330-SUM('Expenditures 15-22'!G330,'Expenditures 15-22'!I330)</f>
        <v>913510</v>
      </c>
      <c r="H23" s="988"/>
      <c r="I23" s="162"/>
    </row>
    <row r="24" spans="1:9" s="669" customFormat="1" ht="12" customHeight="1" x14ac:dyDescent="0.2">
      <c r="A24" s="995" t="s">
        <v>587</v>
      </c>
      <c r="B24" s="996"/>
      <c r="C24" s="994">
        <v>2400</v>
      </c>
      <c r="D24" s="1821"/>
      <c r="E24" s="1823">
        <f>'Expenditures 15-22'!K57-SUM('Expenditures 15-22'!G57,'Expenditures 15-22'!I57)+'Expenditures 15-22'!D261</f>
        <v>329938</v>
      </c>
      <c r="F24" s="1821"/>
      <c r="G24" s="1824">
        <f>'Expenditures 15-22'!K57-SUM('Expenditures 15-22'!G57,'Expenditures 15-22'!I57)+'Expenditures 15-22'!D261</f>
        <v>329938</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419457</v>
      </c>
      <c r="E27" s="1823">
        <f>E8</f>
        <v>0</v>
      </c>
      <c r="F27" s="1823">
        <f>'Expenditures 15-22'!K60-SUM('Expenditures 15-22'!G60,'Expenditures 15-22'!I60)+'Expenditures 15-22'!D264-E8</f>
        <v>419457</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935685</v>
      </c>
      <c r="F28" s="1825">
        <f>'Expenditures 15-22'!K61-SUM('Expenditures 15-22'!G61,'Expenditures 15-22'!I61)+'Expenditures 15-22'!K124-SUM('Expenditures 15-22'!G124,'Expenditures 15-22'!I124)+'Expenditures 15-22'!D266-E9</f>
        <v>935685</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979095</v>
      </c>
      <c r="F29" s="1821"/>
      <c r="G29" s="1824">
        <f>'Expenditures 15-22'!K62-SUM('Expenditures 15-22'!G62,'Expenditures 15-22'!I62)+'Expenditures 15-22'!K125-SUM('Expenditures 15-22'!G125,'Expenditures 15-22'!I125)+'Expenditures 15-22'!K182-SUM('Expenditures 15-22'!G182,'Expenditures 15-22'!I182)+'Expenditures 15-22'!D267</f>
        <v>979095</v>
      </c>
      <c r="H29" s="986"/>
    </row>
    <row r="30" spans="1:9" ht="12" customHeight="1" x14ac:dyDescent="0.2">
      <c r="A30" s="995" t="s">
        <v>102</v>
      </c>
      <c r="B30" s="998"/>
      <c r="C30" s="994">
        <v>2560</v>
      </c>
      <c r="D30" s="1821"/>
      <c r="E30" s="1823">
        <f>'Expenditures 15-22'!K63-SUM('Expenditures 15-22'!G63,'Expenditures 15-22'!I63)+'Expenditures 15-22'!D268-E10</f>
        <v>689174</v>
      </c>
      <c r="F30" s="1821"/>
      <c r="G30" s="1823">
        <f>'Expenditures 15-22'!K63-SUM('Expenditures 15-22'!G63,'Expenditures 15-22'!I63)+'Expenditures 15-22'!D268-E10</f>
        <v>689174</v>
      </c>
    </row>
    <row r="31" spans="1:9" ht="12" customHeight="1" x14ac:dyDescent="0.2">
      <c r="A31" s="995" t="s">
        <v>103</v>
      </c>
      <c r="B31" s="998"/>
      <c r="C31" s="994">
        <v>2570</v>
      </c>
      <c r="D31" s="1823">
        <f>'Expenditures 15-22'!K64-SUM('Expenditures 15-22'!G64,'Expenditures 15-22'!I64)+'Expenditures 15-22'!D269-E12</f>
        <v>70</v>
      </c>
      <c r="E31" s="1823">
        <f>E12</f>
        <v>0</v>
      </c>
      <c r="F31" s="1823">
        <f>'Expenditures 15-22'!K64-SUM('Expenditures 15-22'!G64,'Expenditures 15-22'!I64)+'Expenditures 15-22'!D269-E12</f>
        <v>70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259947</v>
      </c>
      <c r="E36" s="1823">
        <f>E13</f>
        <v>0</v>
      </c>
      <c r="F36" s="1823">
        <f>'Expenditures 15-22'!K70-SUM('Expenditures 15-22'!G70,'Expenditures 15-22'!I70)+'Expenditures 15-22'!D275-E13</f>
        <v>259947</v>
      </c>
      <c r="G36" s="1823">
        <f>E13</f>
        <v>0</v>
      </c>
    </row>
    <row r="37" spans="1:7" ht="12" customHeight="1" x14ac:dyDescent="0.2">
      <c r="A37" s="995" t="s">
        <v>424</v>
      </c>
      <c r="B37" s="998"/>
      <c r="C37" s="994">
        <v>2660</v>
      </c>
      <c r="D37" s="1823">
        <f>'Expenditures 15-22'!K71-SUM('Expenditures 15-22'!G71,'Expenditures 15-22'!I71)+'Expenditures 15-22'!D276-E14</f>
        <v>71019</v>
      </c>
      <c r="E37" s="1823">
        <f>E14</f>
        <v>0</v>
      </c>
      <c r="F37" s="1823">
        <f>'Expenditures 15-22'!K71-SUM('Expenditures 15-22'!G71,'Expenditures 15-22'!I71)+'Expenditures 15-22'!D276-E14</f>
        <v>71019</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150119</v>
      </c>
      <c r="F38" s="1821"/>
      <c r="G38" s="1823">
        <f>'Expenditures 15-22'!K73-SUM('Expenditures 15-22'!G73,'Expenditures 15-22'!I73)+'Expenditures 15-22'!K128-SUM('Expenditures 15-22'!G128,'Expenditures 15-22'!I128)+'Expenditures 15-22'!K183-SUM('Expenditures 15-22'!G183,'Expenditures 15-22'!I183)+'Expenditures 15-22'!D278</f>
        <v>150119</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21752</v>
      </c>
      <c r="F39" s="1821"/>
      <c r="G39" s="1823">
        <f>'Expenditures 15-22'!K75-SUM('Expenditures 15-22'!G75,'Expenditures 15-22'!I75)+'Expenditures 15-22'!K130-SUM('Expenditures 15-22'!G130,'Expenditures 15-22'!I130)+'Expenditures 15-22'!K185-SUM('Expenditures 15-22'!G185,'Expenditures 15-22'!I185)+'Expenditures 15-22'!D280</f>
        <v>21752</v>
      </c>
    </row>
    <row r="40" spans="1:7" ht="12" customHeight="1" x14ac:dyDescent="0.2">
      <c r="A40" s="991" t="s">
        <v>1930</v>
      </c>
      <c r="B40" s="992"/>
      <c r="C40" s="994"/>
      <c r="D40" s="1821"/>
      <c r="E40" s="1825">
        <f>-'Contracts Paid in CY 29'!G141</f>
        <v>-1864399.86</v>
      </c>
      <c r="F40" s="1821"/>
      <c r="G40" s="1825">
        <f>-'Contracts Paid in CY 29'!G141</f>
        <v>-1864399.86</v>
      </c>
    </row>
    <row r="41" spans="1:7" ht="12" customHeight="1" x14ac:dyDescent="0.2">
      <c r="A41" s="999" t="s">
        <v>158</v>
      </c>
      <c r="B41" s="1000"/>
      <c r="C41" s="1001"/>
      <c r="D41" s="1825">
        <f>SUM(D19:D39)</f>
        <v>750493</v>
      </c>
      <c r="E41" s="1825">
        <f>SUM(E19:E40)</f>
        <v>8952287.1400000006</v>
      </c>
      <c r="F41" s="1825">
        <f>SUM(F19:F39)</f>
        <v>1686178</v>
      </c>
      <c r="G41" s="1825">
        <f>SUM(G19:G40)</f>
        <v>8016602.1399999997</v>
      </c>
    </row>
    <row r="42" spans="1:7" x14ac:dyDescent="0.2">
      <c r="A42" s="988"/>
      <c r="B42" s="162"/>
      <c r="C42" s="1002"/>
      <c r="D42" s="2301" t="s">
        <v>543</v>
      </c>
      <c r="E42" s="2302"/>
      <c r="F42" s="1003" t="s">
        <v>544</v>
      </c>
      <c r="G42" s="1004"/>
    </row>
    <row r="43" spans="1:7" ht="12" customHeight="1" x14ac:dyDescent="0.2">
      <c r="A43" s="988"/>
      <c r="B43" s="162"/>
      <c r="C43" s="1002"/>
      <c r="D43" s="1826" t="s">
        <v>493</v>
      </c>
      <c r="E43" s="1827">
        <f>D41</f>
        <v>750493</v>
      </c>
      <c r="F43" s="1826" t="s">
        <v>495</v>
      </c>
      <c r="G43" s="1827">
        <f>F41</f>
        <v>1686178</v>
      </c>
    </row>
    <row r="44" spans="1:7" ht="12" customHeight="1" x14ac:dyDescent="0.2">
      <c r="A44" s="988"/>
      <c r="B44" s="162"/>
      <c r="C44" s="1002"/>
      <c r="D44" s="1826" t="s">
        <v>494</v>
      </c>
      <c r="E44" s="1827">
        <f>E41</f>
        <v>8952287.1400000006</v>
      </c>
      <c r="F44" s="1826" t="s">
        <v>494</v>
      </c>
      <c r="G44" s="1827">
        <f>G41</f>
        <v>8016602.1399999997</v>
      </c>
    </row>
    <row r="45" spans="1:7" ht="12" customHeight="1" x14ac:dyDescent="0.2">
      <c r="A45" s="988"/>
      <c r="B45" s="162"/>
      <c r="C45" s="162"/>
      <c r="D45" s="1828" t="s">
        <v>1063</v>
      </c>
      <c r="E45" s="1829">
        <f>(E43/E44)</f>
        <v>8.3832543378406427E-2</v>
      </c>
      <c r="F45" s="1828" t="s">
        <v>1063</v>
      </c>
      <c r="G45" s="1829">
        <f>(G43/G44)</f>
        <v>0.2103357470600381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0" t="s">
        <v>1446</v>
      </c>
      <c r="B1" s="2320"/>
      <c r="C1" s="2320"/>
      <c r="D1" s="2320"/>
      <c r="E1" s="2320"/>
      <c r="F1" s="2320"/>
    </row>
    <row r="2" spans="1:10" x14ac:dyDescent="0.2">
      <c r="A2" s="1908" t="s">
        <v>2048</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1" t="s">
        <v>1627</v>
      </c>
      <c r="B5" s="2322"/>
      <c r="C5" s="2323"/>
      <c r="D5" s="2323"/>
      <c r="E5" s="2323"/>
      <c r="F5" s="2323"/>
    </row>
    <row r="6" spans="1:10" ht="12" customHeight="1" x14ac:dyDescent="0.25">
      <c r="A6" s="1871"/>
      <c r="B6" s="1872"/>
      <c r="C6" s="2324" t="str">
        <f>COVER!A17</f>
        <v>Calumet Public SD 132</v>
      </c>
      <c r="D6" s="2324"/>
      <c r="E6" s="2324"/>
      <c r="F6" s="1873"/>
    </row>
    <row r="7" spans="1:10" ht="11.25" customHeight="1" thickBot="1" x14ac:dyDescent="0.3">
      <c r="A7" s="1871"/>
      <c r="B7" s="1872"/>
      <c r="C7" s="2325">
        <f>COVER!A13</f>
        <v>7016132002</v>
      </c>
      <c r="D7" s="2325"/>
      <c r="E7" s="2325"/>
      <c r="F7" s="1873"/>
    </row>
    <row r="8" spans="1:10" ht="25.5" customHeight="1" thickBot="1" x14ac:dyDescent="0.25">
      <c r="A8" s="1914" t="s">
        <v>2025</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956" t="s">
        <v>2077</v>
      </c>
      <c r="D19" s="1956" t="s">
        <v>2077</v>
      </c>
      <c r="E19" s="1955" t="s">
        <v>2100</v>
      </c>
      <c r="F19" s="1888" t="s">
        <v>2126</v>
      </c>
      <c r="H19" s="1899">
        <f t="shared" si="0"/>
        <v>5</v>
      </c>
      <c r="I19" s="1899">
        <f t="shared" si="1"/>
        <v>5</v>
      </c>
      <c r="J19" s="1899">
        <f t="shared" si="2"/>
        <v>0</v>
      </c>
    </row>
    <row r="20" spans="1:12" ht="12" customHeight="1" x14ac:dyDescent="0.2">
      <c r="A20" s="1884" t="s">
        <v>1609</v>
      </c>
      <c r="B20" s="1885"/>
      <c r="C20" s="1956" t="s">
        <v>2077</v>
      </c>
      <c r="D20" s="1956" t="s">
        <v>2077</v>
      </c>
      <c r="E20" s="1955" t="s">
        <v>2100</v>
      </c>
      <c r="F20" s="1888" t="s">
        <v>2127</v>
      </c>
      <c r="H20" s="1899">
        <f t="shared" si="0"/>
        <v>5</v>
      </c>
      <c r="I20" s="1899">
        <f t="shared" si="1"/>
        <v>5</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956" t="s">
        <v>2077</v>
      </c>
      <c r="D26" s="1956" t="s">
        <v>2077</v>
      </c>
      <c r="E26" s="1955" t="s">
        <v>2100</v>
      </c>
      <c r="F26" s="1888" t="s">
        <v>2128</v>
      </c>
      <c r="H26" s="1899">
        <f t="shared" si="0"/>
        <v>5</v>
      </c>
      <c r="I26" s="1899">
        <f t="shared" si="1"/>
        <v>5</v>
      </c>
      <c r="J26" s="1899">
        <f t="shared" si="2"/>
        <v>0</v>
      </c>
    </row>
    <row r="27" spans="1:12" x14ac:dyDescent="0.2">
      <c r="A27" s="1884" t="s">
        <v>1616</v>
      </c>
      <c r="B27" s="1885"/>
      <c r="C27" s="1956"/>
      <c r="D27" s="1956"/>
      <c r="E27" s="1955"/>
      <c r="F27" s="1888"/>
      <c r="H27" s="1899">
        <f t="shared" si="0"/>
        <v>0</v>
      </c>
      <c r="I27" s="1899">
        <f t="shared" si="1"/>
        <v>0</v>
      </c>
      <c r="J27" s="1899">
        <f t="shared" si="2"/>
        <v>0</v>
      </c>
    </row>
    <row r="28" spans="1:12" ht="12" customHeight="1" x14ac:dyDescent="0.2">
      <c r="A28" s="1884" t="s">
        <v>1617</v>
      </c>
      <c r="B28" s="1885"/>
      <c r="C28" s="1956"/>
      <c r="D28" s="1956"/>
      <c r="E28" s="1955"/>
      <c r="F28" s="1888"/>
      <c r="H28" s="1899">
        <f t="shared" si="0"/>
        <v>0</v>
      </c>
      <c r="I28" s="1899">
        <f t="shared" si="1"/>
        <v>0</v>
      </c>
      <c r="J28" s="1899">
        <f t="shared" si="2"/>
        <v>0</v>
      </c>
    </row>
    <row r="29" spans="1:12" ht="12" customHeight="1" x14ac:dyDescent="0.2">
      <c r="A29" s="1884" t="s">
        <v>1618</v>
      </c>
      <c r="B29" s="1885"/>
      <c r="C29" s="1956"/>
      <c r="D29" s="1956"/>
      <c r="E29" s="1955"/>
      <c r="F29" s="1888"/>
      <c r="H29" s="1899">
        <f t="shared" si="0"/>
        <v>0</v>
      </c>
      <c r="I29" s="1899">
        <f t="shared" si="1"/>
        <v>0</v>
      </c>
      <c r="J29" s="1899">
        <f t="shared" si="2"/>
        <v>0</v>
      </c>
    </row>
    <row r="30" spans="1:12" ht="12" customHeight="1" x14ac:dyDescent="0.2">
      <c r="A30" s="1884" t="s">
        <v>1619</v>
      </c>
      <c r="B30" s="1885"/>
      <c r="C30" s="1956"/>
      <c r="D30" s="1956"/>
      <c r="E30" s="1955"/>
      <c r="F30" s="1888"/>
      <c r="H30" s="1899">
        <f t="shared" si="0"/>
        <v>0</v>
      </c>
      <c r="I30" s="1899">
        <f t="shared" si="1"/>
        <v>0</v>
      </c>
      <c r="J30" s="1899">
        <f t="shared" si="2"/>
        <v>0</v>
      </c>
    </row>
    <row r="31" spans="1:12" ht="12" customHeight="1" x14ac:dyDescent="0.2">
      <c r="A31" s="1884" t="s">
        <v>1620</v>
      </c>
      <c r="B31" s="1885"/>
      <c r="C31" s="1956"/>
      <c r="D31" s="1956"/>
      <c r="E31" s="1955"/>
      <c r="F31" s="1888"/>
      <c r="H31" s="1899">
        <f t="shared" si="0"/>
        <v>0</v>
      </c>
      <c r="I31" s="1899">
        <f t="shared" si="1"/>
        <v>0</v>
      </c>
      <c r="J31" s="1899">
        <f t="shared" si="2"/>
        <v>0</v>
      </c>
      <c r="L31" s="1890"/>
    </row>
    <row r="32" spans="1:12" ht="12" customHeight="1" x14ac:dyDescent="0.2">
      <c r="A32" s="1884" t="s">
        <v>1621</v>
      </c>
      <c r="B32" s="1885"/>
      <c r="C32" s="1956"/>
      <c r="D32" s="1956"/>
      <c r="E32" s="1955"/>
      <c r="F32" s="1888"/>
      <c r="H32" s="1899">
        <f t="shared" si="0"/>
        <v>0</v>
      </c>
      <c r="I32" s="1899">
        <f t="shared" si="1"/>
        <v>0</v>
      </c>
      <c r="J32" s="1899">
        <f t="shared" si="2"/>
        <v>0</v>
      </c>
    </row>
    <row r="33" spans="1:11" ht="12" customHeight="1" x14ac:dyDescent="0.2">
      <c r="A33" s="1884" t="s">
        <v>1622</v>
      </c>
      <c r="B33" s="1885"/>
      <c r="C33" s="1956" t="s">
        <v>2077</v>
      </c>
      <c r="D33" s="1956" t="s">
        <v>2077</v>
      </c>
      <c r="E33" s="1955" t="s">
        <v>2100</v>
      </c>
      <c r="F33" s="1888" t="s">
        <v>2129</v>
      </c>
      <c r="H33" s="1899">
        <f t="shared" si="0"/>
        <v>5</v>
      </c>
      <c r="I33" s="1899">
        <f t="shared" si="1"/>
        <v>5</v>
      </c>
      <c r="J33" s="1899">
        <f t="shared" si="2"/>
        <v>0</v>
      </c>
    </row>
    <row r="34" spans="1:11" ht="12" customHeight="1" x14ac:dyDescent="0.25">
      <c r="A34" s="1891"/>
      <c r="B34" s="1891"/>
      <c r="C34" s="1891"/>
      <c r="D34" s="1891"/>
      <c r="E34" s="1891"/>
      <c r="F34" s="1891"/>
      <c r="H34" s="1899">
        <f>SUM(H11:H32)</f>
        <v>15</v>
      </c>
      <c r="I34" s="1899">
        <f>SUM(I11:I32)</f>
        <v>15</v>
      </c>
      <c r="J34" s="1899">
        <f>SUM(J11:J32)</f>
        <v>0</v>
      </c>
      <c r="K34" s="1899">
        <f>SUM(H34:J34)</f>
        <v>30</v>
      </c>
    </row>
    <row r="35" spans="1:11" ht="12" customHeight="1" x14ac:dyDescent="0.2">
      <c r="A35" s="1892" t="s">
        <v>1459</v>
      </c>
      <c r="B35" s="1893"/>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4"/>
      <c r="B39" s="1894"/>
      <c r="C39" s="1894"/>
      <c r="D39" s="1894"/>
      <c r="E39" s="1894"/>
      <c r="F39" s="1894"/>
    </row>
    <row r="40" spans="1:11" s="1891" customFormat="1" ht="12" customHeight="1" x14ac:dyDescent="0.25">
      <c r="A40" s="1895" t="s">
        <v>1458</v>
      </c>
      <c r="B40" s="1896"/>
      <c r="C40" s="2315"/>
      <c r="D40" s="2315"/>
      <c r="E40" s="2315"/>
      <c r="F40" s="2316"/>
      <c r="H40" s="1900"/>
      <c r="I40" s="1900"/>
      <c r="J40" s="1900"/>
      <c r="K40" s="1900"/>
    </row>
    <row r="41" spans="1:11" s="1891" customFormat="1" ht="12" customHeight="1" x14ac:dyDescent="0.25">
      <c r="A41" s="2317"/>
      <c r="B41" s="2318"/>
      <c r="C41" s="2318"/>
      <c r="D41" s="2318"/>
      <c r="E41" s="2318"/>
      <c r="F41" s="2319"/>
      <c r="H41" s="1900"/>
      <c r="I41" s="1900"/>
      <c r="J41" s="1900"/>
      <c r="K41" s="1900"/>
    </row>
    <row r="42" spans="1:11" s="1891" customFormat="1" ht="12" customHeight="1" x14ac:dyDescent="0.25">
      <c r="A42" s="2317"/>
      <c r="B42" s="2318"/>
      <c r="C42" s="2318"/>
      <c r="D42" s="2318"/>
      <c r="E42" s="2318"/>
      <c r="F42" s="2319"/>
      <c r="H42" s="1900"/>
      <c r="I42" s="1900"/>
      <c r="J42" s="1900"/>
      <c r="K42" s="1900"/>
    </row>
    <row r="43" spans="1:11" s="1891" customFormat="1" ht="15" x14ac:dyDescent="0.25">
      <c r="A43" s="2306"/>
      <c r="B43" s="2307"/>
      <c r="C43" s="2307"/>
      <c r="D43" s="2307"/>
      <c r="E43" s="2307"/>
      <c r="F43" s="2308"/>
      <c r="H43" s="1900"/>
      <c r="I43" s="1900"/>
      <c r="J43" s="1900"/>
      <c r="K43" s="1900"/>
    </row>
    <row r="44" spans="1:11" s="1891" customFormat="1" ht="12" hidden="1" customHeight="1" x14ac:dyDescent="0.25">
      <c r="A44" s="2306"/>
      <c r="B44" s="2307"/>
      <c r="C44" s="2307"/>
      <c r="D44" s="2307"/>
      <c r="E44" s="2307"/>
      <c r="F44" s="2308"/>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I15" sqref="I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0"/>
      <c r="C6" s="1660"/>
      <c r="D6" s="1660"/>
      <c r="E6" s="1661"/>
      <c r="F6" s="1016"/>
      <c r="G6" s="1010"/>
      <c r="H6" s="1017" t="s">
        <v>1086</v>
      </c>
      <c r="I6" s="2333" t="str">
        <f>COVER!A17</f>
        <v>Calumet Public SD 132</v>
      </c>
      <c r="J6" s="2334"/>
      <c r="Q6" s="1682"/>
    </row>
    <row r="7" spans="1:17" x14ac:dyDescent="0.2">
      <c r="A7" s="2335" t="s">
        <v>924</v>
      </c>
      <c r="B7" s="2336"/>
      <c r="C7" s="2336"/>
      <c r="D7" s="2336"/>
      <c r="E7" s="2337"/>
      <c r="F7" s="1018"/>
      <c r="G7" s="1010"/>
      <c r="H7" s="1017" t="s">
        <v>390</v>
      </c>
      <c r="I7" s="2338">
        <f>COVER!A13</f>
        <v>7016132002</v>
      </c>
      <c r="J7" s="2338"/>
    </row>
    <row r="8" spans="1:17" ht="8.25" customHeight="1" x14ac:dyDescent="0.2">
      <c r="A8" s="1662"/>
      <c r="B8" s="1663"/>
      <c r="C8" s="1663"/>
      <c r="D8" s="1663"/>
      <c r="E8" s="1664"/>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315114</v>
      </c>
      <c r="F12" s="1040"/>
      <c r="G12" s="1830">
        <f t="shared" ref="G12:G18" si="0">SUM(E12:F12)</f>
        <v>315114</v>
      </c>
      <c r="H12" s="1041">
        <v>349000</v>
      </c>
      <c r="I12" s="1040"/>
      <c r="J12" s="1830">
        <f t="shared" ref="J12:J18" si="1">SUM(H12:I12)</f>
        <v>349000</v>
      </c>
    </row>
    <row r="13" spans="1:17" ht="15" customHeight="1" x14ac:dyDescent="0.2">
      <c r="A13" s="1036">
        <v>2</v>
      </c>
      <c r="B13" s="1037" t="s">
        <v>44</v>
      </c>
      <c r="C13" s="1038"/>
      <c r="D13" s="1039">
        <v>2330</v>
      </c>
      <c r="E13" s="1830">
        <f>'Expenditures 15-22'!K51</f>
        <v>158593</v>
      </c>
      <c r="F13" s="1040"/>
      <c r="G13" s="1830">
        <f t="shared" si="0"/>
        <v>158593</v>
      </c>
      <c r="H13" s="1041">
        <v>145500</v>
      </c>
      <c r="I13" s="1040"/>
      <c r="J13" s="1830">
        <f t="shared" si="1"/>
        <v>145500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70</v>
      </c>
      <c r="F16" s="1040"/>
      <c r="G16" s="1830">
        <f t="shared" si="0"/>
        <v>70</v>
      </c>
      <c r="H16" s="1041">
        <v>100</v>
      </c>
      <c r="I16" s="1040"/>
      <c r="J16" s="1830">
        <f t="shared" si="1"/>
        <v>100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42" t="s">
        <v>7</v>
      </c>
      <c r="C18" s="2343"/>
      <c r="D18" s="2344"/>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473777</v>
      </c>
      <c r="F19" s="1832">
        <f t="shared" si="2"/>
        <v>0</v>
      </c>
      <c r="G19" s="1832">
        <f t="shared" si="2"/>
        <v>473777</v>
      </c>
      <c r="H19" s="1832">
        <f t="shared" si="2"/>
        <v>494600</v>
      </c>
      <c r="I19" s="1832">
        <f t="shared" si="2"/>
        <v>0</v>
      </c>
      <c r="J19" s="1832">
        <f t="shared" si="2"/>
        <v>494600</v>
      </c>
    </row>
    <row r="20" spans="1:10" ht="13.5" thickTop="1" x14ac:dyDescent="0.2">
      <c r="A20" s="1036">
        <v>9</v>
      </c>
      <c r="B20" s="2345" t="s">
        <v>1703</v>
      </c>
      <c r="C20" s="2345"/>
      <c r="D20" s="2346"/>
      <c r="E20" s="1047"/>
      <c r="F20" s="1047"/>
      <c r="G20" s="1047"/>
      <c r="H20" s="1047"/>
      <c r="I20" s="1047"/>
      <c r="J20" s="1833">
        <f>IF(AND(G19&gt;0,J19&gt;0),(((J19-G19)/G19)),"Enter Budget Data")</f>
        <v>4.395105714291745E-2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c r="B6" s="329" t="s">
        <v>2132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Calumet Public SD 132</v>
      </c>
    </row>
    <row r="65" spans="2:2" x14ac:dyDescent="0.2">
      <c r="B65" s="1071">
        <f>COVER!A13</f>
        <v>7016132002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3" t="s">
        <v>1879</v>
      </c>
    </row>
    <row r="60" spans="1:3" x14ac:dyDescent="0.2">
      <c r="A60" s="196"/>
      <c r="B60" s="1503"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5"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4"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0" sqref="B3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333375</xdr:colOff>
                <xdr:row>0</xdr:row>
                <xdr:rowOff>76200</xdr:rowOff>
              </from>
              <to>
                <xdr:col>1</xdr:col>
                <xdr:colOff>1247775</xdr:colOff>
                <xdr:row>4</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2457450</xdr:colOff>
                <xdr:row>0</xdr:row>
                <xdr:rowOff>85725</xdr:rowOff>
              </from>
              <to>
                <xdr:col>1</xdr:col>
                <xdr:colOff>3371850</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1381125</xdr:colOff>
                <xdr:row>0</xdr:row>
                <xdr:rowOff>76200</xdr:rowOff>
              </from>
              <to>
                <xdr:col>1</xdr:col>
                <xdr:colOff>2295525</xdr:colOff>
                <xdr:row>4</xdr:row>
                <xdr:rowOff>114300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342900</xdr:colOff>
                <xdr:row>6</xdr:row>
                <xdr:rowOff>9525</xdr:rowOff>
              </from>
              <to>
                <xdr:col>1</xdr:col>
                <xdr:colOff>1257300</xdr:colOff>
                <xdr:row>10</xdr:row>
                <xdr:rowOff>133350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1362075</xdr:colOff>
                <xdr:row>6</xdr:row>
                <xdr:rowOff>9525</xdr:rowOff>
              </from>
              <to>
                <xdr:col>1</xdr:col>
                <xdr:colOff>2266950</xdr:colOff>
                <xdr:row>10</xdr:row>
                <xdr:rowOff>133350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2466975</xdr:colOff>
                <xdr:row>6</xdr:row>
                <xdr:rowOff>0</xdr:rowOff>
              </from>
              <to>
                <xdr:col>1</xdr:col>
                <xdr:colOff>3381375</xdr:colOff>
                <xdr:row>10</xdr:row>
                <xdr:rowOff>123825</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11903093</v>
      </c>
      <c r="C8" s="1834">
        <f>'Acct Summary 7-8'!D8</f>
        <v>1316298</v>
      </c>
      <c r="D8" s="1834">
        <f>'Acct Summary 7-8'!F8</f>
        <v>1070517</v>
      </c>
      <c r="E8" s="1834">
        <f>'Acct Summary 7-8'!I8</f>
        <v>4213</v>
      </c>
      <c r="F8" s="1834">
        <f>SUM(B8:E8)</f>
        <v>14294121</v>
      </c>
    </row>
    <row r="9" spans="1:8" s="1080" customFormat="1" ht="14.25" customHeight="1" thickBot="1" x14ac:dyDescent="0.25">
      <c r="A9" s="1079" t="s">
        <v>1436</v>
      </c>
      <c r="B9" s="1835">
        <f>'Acct Summary 7-8'!C17</f>
        <v>10894650</v>
      </c>
      <c r="C9" s="1835">
        <f>'Acct Summary 7-8'!D17</f>
        <v>947191</v>
      </c>
      <c r="D9" s="1835">
        <f>'Acct Summary 7-8'!F17</f>
        <v>961209</v>
      </c>
      <c r="E9" s="1834"/>
      <c r="F9" s="1834">
        <f>SUM(B9:E9)</f>
        <v>12803050</v>
      </c>
    </row>
    <row r="10" spans="1:8" s="1080" customFormat="1" ht="14.25" thickTop="1" thickBot="1" x14ac:dyDescent="0.25">
      <c r="A10" s="1081" t="s">
        <v>1437</v>
      </c>
      <c r="B10" s="1836">
        <f>(B8-B9)</f>
        <v>1008443</v>
      </c>
      <c r="C10" s="1836">
        <f>(C8-C9)</f>
        <v>369107</v>
      </c>
      <c r="D10" s="1836">
        <f>(D8-D9)</f>
        <v>109308</v>
      </c>
      <c r="E10" s="1835">
        <f>(E8-E9)</f>
        <v>4213</v>
      </c>
      <c r="F10" s="1837">
        <f>SUM(F8-F9)</f>
        <v>1491071</v>
      </c>
    </row>
    <row r="11" spans="1:8" s="1080" customFormat="1" ht="14.25" thickTop="1" thickBot="1" x14ac:dyDescent="0.25">
      <c r="A11" s="1082" t="s">
        <v>1785</v>
      </c>
      <c r="B11" s="1838">
        <f>'Acct Summary 7-8'!C81</f>
        <v>11426340</v>
      </c>
      <c r="C11" s="1838">
        <f>'Acct Summary 7-8'!D81</f>
        <v>778564</v>
      </c>
      <c r="D11" s="1838">
        <f>'Acct Summary 7-8'!F81</f>
        <v>1122709</v>
      </c>
      <c r="E11" s="1838">
        <f>'Acct Summary 7-8'!I81</f>
        <v>189523</v>
      </c>
      <c r="F11" s="1839">
        <f>SUM(B11:E11)</f>
        <v>13517136</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7016132002</v>
      </c>
    </row>
    <row r="3" spans="1:2" x14ac:dyDescent="0.2">
      <c r="A3" t="s">
        <v>1013</v>
      </c>
      <c r="B3" s="138" t="str">
        <f>COVER!A15</f>
        <v>Cook</v>
      </c>
    </row>
    <row r="4" spans="1:2" x14ac:dyDescent="0.2">
      <c r="A4" t="s">
        <v>1064</v>
      </c>
      <c r="B4" s="138" t="str">
        <f>COVER!A17</f>
        <v>Calumet Public SD 132</v>
      </c>
    </row>
    <row r="5" spans="1:2" x14ac:dyDescent="0.2">
      <c r="A5" t="s">
        <v>728</v>
      </c>
      <c r="B5" s="138" t="str">
        <f>COVER!A38</f>
        <v>Dr. Elizabeth H. Reynolds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f>COVER!T21</f>
        <v>6303931483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34335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11431623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5283</v>
      </c>
      <c r="C91" s="2" t="s">
        <v>594</v>
      </c>
      <c r="D91" s="2" t="str">
        <f t="shared" si="0"/>
        <v>Error?</v>
      </c>
    </row>
    <row r="92" spans="1:4" x14ac:dyDescent="0.2">
      <c r="A92" s="5">
        <v>31</v>
      </c>
      <c r="B92" s="138">
        <f>'Assets-Liab 5-6'!C39</f>
        <v>11178894</v>
      </c>
      <c r="D92" s="2" t="str">
        <f t="shared" si="0"/>
        <v>Error?</v>
      </c>
    </row>
    <row r="93" spans="1:4" x14ac:dyDescent="0.2">
      <c r="A93" s="5">
        <v>32</v>
      </c>
      <c r="B93" s="138">
        <f>'Assets-Liab 5-6'!C41</f>
        <v>11431623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778564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778564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2598478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2598478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1122709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1122709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910921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910921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910535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910535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47297</v>
      </c>
      <c r="D273" s="2" t="str">
        <f t="shared" si="3"/>
        <v>Error?</v>
      </c>
    </row>
    <row r="274" spans="1:4" x14ac:dyDescent="0.2">
      <c r="A274" s="5">
        <v>213</v>
      </c>
      <c r="B274" s="138">
        <f>'Assets-Liab 5-6'!M17</f>
        <v>25369844</v>
      </c>
      <c r="D274" s="2" t="str">
        <f t="shared" si="3"/>
        <v>Error?</v>
      </c>
    </row>
    <row r="275" spans="1:4" x14ac:dyDescent="0.2">
      <c r="A275" s="5">
        <v>214</v>
      </c>
      <c r="B275" s="138">
        <f>'Assets-Liab 5-6'!M18</f>
        <v>1262926</v>
      </c>
      <c r="D275" s="2" t="str">
        <f t="shared" si="3"/>
        <v>Error?</v>
      </c>
    </row>
    <row r="276" spans="1:4" x14ac:dyDescent="0.2">
      <c r="A276" s="5">
        <v>215</v>
      </c>
      <c r="B276" s="138">
        <f>'Assets-Liab 5-6'!M19</f>
        <v>1449250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28129317</v>
      </c>
      <c r="C279" s="2" t="s">
        <v>594</v>
      </c>
      <c r="D279" s="2" t="str">
        <f t="shared" si="3"/>
        <v>Error?</v>
      </c>
    </row>
    <row r="280" spans="1:4" x14ac:dyDescent="0.2">
      <c r="A280" s="5">
        <v>219</v>
      </c>
      <c r="B280" s="138">
        <f>'Assets-Liab 5-6'!M40</f>
        <v>28129317</v>
      </c>
      <c r="D280" s="2" t="str">
        <f t="shared" si="3"/>
        <v>Error?</v>
      </c>
    </row>
    <row r="281" spans="1:4" x14ac:dyDescent="0.2">
      <c r="A281" s="5">
        <v>220</v>
      </c>
      <c r="B281" s="138">
        <f>'Assets-Liab 5-6'!M41</f>
        <v>28129317</v>
      </c>
      <c r="C281" s="2" t="s">
        <v>594</v>
      </c>
      <c r="D281" s="2" t="str">
        <f t="shared" si="3"/>
        <v>Error?</v>
      </c>
    </row>
    <row r="282" spans="1:4" x14ac:dyDescent="0.2">
      <c r="A282" s="5">
        <v>221</v>
      </c>
      <c r="B282" s="138">
        <f>'Assets-Liab 5-6'!N21</f>
        <v>2598478</v>
      </c>
      <c r="D282" s="2" t="str">
        <f t="shared" si="3"/>
        <v>Error?</v>
      </c>
    </row>
    <row r="283" spans="1:4" x14ac:dyDescent="0.2">
      <c r="A283" s="5">
        <v>222</v>
      </c>
      <c r="B283" s="138">
        <f>'Assets-Liab 5-6'!N22</f>
        <v>580522</v>
      </c>
      <c r="D283" s="2" t="str">
        <f t="shared" si="3"/>
        <v>Error?</v>
      </c>
    </row>
    <row r="284" spans="1:4" x14ac:dyDescent="0.2">
      <c r="A284" s="5">
        <v>223</v>
      </c>
      <c r="B284" s="138">
        <f>'Assets-Liab 5-6'!N23</f>
        <v>3179000</v>
      </c>
      <c r="C284" s="2" t="s">
        <v>594</v>
      </c>
      <c r="D284" s="2" t="str">
        <f t="shared" si="3"/>
        <v>Error?</v>
      </c>
    </row>
    <row r="285" spans="1:4" x14ac:dyDescent="0.2">
      <c r="A285" s="5">
        <v>224</v>
      </c>
      <c r="B285" s="138">
        <f>'Assets-Liab 5-6'!N36</f>
        <v>3179000</v>
      </c>
      <c r="D285" s="2" t="str">
        <f t="shared" si="3"/>
        <v>Error?</v>
      </c>
    </row>
    <row r="286" spans="1:4" x14ac:dyDescent="0.2">
      <c r="A286" s="10">
        <v>225</v>
      </c>
      <c r="D286" s="2" t="str">
        <f t="shared" si="3"/>
        <v>OK</v>
      </c>
    </row>
    <row r="287" spans="1:4" x14ac:dyDescent="0.2">
      <c r="A287" s="5">
        <v>226</v>
      </c>
      <c r="B287" s="138">
        <f>'Assets-Liab 5-6'!N37</f>
        <v>3179000</v>
      </c>
      <c r="C287" s="2" t="s">
        <v>594</v>
      </c>
      <c r="D287" s="2" t="str">
        <f t="shared" si="3"/>
        <v>Error?</v>
      </c>
    </row>
    <row r="288" spans="1:4" x14ac:dyDescent="0.2">
      <c r="A288" s="5">
        <v>227</v>
      </c>
      <c r="B288" s="138">
        <f>'Assets-Liab 5-6'!N41</f>
        <v>3179000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3080561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282651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155841</v>
      </c>
      <c r="D719" s="2" t="str">
        <f t="shared" si="10"/>
        <v>Error?</v>
      </c>
    </row>
    <row r="720" spans="1:4" x14ac:dyDescent="0.2">
      <c r="A720" s="5">
        <v>659</v>
      </c>
      <c r="B720" s="138">
        <f>'Expenditures 15-22'!C33</f>
        <v>4245414</v>
      </c>
      <c r="C720" s="2" t="s">
        <v>594</v>
      </c>
      <c r="D720" s="2" t="str">
        <f t="shared" si="10"/>
        <v>Error?</v>
      </c>
    </row>
    <row r="721" spans="1:4" x14ac:dyDescent="0.2">
      <c r="A721" s="5">
        <v>660</v>
      </c>
      <c r="B721" s="138">
        <f>'Expenditures 15-22'!C36</f>
        <v>91440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117801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111425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320666</v>
      </c>
      <c r="C727" s="2" t="s">
        <v>594</v>
      </c>
      <c r="D727" s="2" t="str">
        <f t="shared" si="10"/>
        <v>Error?</v>
      </c>
    </row>
    <row r="728" spans="1:4" x14ac:dyDescent="0.2">
      <c r="A728" s="5">
        <v>667</v>
      </c>
      <c r="B728" s="138">
        <f>'Expenditures 15-22'!C44</f>
        <v>114704</v>
      </c>
      <c r="D728" s="2" t="str">
        <f t="shared" si="10"/>
        <v>Error?</v>
      </c>
    </row>
    <row r="729" spans="1:4" x14ac:dyDescent="0.2">
      <c r="A729" s="5">
        <v>668</v>
      </c>
      <c r="B729" s="138">
        <f>'Expenditures 15-22'!C45</f>
        <v>112834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227538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265952</v>
      </c>
      <c r="D733" s="2" t="str">
        <f t="shared" si="10"/>
        <v>Error?</v>
      </c>
    </row>
    <row r="734" spans="1:4" x14ac:dyDescent="0.2">
      <c r="A734" s="5">
        <v>673</v>
      </c>
      <c r="B734" s="138">
        <f>'Expenditures 15-22'!C53</f>
        <v>415954</v>
      </c>
      <c r="C734" s="2" t="s">
        <v>594</v>
      </c>
      <c r="D734" s="2" t="str">
        <f t="shared" si="10"/>
        <v>Error?</v>
      </c>
    </row>
    <row r="735" spans="1:4" x14ac:dyDescent="0.2">
      <c r="A735" s="5">
        <v>674</v>
      </c>
      <c r="B735" s="138">
        <f>'Expenditures 15-22'!C55</f>
        <v>306072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306072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199047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113631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312678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214077</v>
      </c>
      <c r="D749" s="2" t="str">
        <f t="shared" si="10"/>
        <v>Error?</v>
      </c>
    </row>
    <row r="750" spans="1:4" x14ac:dyDescent="0.2">
      <c r="A750" s="10">
        <v>689</v>
      </c>
      <c r="D750" s="2" t="str">
        <f t="shared" si="10"/>
        <v>OK</v>
      </c>
    </row>
    <row r="751" spans="1:4" x14ac:dyDescent="0.2">
      <c r="A751" s="5">
        <v>690</v>
      </c>
      <c r="B751" s="138">
        <f>'Expenditures 15-22'!C71</f>
        <v>62120</v>
      </c>
      <c r="D751" s="2" t="str">
        <f t="shared" si="10"/>
        <v>Error?</v>
      </c>
    </row>
    <row r="752" spans="1:4" x14ac:dyDescent="0.2">
      <c r="A752" s="10">
        <v>691</v>
      </c>
      <c r="D752" s="2" t="str">
        <f t="shared" si="10"/>
        <v>OK</v>
      </c>
    </row>
    <row r="753" spans="1:4" x14ac:dyDescent="0.2">
      <c r="A753" s="5">
        <v>692</v>
      </c>
      <c r="B753" s="138">
        <f>'Expenditures 15-22'!C72</f>
        <v>276197</v>
      </c>
      <c r="C753" s="2" t="s">
        <v>594</v>
      </c>
      <c r="D753" s="2" t="str">
        <f t="shared" si="10"/>
        <v>Error?</v>
      </c>
    </row>
    <row r="754" spans="1:4" x14ac:dyDescent="0.2">
      <c r="A754" s="5">
        <v>693</v>
      </c>
      <c r="B754" s="138">
        <f>'Expenditures 15-22'!C73</f>
        <v>132950</v>
      </c>
      <c r="D754" s="2" t="str">
        <f t="shared" si="10"/>
        <v>Error?</v>
      </c>
    </row>
    <row r="755" spans="1:4" x14ac:dyDescent="0.2">
      <c r="A755" s="5">
        <v>694</v>
      </c>
      <c r="B755" s="138">
        <f>'Expenditures 15-22'!C74</f>
        <v>1992055</v>
      </c>
      <c r="C755" s="2" t="s">
        <v>594</v>
      </c>
      <c r="D755" s="2" t="str">
        <f t="shared" si="10"/>
        <v>Error?</v>
      </c>
    </row>
    <row r="756" spans="1:4" x14ac:dyDescent="0.2">
      <c r="A756" s="5">
        <v>695</v>
      </c>
      <c r="B756" s="138">
        <f>'Expenditures 15-22'!C75</f>
        <v>5584</v>
      </c>
      <c r="D756" s="2" t="str">
        <f t="shared" si="10"/>
        <v>Error?</v>
      </c>
    </row>
    <row r="757" spans="1:4" x14ac:dyDescent="0.2">
      <c r="A757" s="5">
        <v>696</v>
      </c>
      <c r="B757" s="138">
        <f>'Expenditures 15-22'!C114</f>
        <v>6243053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807904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3388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1692</v>
      </c>
      <c r="D777" s="2" t="str">
        <f t="shared" si="11"/>
        <v>Error?</v>
      </c>
    </row>
    <row r="778" spans="1:4" x14ac:dyDescent="0.2">
      <c r="A778" s="5">
        <v>717</v>
      </c>
      <c r="B778" s="138">
        <f>'Expenditures 15-22'!D33</f>
        <v>818127</v>
      </c>
      <c r="C778" s="2" t="s">
        <v>594</v>
      </c>
      <c r="D778" s="2" t="str">
        <f t="shared" si="11"/>
        <v>Error?</v>
      </c>
    </row>
    <row r="779" spans="1:4" x14ac:dyDescent="0.2">
      <c r="A779" s="5">
        <v>718</v>
      </c>
      <c r="B779" s="138">
        <f>'Expenditures 15-22'!D36</f>
        <v>1101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1388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2489</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930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930</v>
      </c>
      <c r="C789" s="2" t="s">
        <v>594</v>
      </c>
      <c r="D789" s="2" t="str">
        <f t="shared" si="11"/>
        <v>Error?</v>
      </c>
    </row>
    <row r="790" spans="1:4" x14ac:dyDescent="0.2">
      <c r="A790" s="5">
        <v>729</v>
      </c>
      <c r="B790" s="138">
        <f>'Expenditures 15-22'!D49</f>
        <v>31000</v>
      </c>
      <c r="D790" s="2" t="str">
        <f t="shared" si="11"/>
        <v>Error?</v>
      </c>
    </row>
    <row r="791" spans="1:4" x14ac:dyDescent="0.2">
      <c r="A791" s="5">
        <v>730</v>
      </c>
      <c r="B791" s="138">
        <f>'Expenditures 15-22'!D50</f>
        <v>34958</v>
      </c>
      <c r="D791" s="2" t="str">
        <f t="shared" si="11"/>
        <v>Error?</v>
      </c>
    </row>
    <row r="792" spans="1:4" x14ac:dyDescent="0.2">
      <c r="A792" s="5">
        <v>731</v>
      </c>
      <c r="B792" s="138">
        <f>'Expenditures 15-22'!D53</f>
        <v>68049</v>
      </c>
      <c r="C792" s="2" t="s">
        <v>594</v>
      </c>
      <c r="D792" s="2" t="str">
        <f t="shared" si="11"/>
        <v>Error?</v>
      </c>
    </row>
    <row r="793" spans="1:4" x14ac:dyDescent="0.2">
      <c r="A793" s="5">
        <v>732</v>
      </c>
      <c r="B793" s="138">
        <f>'Expenditures 15-22'!D55</f>
        <v>5383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5383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76851</v>
      </c>
      <c r="C813" s="2" t="s">
        <v>594</v>
      </c>
      <c r="D813" s="2" t="str">
        <f t="shared" si="11"/>
        <v>Error?</v>
      </c>
    </row>
    <row r="814" spans="1:4" x14ac:dyDescent="0.2">
      <c r="A814" s="5">
        <v>753</v>
      </c>
      <c r="B814" s="138">
        <f>'Expenditures 15-22'!D75</f>
        <v>1</v>
      </c>
      <c r="D814" s="2" t="str">
        <f t="shared" si="11"/>
        <v>Error?</v>
      </c>
    </row>
    <row r="815" spans="1:4" x14ac:dyDescent="0.2">
      <c r="A815" s="5">
        <v>754</v>
      </c>
      <c r="B815" s="138">
        <f>'Expenditures 15-22'!D114</f>
        <v>894979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79759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249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80161</v>
      </c>
      <c r="C836" s="2" t="s">
        <v>594</v>
      </c>
      <c r="D836" s="2" t="str">
        <f t="shared" si="12"/>
        <v>Error?</v>
      </c>
    </row>
    <row r="837" spans="1:4" x14ac:dyDescent="0.2">
      <c r="A837" s="5">
        <v>776</v>
      </c>
      <c r="B837" s="138">
        <f>'Expenditures 15-22'!E36</f>
        <v>56429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31374</v>
      </c>
      <c r="D839" s="2" t="str">
        <f t="shared" si="12"/>
        <v>Error?</v>
      </c>
    </row>
    <row r="840" spans="1:4" x14ac:dyDescent="0.2">
      <c r="A840" s="5">
        <v>779</v>
      </c>
      <c r="B840" s="138">
        <f>'Expenditures 15-22'!E39</f>
        <v>21400</v>
      </c>
      <c r="D840" s="2" t="str">
        <f t="shared" si="12"/>
        <v>Error?</v>
      </c>
    </row>
    <row r="841" spans="1:4" x14ac:dyDescent="0.2">
      <c r="A841" s="5">
        <v>780</v>
      </c>
      <c r="B841" s="138">
        <f>'Expenditures 15-22'!E40</f>
        <v>88340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197543</v>
      </c>
      <c r="C843" s="2" t="s">
        <v>594</v>
      </c>
      <c r="D843" s="2" t="str">
        <f t="shared" si="12"/>
        <v>Error?</v>
      </c>
    </row>
    <row r="844" spans="1:4" x14ac:dyDescent="0.2">
      <c r="A844" s="5">
        <v>783</v>
      </c>
      <c r="B844" s="138">
        <f>'Expenditures 15-22'!E44</f>
        <v>165662</v>
      </c>
      <c r="D844" s="2" t="str">
        <f t="shared" si="12"/>
        <v>Error?</v>
      </c>
    </row>
    <row r="845" spans="1:4" x14ac:dyDescent="0.2">
      <c r="A845" s="5">
        <v>784</v>
      </c>
      <c r="B845" s="138">
        <f>'Expenditures 15-22'!E45</f>
        <v>208782</v>
      </c>
      <c r="D845" s="2" t="str">
        <f t="shared" si="12"/>
        <v>Error?</v>
      </c>
    </row>
    <row r="846" spans="1:4" x14ac:dyDescent="0.2">
      <c r="A846" s="5">
        <v>785</v>
      </c>
      <c r="B846" s="138">
        <f>'Expenditures 15-22'!E46</f>
        <v>19737</v>
      </c>
      <c r="D846" s="2" t="str">
        <f t="shared" si="12"/>
        <v>Error?</v>
      </c>
    </row>
    <row r="847" spans="1:4" x14ac:dyDescent="0.2">
      <c r="A847" s="5">
        <v>786</v>
      </c>
      <c r="B847" s="138">
        <f>'Expenditures 15-22'!E47</f>
        <v>394181</v>
      </c>
      <c r="C847" s="2" t="s">
        <v>594</v>
      </c>
      <c r="D847" s="2" t="str">
        <f t="shared" si="12"/>
        <v>Error?</v>
      </c>
    </row>
    <row r="848" spans="1:4" x14ac:dyDescent="0.2">
      <c r="A848" s="5">
        <v>787</v>
      </c>
      <c r="B848" s="138">
        <f>'Expenditures 15-22'!E49</f>
        <v>57842</v>
      </c>
      <c r="D848" s="2" t="str">
        <f t="shared" si="12"/>
        <v>Error?</v>
      </c>
    </row>
    <row r="849" spans="1:4" x14ac:dyDescent="0.2">
      <c r="A849" s="5">
        <v>788</v>
      </c>
      <c r="B849" s="138">
        <f>'Expenditures 15-22'!E50</f>
        <v>4791</v>
      </c>
      <c r="D849" s="2" t="str">
        <f t="shared" si="12"/>
        <v>Error?</v>
      </c>
    </row>
    <row r="850" spans="1:4" x14ac:dyDescent="0.2">
      <c r="A850" s="5">
        <v>789</v>
      </c>
      <c r="B850" s="138">
        <f>'Expenditures 15-22'!E53</f>
        <v>69133</v>
      </c>
      <c r="C850" s="2" t="s">
        <v>594</v>
      </c>
      <c r="D850" s="2" t="str">
        <f t="shared" si="12"/>
        <v>Error?</v>
      </c>
    </row>
    <row r="851" spans="1:4" x14ac:dyDescent="0.2">
      <c r="A851" s="5">
        <v>790</v>
      </c>
      <c r="B851" s="138">
        <f>'Expenditures 15-22'!E55</f>
        <v>1815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1815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183996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15000</v>
      </c>
      <c r="D857" s="2" t="str">
        <f t="shared" si="12"/>
        <v>Error?</v>
      </c>
    </row>
    <row r="858" spans="1:4" x14ac:dyDescent="0.2">
      <c r="A858" s="5">
        <v>797</v>
      </c>
      <c r="B858" s="138">
        <f>'Expenditures 15-22'!E63</f>
        <v>514030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713026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11605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11605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1387303</v>
      </c>
      <c r="C871" s="2" t="s">
        <v>594</v>
      </c>
      <c r="D871" s="2" t="str">
        <f t="shared" si="12"/>
        <v>Error?</v>
      </c>
    </row>
    <row r="872" spans="1:4" x14ac:dyDescent="0.2">
      <c r="A872" s="5">
        <v>811</v>
      </c>
      <c r="B872" s="138">
        <f>'Expenditures 15-22'!E75</f>
        <v>6667</v>
      </c>
      <c r="D872" s="2" t="str">
        <f t="shared" si="12"/>
        <v>Error?</v>
      </c>
    </row>
    <row r="873" spans="1:4" x14ac:dyDescent="0.2">
      <c r="A873" s="5">
        <v>812</v>
      </c>
      <c r="B873" s="138">
        <f>'Expenditures 15-22'!E114</f>
        <v>1474131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174858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1518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177787</v>
      </c>
      <c r="C894" s="2" t="s">
        <v>594</v>
      </c>
      <c r="D894" s="2" t="str">
        <f t="shared" si="12"/>
        <v>Error?</v>
      </c>
    </row>
    <row r="895" spans="1:4" x14ac:dyDescent="0.2">
      <c r="A895" s="5">
        <v>834</v>
      </c>
      <c r="B895" s="138">
        <f>'Expenditures 15-22'!F36</f>
        <v>731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3525</v>
      </c>
      <c r="C901" s="2" t="s">
        <v>594</v>
      </c>
      <c r="D901" s="2" t="str">
        <f t="shared" si="13"/>
        <v>Error?</v>
      </c>
    </row>
    <row r="902" spans="1:4" x14ac:dyDescent="0.2">
      <c r="A902" s="5">
        <v>841</v>
      </c>
      <c r="B902" s="138">
        <f>'Expenditures 15-22'!F44</f>
        <v>21797</v>
      </c>
      <c r="D902" s="2" t="str">
        <f t="shared" si="13"/>
        <v>Error?</v>
      </c>
    </row>
    <row r="903" spans="1:4" x14ac:dyDescent="0.2">
      <c r="A903" s="5">
        <v>842</v>
      </c>
      <c r="B903" s="138">
        <f>'Expenditures 15-22'!F45</f>
        <v>127325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149122</v>
      </c>
      <c r="C905" s="2" t="s">
        <v>594</v>
      </c>
      <c r="D905" s="2" t="str">
        <f t="shared" si="13"/>
        <v>Error?</v>
      </c>
    </row>
    <row r="906" spans="1:4" x14ac:dyDescent="0.2">
      <c r="A906" s="5">
        <v>845</v>
      </c>
      <c r="B906" s="138">
        <f>'Expenditures 15-22'!F49</f>
        <v>7328</v>
      </c>
      <c r="D906" s="2" t="str">
        <f t="shared" si="13"/>
        <v>Error?</v>
      </c>
    </row>
    <row r="907" spans="1:4" x14ac:dyDescent="0.2">
      <c r="A907" s="5">
        <v>846</v>
      </c>
      <c r="B907" s="138">
        <f>'Expenditures 15-22'!F50</f>
        <v>9013</v>
      </c>
      <c r="D907" s="2" t="str">
        <f t="shared" si="13"/>
        <v>Error?</v>
      </c>
    </row>
    <row r="908" spans="1:4" x14ac:dyDescent="0.2">
      <c r="A908" s="5">
        <v>847</v>
      </c>
      <c r="B908" s="138">
        <f>'Expenditures 15-22'!F53</f>
        <v>16341</v>
      </c>
      <c r="C908" s="2" t="s">
        <v>594</v>
      </c>
      <c r="D908" s="2" t="str">
        <f t="shared" si="13"/>
        <v>Error?</v>
      </c>
    </row>
    <row r="909" spans="1:4" x14ac:dyDescent="0.2">
      <c r="A909" s="5">
        <v>848</v>
      </c>
      <c r="B909" s="138">
        <f>'Expenditures 15-22'!F55</f>
        <v>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8375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40172</v>
      </c>
      <c r="D916" s="2" t="str">
        <f t="shared" si="13"/>
        <v>Error?</v>
      </c>
    </row>
    <row r="917" spans="1:4" x14ac:dyDescent="0.2">
      <c r="A917" s="5">
        <v>856</v>
      </c>
      <c r="B917" s="138">
        <f>'Expenditures 15-22'!F64</f>
        <v>70</v>
      </c>
      <c r="D917" s="2" t="str">
        <f t="shared" si="13"/>
        <v>Error?</v>
      </c>
    </row>
    <row r="918" spans="1:4" x14ac:dyDescent="0.2">
      <c r="A918" s="10">
        <v>857</v>
      </c>
      <c r="D918" s="2" t="str">
        <f t="shared" si="13"/>
        <v>OK</v>
      </c>
    </row>
    <row r="919" spans="1:4" x14ac:dyDescent="0.2">
      <c r="A919" s="5">
        <v>858</v>
      </c>
      <c r="B919" s="138">
        <f>'Expenditures 15-22'!F65</f>
        <v>48617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7724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7724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225372</v>
      </c>
      <c r="C929" s="2" t="s">
        <v>594</v>
      </c>
      <c r="D929" s="2" t="str">
        <f t="shared" si="13"/>
        <v>Error?</v>
      </c>
    </row>
    <row r="930" spans="1:4" x14ac:dyDescent="0.2">
      <c r="A930" s="5">
        <v>869</v>
      </c>
      <c r="B930" s="138">
        <f>'Expenditures 15-22'!F75</f>
        <v>8701</v>
      </c>
      <c r="D930" s="2" t="str">
        <f t="shared" si="13"/>
        <v>Error?</v>
      </c>
    </row>
    <row r="931" spans="1:4" x14ac:dyDescent="0.2">
      <c r="A931" s="5">
        <v>870</v>
      </c>
      <c r="B931" s="138">
        <f>'Expenditures 15-22'!F114</f>
        <v>411860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22181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22181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45974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45974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45974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68155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372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372</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15236</v>
      </c>
      <c r="D1022" s="2" t="str">
        <f t="shared" si="14"/>
        <v>Error?</v>
      </c>
    </row>
    <row r="1023" spans="1:4" x14ac:dyDescent="0.2">
      <c r="A1023" s="5">
        <v>962</v>
      </c>
      <c r="B1023" s="138">
        <f>'Expenditures 15-22'!H50</f>
        <v>400</v>
      </c>
      <c r="D1023" s="2" t="str">
        <f t="shared" ref="D1023:D1086" si="15">IF(ISBLANK(B1023),"OK",IF(A1023-B1023=0,"OK","Error?"))</f>
        <v>Error?</v>
      </c>
    </row>
    <row r="1024" spans="1:4" x14ac:dyDescent="0.2">
      <c r="A1024" s="5">
        <v>963</v>
      </c>
      <c r="B1024" s="138">
        <f>'Expenditures 15-22'!H53</f>
        <v>15636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5793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5793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21801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1481951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1504137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4171861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287806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157533</v>
      </c>
      <c r="C1107" s="2" t="s">
        <v>594</v>
      </c>
      <c r="D1107" s="2" t="str">
        <f t="shared" si="16"/>
        <v>Error?</v>
      </c>
    </row>
    <row r="1108" spans="1:4" x14ac:dyDescent="0.2">
      <c r="A1108" s="5">
        <v>1047</v>
      </c>
      <c r="B1108" s="138">
        <f>'Expenditures 15-22'!K33</f>
        <v>5350268</v>
      </c>
      <c r="C1108" s="2" t="s">
        <v>594</v>
      </c>
      <c r="D1108" s="2" t="str">
        <f t="shared" si="16"/>
        <v>Error?</v>
      </c>
    </row>
    <row r="1109" spans="1:4" x14ac:dyDescent="0.2">
      <c r="A1109" s="5">
        <v>1048</v>
      </c>
      <c r="B1109" s="138">
        <f>'Expenditures 15-22'!K36</f>
        <v>149701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152341</v>
      </c>
      <c r="C1111" s="2" t="s">
        <v>594</v>
      </c>
      <c r="D1111" s="2" t="str">
        <f t="shared" si="16"/>
        <v>Error?</v>
      </c>
    </row>
    <row r="1112" spans="1:4" x14ac:dyDescent="0.2">
      <c r="A1112" s="5">
        <v>1051</v>
      </c>
      <c r="B1112" s="138">
        <f>'Expenditures 15-22'!K39</f>
        <v>21400</v>
      </c>
      <c r="C1112" s="2" t="s">
        <v>594</v>
      </c>
      <c r="D1112" s="2" t="str">
        <f t="shared" si="16"/>
        <v>Error?</v>
      </c>
    </row>
    <row r="1113" spans="1:4" x14ac:dyDescent="0.2">
      <c r="A1113" s="5">
        <v>1052</v>
      </c>
      <c r="B1113" s="138">
        <f>'Expenditures 15-22'!K40</f>
        <v>201153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524595</v>
      </c>
      <c r="C1115" s="2" t="s">
        <v>594</v>
      </c>
      <c r="D1115" s="2" t="str">
        <f t="shared" si="16"/>
        <v>Error?</v>
      </c>
    </row>
    <row r="1116" spans="1:4" x14ac:dyDescent="0.2">
      <c r="A1116" s="5">
        <v>1055</v>
      </c>
      <c r="B1116" s="138">
        <f>'Expenditures 15-22'!K44</f>
        <v>302163</v>
      </c>
      <c r="C1116" s="2" t="s">
        <v>594</v>
      </c>
      <c r="D1116" s="2" t="str">
        <f t="shared" si="16"/>
        <v>Error?</v>
      </c>
    </row>
    <row r="1117" spans="1:4" x14ac:dyDescent="0.2">
      <c r="A1117" s="5">
        <v>1056</v>
      </c>
      <c r="B1117" s="138">
        <f>'Expenditures 15-22'!K45</f>
        <v>787967</v>
      </c>
      <c r="C1117" s="2" t="s">
        <v>594</v>
      </c>
      <c r="D1117" s="2" t="str">
        <f t="shared" si="16"/>
        <v>Error?</v>
      </c>
    </row>
    <row r="1118" spans="1:4" x14ac:dyDescent="0.2">
      <c r="A1118" s="5">
        <v>1057</v>
      </c>
      <c r="B1118" s="138">
        <f>'Expenditures 15-22'!K46</f>
        <v>19737</v>
      </c>
      <c r="C1118" s="2" t="s">
        <v>594</v>
      </c>
      <c r="D1118" s="2" t="str">
        <f t="shared" si="16"/>
        <v>Error?</v>
      </c>
    </row>
    <row r="1119" spans="1:4" x14ac:dyDescent="0.2">
      <c r="A1119" s="5">
        <v>1058</v>
      </c>
      <c r="B1119" s="138">
        <f>'Expenditures 15-22'!K47</f>
        <v>1109867</v>
      </c>
      <c r="C1119" s="2" t="s">
        <v>594</v>
      </c>
      <c r="D1119" s="2" t="str">
        <f t="shared" si="16"/>
        <v>Error?</v>
      </c>
    </row>
    <row r="1120" spans="1:4" x14ac:dyDescent="0.2">
      <c r="A1120" s="5">
        <v>1059</v>
      </c>
      <c r="B1120" s="138">
        <f>'Expenditures 15-22'!K49</f>
        <v>111406</v>
      </c>
      <c r="C1120" s="2" t="s">
        <v>594</v>
      </c>
      <c r="D1120" s="2" t="str">
        <f t="shared" si="16"/>
        <v>Error?</v>
      </c>
    </row>
    <row r="1121" spans="1:4" x14ac:dyDescent="0.2">
      <c r="A1121" s="5">
        <v>1060</v>
      </c>
      <c r="B1121" s="138">
        <f>'Expenditures 15-22'!K50</f>
        <v>315114</v>
      </c>
      <c r="C1121" s="2" t="s">
        <v>594</v>
      </c>
      <c r="D1121" s="2" t="str">
        <f t="shared" si="16"/>
        <v>Error?</v>
      </c>
    </row>
    <row r="1122" spans="1:4" x14ac:dyDescent="0.2">
      <c r="A1122" s="5">
        <v>1061</v>
      </c>
      <c r="B1122" s="138">
        <f>'Expenditures 15-22'!K53</f>
        <v>585113</v>
      </c>
      <c r="C1122" s="2" t="s">
        <v>594</v>
      </c>
      <c r="D1122" s="2" t="str">
        <f t="shared" si="16"/>
        <v>Error?</v>
      </c>
    </row>
    <row r="1123" spans="1:4" x14ac:dyDescent="0.2">
      <c r="A1123" s="5">
        <v>1062</v>
      </c>
      <c r="B1123" s="138">
        <f>'Expenditures 15-22'!K55</f>
        <v>313313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313313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391418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15000</v>
      </c>
      <c r="C1129" s="2" t="s">
        <v>594</v>
      </c>
      <c r="D1129" s="2" t="str">
        <f t="shared" si="16"/>
        <v>Error?</v>
      </c>
    </row>
    <row r="1130" spans="1:4" x14ac:dyDescent="0.2">
      <c r="A1130" s="5">
        <v>1069</v>
      </c>
      <c r="B1130" s="138">
        <f>'Expenditures 15-22'!K63</f>
        <v>673626</v>
      </c>
      <c r="C1130" s="2" t="s">
        <v>594</v>
      </c>
      <c r="D1130" s="2" t="str">
        <f t="shared" si="16"/>
        <v>Error?</v>
      </c>
    </row>
    <row r="1131" spans="1:4" x14ac:dyDescent="0.2">
      <c r="A1131" s="5">
        <v>1070</v>
      </c>
      <c r="B1131" s="138">
        <f>'Expenditures 15-22'!K64</f>
        <v>70</v>
      </c>
      <c r="C1131" s="2" t="s">
        <v>594</v>
      </c>
      <c r="D1131" s="2" t="str">
        <f t="shared" si="16"/>
        <v>Error?</v>
      </c>
    </row>
    <row r="1132" spans="1:4" x14ac:dyDescent="0.2">
      <c r="A1132" s="10">
        <v>1071</v>
      </c>
      <c r="D1132" s="2" t="str">
        <f t="shared" si="16"/>
        <v>OK</v>
      </c>
    </row>
    <row r="1133" spans="1:4" x14ac:dyDescent="0.2">
      <c r="A1133" s="5">
        <v>1072</v>
      </c>
      <c r="B1133" s="138">
        <f>'Expenditures 15-22'!K65</f>
        <v>1080114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233406</v>
      </c>
      <c r="C1137" s="2" t="s">
        <v>594</v>
      </c>
      <c r="D1137" s="2" t="str">
        <f t="shared" si="16"/>
        <v>Error?</v>
      </c>
    </row>
    <row r="1138" spans="1:4" x14ac:dyDescent="0.2">
      <c r="A1138" s="10">
        <v>1077</v>
      </c>
      <c r="D1138" s="2" t="str">
        <f t="shared" si="16"/>
        <v>OK</v>
      </c>
    </row>
    <row r="1139" spans="1:4" x14ac:dyDescent="0.2">
      <c r="A1139" s="5">
        <v>1078</v>
      </c>
      <c r="B1139" s="138">
        <f>'Expenditures 15-22'!K71</f>
        <v>62120</v>
      </c>
      <c r="C1139" s="2" t="s">
        <v>594</v>
      </c>
      <c r="D1139" s="2" t="str">
        <f t="shared" si="16"/>
        <v>Error?</v>
      </c>
    </row>
    <row r="1140" spans="1:4" x14ac:dyDescent="0.2">
      <c r="A1140" s="10">
        <v>1079</v>
      </c>
      <c r="D1140" s="2" t="str">
        <f t="shared" si="16"/>
        <v>OK</v>
      </c>
    </row>
    <row r="1141" spans="1:4" x14ac:dyDescent="0.2">
      <c r="A1141" s="5">
        <v>1080</v>
      </c>
      <c r="B1141" s="138">
        <f>'Expenditures 15-22'!K72</f>
        <v>295526</v>
      </c>
      <c r="C1141" s="2" t="s">
        <v>594</v>
      </c>
      <c r="D1141" s="2" t="str">
        <f t="shared" si="16"/>
        <v>Error?</v>
      </c>
    </row>
    <row r="1142" spans="1:4" x14ac:dyDescent="0.2">
      <c r="A1142" s="5">
        <v>1081</v>
      </c>
      <c r="B1142" s="138">
        <f>'Expenditures 15-22'!K73</f>
        <v>132950</v>
      </c>
      <c r="C1142" s="2" t="s">
        <v>594</v>
      </c>
      <c r="D1142" s="2" t="str">
        <f t="shared" si="16"/>
        <v>Error?</v>
      </c>
    </row>
    <row r="1143" spans="1:4" x14ac:dyDescent="0.2">
      <c r="A1143" s="5">
        <v>1082</v>
      </c>
      <c r="B1143" s="138">
        <f>'Expenditures 15-22'!K74</f>
        <v>4041478</v>
      </c>
      <c r="C1143" s="2" t="s">
        <v>594</v>
      </c>
      <c r="D1143" s="2" t="str">
        <f t="shared" si="16"/>
        <v>Error?</v>
      </c>
    </row>
    <row r="1144" spans="1:4" x14ac:dyDescent="0.2">
      <c r="A1144" s="5">
        <v>1083</v>
      </c>
      <c r="B1144" s="138">
        <f>'Expenditures 15-22'!K75</f>
        <v>20953</v>
      </c>
      <c r="C1144" s="2" t="s">
        <v>594</v>
      </c>
      <c r="D1144" s="2" t="str">
        <f t="shared" si="16"/>
        <v>Error?</v>
      </c>
    </row>
    <row r="1145" spans="1:4" x14ac:dyDescent="0.2">
      <c r="A1145" s="5">
        <v>1084</v>
      </c>
      <c r="B1145" s="138">
        <f>'Expenditures 15-22'!K102</f>
        <v>1481951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10894650</v>
      </c>
      <c r="C1152" s="2" t="s">
        <v>594</v>
      </c>
      <c r="D1152" s="2" t="str">
        <f t="shared" si="17"/>
        <v>Error?</v>
      </c>
    </row>
    <row r="1153" spans="1:4" x14ac:dyDescent="0.2">
      <c r="A1153" s="5">
        <v>1092</v>
      </c>
      <c r="B1153" s="138">
        <f>'Expenditures 15-22'!K115</f>
        <v>1008443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51351</v>
      </c>
      <c r="D1221" s="2" t="str">
        <f t="shared" si="18"/>
        <v>Error?</v>
      </c>
    </row>
    <row r="1222" spans="1:4" x14ac:dyDescent="0.2">
      <c r="A1222" s="10">
        <v>1161</v>
      </c>
      <c r="D1222" s="2" t="str">
        <f t="shared" si="18"/>
        <v>OK</v>
      </c>
    </row>
    <row r="1223" spans="1:4" x14ac:dyDescent="0.2">
      <c r="A1223" s="5">
        <v>1162</v>
      </c>
      <c r="B1223" s="138">
        <f>'Expenditures 15-22'!C127</f>
        <v>51351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51351</v>
      </c>
      <c r="C1225" s="2" t="s">
        <v>594</v>
      </c>
      <c r="D1225" s="2" t="str">
        <f t="shared" si="18"/>
        <v>Error?</v>
      </c>
    </row>
    <row r="1226" spans="1:4" x14ac:dyDescent="0.2">
      <c r="A1226" s="5">
        <v>1165</v>
      </c>
      <c r="B1226" s="138">
        <f>'Expenditures 15-22'!C151</f>
        <v>51351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7547</v>
      </c>
      <c r="D1229" s="2" t="str">
        <f t="shared" si="18"/>
        <v>Error?</v>
      </c>
    </row>
    <row r="1230" spans="1:4" x14ac:dyDescent="0.2">
      <c r="A1230" s="10">
        <v>1169</v>
      </c>
      <c r="D1230" s="2" t="str">
        <f t="shared" si="18"/>
        <v>OK</v>
      </c>
    </row>
    <row r="1231" spans="1:4" x14ac:dyDescent="0.2">
      <c r="A1231" s="5">
        <v>1170</v>
      </c>
      <c r="B1231" s="138">
        <f>'Expenditures 15-22'!D127</f>
        <v>7547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7547</v>
      </c>
      <c r="C1233" s="2" t="s">
        <v>594</v>
      </c>
      <c r="D1233" s="2" t="str">
        <f t="shared" si="18"/>
        <v>Error?</v>
      </c>
    </row>
    <row r="1234" spans="1:4" x14ac:dyDescent="0.2">
      <c r="A1234" s="5">
        <v>1173</v>
      </c>
      <c r="B1234" s="138">
        <f>'Expenditures 15-22'!D151</f>
        <v>7547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587172</v>
      </c>
      <c r="D1237" s="2" t="str">
        <f t="shared" si="18"/>
        <v>Error?</v>
      </c>
    </row>
    <row r="1238" spans="1:4" x14ac:dyDescent="0.2">
      <c r="A1238" s="10">
        <v>1177</v>
      </c>
      <c r="D1238" s="2" t="str">
        <f t="shared" si="18"/>
        <v>OK</v>
      </c>
    </row>
    <row r="1239" spans="1:4" x14ac:dyDescent="0.2">
      <c r="A1239" s="5">
        <v>1178</v>
      </c>
      <c r="B1239" s="138">
        <f>'Expenditures 15-22'!E127</f>
        <v>587172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587172</v>
      </c>
      <c r="C1241" s="2" t="s">
        <v>594</v>
      </c>
      <c r="D1241" s="2" t="str">
        <f t="shared" si="18"/>
        <v>Error?</v>
      </c>
    </row>
    <row r="1242" spans="1:4" x14ac:dyDescent="0.2">
      <c r="A1242" s="5">
        <v>1181</v>
      </c>
      <c r="B1242" s="138">
        <f>'Expenditures 15-22'!E151</f>
        <v>587172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282278</v>
      </c>
      <c r="D1245" s="2" t="str">
        <f t="shared" si="18"/>
        <v>Error?</v>
      </c>
    </row>
    <row r="1246" spans="1:4" x14ac:dyDescent="0.2">
      <c r="A1246" s="10">
        <v>1185</v>
      </c>
      <c r="D1246" s="2" t="str">
        <f t="shared" si="18"/>
        <v>OK</v>
      </c>
    </row>
    <row r="1247" spans="1:4" x14ac:dyDescent="0.2">
      <c r="A1247" s="5">
        <v>1186</v>
      </c>
      <c r="B1247" s="138">
        <f>'Expenditures 15-22'!F127</f>
        <v>282278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282278</v>
      </c>
      <c r="C1249" s="2" t="s">
        <v>594</v>
      </c>
      <c r="D1249" s="2" t="str">
        <f t="shared" si="18"/>
        <v>Error?</v>
      </c>
    </row>
    <row r="1250" spans="1:4" x14ac:dyDescent="0.2">
      <c r="A1250" s="5">
        <v>1189</v>
      </c>
      <c r="B1250" s="138">
        <f>'Expenditures 15-22'!F151</f>
        <v>282278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18068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18068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18068</v>
      </c>
      <c r="C1258" s="2" t="s">
        <v>594</v>
      </c>
      <c r="D1258" s="2" t="str">
        <f t="shared" si="18"/>
        <v>Error?</v>
      </c>
    </row>
    <row r="1259" spans="1:4" x14ac:dyDescent="0.2">
      <c r="A1259" s="5">
        <v>1198</v>
      </c>
      <c r="B1259" s="138">
        <f>'Expenditures 15-22'!G151</f>
        <v>18068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947191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947191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947191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947191</v>
      </c>
      <c r="C1288" s="2" t="s">
        <v>594</v>
      </c>
      <c r="D1288" s="2" t="str">
        <f t="shared" si="19"/>
        <v>Error?</v>
      </c>
    </row>
    <row r="1289" spans="1:4" x14ac:dyDescent="0.2">
      <c r="A1289" s="5">
        <v>1228</v>
      </c>
      <c r="B1289" s="138">
        <f>'Expenditures 15-22'!K152</f>
        <v>369107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153311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505421</v>
      </c>
      <c r="D1315" s="2" t="str">
        <f t="shared" si="19"/>
        <v>Error?</v>
      </c>
    </row>
    <row r="1316" spans="1:4" x14ac:dyDescent="0.2">
      <c r="A1316" s="5">
        <v>1255</v>
      </c>
      <c r="B1316" s="138">
        <f>'Expenditures 15-22'!H171</f>
        <v>2797</v>
      </c>
      <c r="D1316" s="2" t="str">
        <f t="shared" si="19"/>
        <v>Error?</v>
      </c>
    </row>
    <row r="1317" spans="1:4" x14ac:dyDescent="0.2">
      <c r="A1317" s="5">
        <v>1256</v>
      </c>
      <c r="B1317" s="138">
        <f>'Expenditures 15-22'!H172</f>
        <v>661529</v>
      </c>
      <c r="C1317" s="2" t="s">
        <v>594</v>
      </c>
      <c r="D1317" s="2" t="str">
        <f t="shared" si="19"/>
        <v>Error?</v>
      </c>
    </row>
    <row r="1318" spans="1:4" x14ac:dyDescent="0.2">
      <c r="A1318" s="5">
        <v>1257</v>
      </c>
      <c r="B1318" s="138">
        <f>'Expenditures 15-22'!H174</f>
        <v>661529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153311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505421</v>
      </c>
      <c r="C1329" s="2" t="s">
        <v>594</v>
      </c>
      <c r="D1329" s="2" t="str">
        <f t="shared" si="19"/>
        <v>Error?</v>
      </c>
    </row>
    <row r="1330" spans="1:4" x14ac:dyDescent="0.2">
      <c r="A1330" s="5">
        <v>1269</v>
      </c>
      <c r="B1330" s="138">
        <f>'Expenditures 15-22'!K171</f>
        <v>2797</v>
      </c>
      <c r="C1330" s="2" t="s">
        <v>594</v>
      </c>
      <c r="D1330" s="2" t="str">
        <f t="shared" si="19"/>
        <v>Error?</v>
      </c>
    </row>
    <row r="1331" spans="1:4" x14ac:dyDescent="0.2">
      <c r="A1331" s="5">
        <v>1270</v>
      </c>
      <c r="B1331" s="138">
        <f>'Expenditures 15-22'!K172</f>
        <v>661529</v>
      </c>
      <c r="C1331" s="2" t="s">
        <v>594</v>
      </c>
      <c r="D1331" s="2" t="str">
        <f t="shared" si="19"/>
        <v>Error?</v>
      </c>
    </row>
    <row r="1332" spans="1:4" x14ac:dyDescent="0.2">
      <c r="A1332" s="5">
        <v>1271</v>
      </c>
      <c r="B1332" s="138">
        <f>'Expenditures 15-22'!K174</f>
        <v>661529</v>
      </c>
      <c r="C1332" s="2" t="s">
        <v>594</v>
      </c>
      <c r="D1332" s="2" t="str">
        <f t="shared" si="19"/>
        <v>Error?</v>
      </c>
    </row>
    <row r="1333" spans="1:4" x14ac:dyDescent="0.2">
      <c r="A1333" s="5">
        <v>1272</v>
      </c>
      <c r="B1333" s="138">
        <f>'Expenditures 15-22'!K175</f>
        <v>-90159</v>
      </c>
      <c r="C1333" s="2" t="s">
        <v>594</v>
      </c>
      <c r="D1333" s="2" t="str">
        <f t="shared" si="19"/>
        <v>Error?</v>
      </c>
    </row>
    <row r="1334" spans="1:4" x14ac:dyDescent="0.2">
      <c r="A1334" s="10">
        <v>1273</v>
      </c>
      <c r="D1334" s="2" t="str">
        <f t="shared" si="19"/>
        <v>OK</v>
      </c>
    </row>
    <row r="1335" spans="1:4" x14ac:dyDescent="0.2">
      <c r="A1335" s="5">
        <v>1274</v>
      </c>
      <c r="B1335" s="138">
        <f>'Expenditures 15-22'!C182</f>
        <v>10000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10000</v>
      </c>
      <c r="C1339" s="2" t="s">
        <v>594</v>
      </c>
      <c r="D1339" s="2" t="str">
        <f t="shared" si="19"/>
        <v>Error?</v>
      </c>
    </row>
    <row r="1340" spans="1:4" x14ac:dyDescent="0.2">
      <c r="A1340" s="5">
        <v>1279</v>
      </c>
      <c r="B1340" s="138">
        <f>'Expenditures 15-22'!C210</f>
        <v>10000</v>
      </c>
      <c r="C1340" s="2" t="s">
        <v>594</v>
      </c>
      <c r="D1340" s="2" t="str">
        <f t="shared" si="19"/>
        <v>Error?</v>
      </c>
    </row>
    <row r="1341" spans="1:4" x14ac:dyDescent="0.2">
      <c r="A1341" s="5">
        <v>1280</v>
      </c>
      <c r="B1341" s="138">
        <f>'Expenditures 15-22'!D182</f>
        <v>1292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1292</v>
      </c>
      <c r="C1345" s="2" t="s">
        <v>594</v>
      </c>
      <c r="D1345" s="2" t="str">
        <f t="shared" si="20"/>
        <v>Error?</v>
      </c>
    </row>
    <row r="1346" spans="1:4" x14ac:dyDescent="0.2">
      <c r="A1346" s="5">
        <v>1285</v>
      </c>
      <c r="B1346" s="138">
        <f>'Expenditures 15-22'!D210</f>
        <v>1292</v>
      </c>
      <c r="C1346" s="2" t="s">
        <v>594</v>
      </c>
      <c r="D1346" s="2" t="str">
        <f t="shared" si="20"/>
        <v>Error?</v>
      </c>
    </row>
    <row r="1347" spans="1:4" x14ac:dyDescent="0.2">
      <c r="A1347" s="5">
        <v>1286</v>
      </c>
      <c r="B1347" s="138">
        <f>'Expenditures 15-22'!E182</f>
        <v>949917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949917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949917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961209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961209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961209</v>
      </c>
      <c r="C1388" s="2" t="s">
        <v>594</v>
      </c>
      <c r="D1388" s="2" t="str">
        <f t="shared" si="20"/>
        <v>Error?</v>
      </c>
    </row>
    <row r="1389" spans="1:4" x14ac:dyDescent="0.2">
      <c r="A1389" s="5">
        <v>1328</v>
      </c>
      <c r="B1389" s="138">
        <f>'Expenditures 15-22'!K211</f>
        <v>109308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7440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7150</v>
      </c>
      <c r="D1409" s="2" t="str">
        <f t="shared" si="21"/>
        <v>Error?</v>
      </c>
    </row>
    <row r="1410" spans="1:4" x14ac:dyDescent="0.2">
      <c r="A1410" s="5">
        <v>1349</v>
      </c>
      <c r="B1410" s="138">
        <f>'Expenditures 15-22'!D229</f>
        <v>136171</v>
      </c>
      <c r="C1410" s="2" t="s">
        <v>594</v>
      </c>
      <c r="D1410" s="2" t="str">
        <f t="shared" si="21"/>
        <v>Error?</v>
      </c>
    </row>
    <row r="1411" spans="1:4" x14ac:dyDescent="0.2">
      <c r="A1411" s="5">
        <v>1350</v>
      </c>
      <c r="B1411" s="138">
        <f>'Expenditures 15-22'!D232</f>
        <v>1300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16970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18357</v>
      </c>
      <c r="C1417" s="2" t="s">
        <v>594</v>
      </c>
      <c r="D1417" s="2" t="str">
        <f t="shared" si="21"/>
        <v>Error?</v>
      </c>
    </row>
    <row r="1418" spans="1:4" x14ac:dyDescent="0.2">
      <c r="A1418" s="5">
        <v>1357</v>
      </c>
      <c r="B1418" s="138">
        <f>'Expenditures 15-22'!D240</f>
        <v>16687</v>
      </c>
      <c r="D1418" s="2" t="str">
        <f t="shared" si="21"/>
        <v>Error?</v>
      </c>
    </row>
    <row r="1419" spans="1:4" x14ac:dyDescent="0.2">
      <c r="A1419" s="5">
        <v>1358</v>
      </c>
      <c r="B1419" s="138">
        <f>'Expenditures 15-22'!D241</f>
        <v>7959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24646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9770</v>
      </c>
      <c r="D1423" s="2" t="str">
        <f t="shared" si="21"/>
        <v>Error?</v>
      </c>
    </row>
    <row r="1424" spans="1:4" x14ac:dyDescent="0.2">
      <c r="A1424" s="5">
        <v>1363</v>
      </c>
      <c r="B1424" s="138">
        <f>'Expenditures 15-22'!D257</f>
        <v>11814</v>
      </c>
      <c r="C1424" s="2" t="s">
        <v>594</v>
      </c>
      <c r="D1424" s="2" t="str">
        <f t="shared" si="21"/>
        <v>Error?</v>
      </c>
    </row>
    <row r="1425" spans="1:4" x14ac:dyDescent="0.2">
      <c r="A1425" s="5">
        <v>1364</v>
      </c>
      <c r="B1425" s="138">
        <f>'Expenditures 15-22'!D259</f>
        <v>16625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16625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28039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7337</v>
      </c>
      <c r="D1431" s="2" t="str">
        <f t="shared" si="21"/>
        <v>Error?</v>
      </c>
    </row>
    <row r="1432" spans="1:4" x14ac:dyDescent="0.2">
      <c r="A1432" s="5">
        <v>1371</v>
      </c>
      <c r="B1432" s="138">
        <f>'Expenditures 15-22'!D267</f>
        <v>2886</v>
      </c>
      <c r="D1432" s="2" t="str">
        <f t="shared" si="21"/>
        <v>Error?</v>
      </c>
    </row>
    <row r="1433" spans="1:4" x14ac:dyDescent="0.2">
      <c r="A1433" s="5">
        <v>1372</v>
      </c>
      <c r="B1433" s="138">
        <f>'Expenditures 15-22'!D268</f>
        <v>15548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53810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26541</v>
      </c>
      <c r="D1440" s="2" t="str">
        <f t="shared" si="21"/>
        <v>Error?</v>
      </c>
    </row>
    <row r="1441" spans="1:4" x14ac:dyDescent="0.2">
      <c r="A1441" s="10">
        <v>1380</v>
      </c>
      <c r="D1441" s="2" t="str">
        <f t="shared" si="21"/>
        <v>OK</v>
      </c>
    </row>
    <row r="1442" spans="1:4" x14ac:dyDescent="0.2">
      <c r="A1442" s="5">
        <v>1381</v>
      </c>
      <c r="B1442" s="138">
        <f>'Expenditures 15-22'!D276</f>
        <v>8899</v>
      </c>
      <c r="D1442" s="2" t="str">
        <f t="shared" si="21"/>
        <v>Error?</v>
      </c>
    </row>
    <row r="1443" spans="1:4" x14ac:dyDescent="0.2">
      <c r="A1443" s="10">
        <v>1382</v>
      </c>
      <c r="D1443" s="2" t="str">
        <f t="shared" si="21"/>
        <v>OK</v>
      </c>
    </row>
    <row r="1444" spans="1:4" x14ac:dyDescent="0.2">
      <c r="A1444" s="5">
        <v>1383</v>
      </c>
      <c r="B1444" s="138">
        <f>'Expenditures 15-22'!D277</f>
        <v>35440</v>
      </c>
      <c r="C1444" s="2" t="s">
        <v>594</v>
      </c>
      <c r="D1444" s="2" t="str">
        <f t="shared" si="21"/>
        <v>Error?</v>
      </c>
    </row>
    <row r="1445" spans="1:4" x14ac:dyDescent="0.2">
      <c r="A1445" s="5">
        <v>1384</v>
      </c>
      <c r="B1445" s="138">
        <f>'Expenditures 15-22'!D278</f>
        <v>17169</v>
      </c>
      <c r="D1445" s="2" t="str">
        <f t="shared" si="21"/>
        <v>Error?</v>
      </c>
    </row>
    <row r="1446" spans="1:4" x14ac:dyDescent="0.2">
      <c r="A1446" s="5">
        <v>1385</v>
      </c>
      <c r="B1446" s="138">
        <f>'Expenditures 15-22'!D279</f>
        <v>177861</v>
      </c>
      <c r="C1446" s="2" t="s">
        <v>594</v>
      </c>
      <c r="D1446" s="2" t="str">
        <f t="shared" si="21"/>
        <v>Error?</v>
      </c>
    </row>
    <row r="1447" spans="1:4" x14ac:dyDescent="0.2">
      <c r="A1447" s="5">
        <v>1386</v>
      </c>
      <c r="B1447" s="138">
        <f>'Expenditures 15-22'!D280</f>
        <v>799</v>
      </c>
      <c r="D1447" s="2" t="str">
        <f t="shared" si="21"/>
        <v>Error?</v>
      </c>
    </row>
    <row r="1448" spans="1:4" x14ac:dyDescent="0.2">
      <c r="A1448" s="5">
        <v>1387</v>
      </c>
      <c r="B1448" s="138">
        <f>'Expenditures 15-22'!D295</f>
        <v>314831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7440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7150</v>
      </c>
      <c r="C1473" s="2" t="s">
        <v>594</v>
      </c>
      <c r="D1473" s="2" t="str">
        <f t="shared" si="22"/>
        <v>Error?</v>
      </c>
    </row>
    <row r="1474" spans="1:4" x14ac:dyDescent="0.2">
      <c r="A1474" s="5">
        <v>1413</v>
      </c>
      <c r="B1474" s="138">
        <f>'Expenditures 15-22'!K229</f>
        <v>136171</v>
      </c>
      <c r="C1474" s="2" t="s">
        <v>594</v>
      </c>
      <c r="D1474" s="2" t="str">
        <f t="shared" si="22"/>
        <v>Error?</v>
      </c>
    </row>
    <row r="1475" spans="1:4" x14ac:dyDescent="0.2">
      <c r="A1475" s="5">
        <v>1414</v>
      </c>
      <c r="B1475" s="138">
        <f>'Expenditures 15-22'!K232</f>
        <v>1300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16970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18357</v>
      </c>
      <c r="C1481" s="2" t="s">
        <v>594</v>
      </c>
      <c r="D1481" s="2" t="str">
        <f t="shared" si="22"/>
        <v>Error?</v>
      </c>
    </row>
    <row r="1482" spans="1:4" x14ac:dyDescent="0.2">
      <c r="A1482" s="5">
        <v>1421</v>
      </c>
      <c r="B1482" s="138">
        <f>'Expenditures 15-22'!K240</f>
        <v>16687</v>
      </c>
      <c r="C1482" s="2" t="s">
        <v>594</v>
      </c>
      <c r="D1482" s="2" t="str">
        <f t="shared" si="22"/>
        <v>Error?</v>
      </c>
    </row>
    <row r="1483" spans="1:4" x14ac:dyDescent="0.2">
      <c r="A1483" s="5">
        <v>1422</v>
      </c>
      <c r="B1483" s="138">
        <f>'Expenditures 15-22'!K241</f>
        <v>7959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24646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9770</v>
      </c>
      <c r="C1487" s="2" t="s">
        <v>594</v>
      </c>
      <c r="D1487" s="2" t="str">
        <f t="shared" si="22"/>
        <v>Error?</v>
      </c>
    </row>
    <row r="1488" spans="1:4" x14ac:dyDescent="0.2">
      <c r="A1488" s="5">
        <v>1427</v>
      </c>
      <c r="B1488" s="138">
        <f>'Expenditures 15-22'!K257</f>
        <v>11814</v>
      </c>
      <c r="C1488" s="2" t="s">
        <v>594</v>
      </c>
      <c r="D1488" s="2" t="str">
        <f t="shared" si="22"/>
        <v>Error?</v>
      </c>
    </row>
    <row r="1489" spans="1:4" x14ac:dyDescent="0.2">
      <c r="A1489" s="5">
        <v>1428</v>
      </c>
      <c r="B1489" s="138">
        <f>'Expenditures 15-22'!K259</f>
        <v>16625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16625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28039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7337</v>
      </c>
      <c r="C1495" s="2" t="s">
        <v>594</v>
      </c>
      <c r="D1495" s="2" t="str">
        <f t="shared" si="22"/>
        <v>Error?</v>
      </c>
    </row>
    <row r="1496" spans="1:4" x14ac:dyDescent="0.2">
      <c r="A1496" s="5">
        <v>1435</v>
      </c>
      <c r="B1496" s="138">
        <f>'Expenditures 15-22'!K267</f>
        <v>2886</v>
      </c>
      <c r="C1496" s="2" t="s">
        <v>594</v>
      </c>
      <c r="D1496" s="2" t="str">
        <f t="shared" si="22"/>
        <v>Error?</v>
      </c>
    </row>
    <row r="1497" spans="1:4" x14ac:dyDescent="0.2">
      <c r="A1497" s="5">
        <v>1436</v>
      </c>
      <c r="B1497" s="138">
        <f>'Expenditures 15-22'!K268</f>
        <v>15548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53810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26541</v>
      </c>
      <c r="C1504" s="2" t="s">
        <v>594</v>
      </c>
      <c r="D1504" s="2" t="str">
        <f t="shared" si="22"/>
        <v>Error?</v>
      </c>
    </row>
    <row r="1505" spans="1:4" x14ac:dyDescent="0.2">
      <c r="A1505" s="10">
        <v>1444</v>
      </c>
      <c r="D1505" s="2" t="str">
        <f t="shared" si="22"/>
        <v>OK</v>
      </c>
    </row>
    <row r="1506" spans="1:4" x14ac:dyDescent="0.2">
      <c r="A1506" s="5">
        <v>1445</v>
      </c>
      <c r="B1506" s="138">
        <f>'Expenditures 15-22'!K276</f>
        <v>8899</v>
      </c>
      <c r="C1506" s="2" t="s">
        <v>594</v>
      </c>
      <c r="D1506" s="2" t="str">
        <f t="shared" si="22"/>
        <v>Error?</v>
      </c>
    </row>
    <row r="1507" spans="1:4" x14ac:dyDescent="0.2">
      <c r="A1507" s="10">
        <v>1446</v>
      </c>
      <c r="D1507" s="2" t="str">
        <f t="shared" si="22"/>
        <v>OK</v>
      </c>
    </row>
    <row r="1508" spans="1:4" x14ac:dyDescent="0.2">
      <c r="A1508" s="5">
        <v>1447</v>
      </c>
      <c r="B1508" s="138">
        <f>'Expenditures 15-22'!K277</f>
        <v>35440</v>
      </c>
      <c r="C1508" s="2" t="s">
        <v>594</v>
      </c>
      <c r="D1508" s="2" t="str">
        <f t="shared" si="22"/>
        <v>Error?</v>
      </c>
    </row>
    <row r="1509" spans="1:4" x14ac:dyDescent="0.2">
      <c r="A1509" s="5">
        <v>1448</v>
      </c>
      <c r="B1509" s="138">
        <f>'Expenditures 15-22'!K278</f>
        <v>17169</v>
      </c>
      <c r="C1509" s="2" t="s">
        <v>594</v>
      </c>
      <c r="D1509" s="2" t="str">
        <f t="shared" si="22"/>
        <v>Error?</v>
      </c>
    </row>
    <row r="1510" spans="1:4" x14ac:dyDescent="0.2">
      <c r="A1510" s="5">
        <v>1449</v>
      </c>
      <c r="B1510" s="138">
        <f>'Expenditures 15-22'!K279</f>
        <v>177861</v>
      </c>
      <c r="C1510" s="2" t="s">
        <v>594</v>
      </c>
      <c r="D1510" s="2" t="str">
        <f t="shared" si="22"/>
        <v>Error?</v>
      </c>
    </row>
    <row r="1511" spans="1:4" x14ac:dyDescent="0.2">
      <c r="A1511" s="5">
        <v>1450</v>
      </c>
      <c r="B1511" s="138">
        <f>'Expenditures 15-22'!K280</f>
        <v>799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314831</v>
      </c>
      <c r="C1517" s="2" t="s">
        <v>594</v>
      </c>
      <c r="D1517" s="2" t="str">
        <f t="shared" si="22"/>
        <v>Error?</v>
      </c>
    </row>
    <row r="1518" spans="1:4" x14ac:dyDescent="0.2">
      <c r="A1518" s="5">
        <v>1457</v>
      </c>
      <c r="B1518" s="138">
        <f>'Expenditures 15-22'!K296</f>
        <v>196993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196582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8560397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11426340</v>
      </c>
      <c r="C1630" s="2" t="s">
        <v>594</v>
      </c>
      <c r="D1630" s="2" t="str">
        <f t="shared" si="24"/>
        <v>Error?</v>
      </c>
    </row>
    <row r="1631" spans="1:4" x14ac:dyDescent="0.2">
      <c r="A1631" s="5">
        <v>1570</v>
      </c>
      <c r="B1631" s="138">
        <f>'Acct Summary 7-8'!D79</f>
        <v>409457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778564</v>
      </c>
      <c r="C1644" s="2" t="s">
        <v>594</v>
      </c>
      <c r="D1644" s="2" t="str">
        <f t="shared" si="24"/>
        <v>Error?</v>
      </c>
    </row>
    <row r="1645" spans="1:4" x14ac:dyDescent="0.2">
      <c r="A1645" s="5">
        <v>1584</v>
      </c>
      <c r="B1645" s="138">
        <f>'Acct Summary 7-8'!E79</f>
        <v>2688637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2598478</v>
      </c>
      <c r="C1658" s="2" t="s">
        <v>594</v>
      </c>
      <c r="D1658" s="2" t="str">
        <f t="shared" si="24"/>
        <v>Error?</v>
      </c>
    </row>
    <row r="1659" spans="1:4" x14ac:dyDescent="0.2">
      <c r="A1659" s="5">
        <v>1598</v>
      </c>
      <c r="B1659" s="138">
        <f>'Acct Summary 7-8'!F79</f>
        <v>1013401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1122709</v>
      </c>
      <c r="C1672" s="2" t="s">
        <v>594</v>
      </c>
      <c r="D1672" s="2" t="str">
        <f t="shared" si="25"/>
        <v>Error?</v>
      </c>
    </row>
    <row r="1673" spans="1:4" x14ac:dyDescent="0.2">
      <c r="A1673" s="5">
        <v>1612</v>
      </c>
      <c r="B1673" s="138">
        <f>'Acct Summary 7-8'!G79</f>
        <v>713928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910921</v>
      </c>
      <c r="C1686" s="2" t="s">
        <v>594</v>
      </c>
      <c r="D1686" s="2" t="str">
        <f t="shared" si="25"/>
        <v>Error?</v>
      </c>
    </row>
    <row r="1687" spans="1:4" x14ac:dyDescent="0.2">
      <c r="A1687" s="5">
        <v>1626</v>
      </c>
      <c r="B1687" s="138">
        <f>'Acct Summary 7-8'!H79</f>
        <v>713953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910535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2551992</v>
      </c>
      <c r="C1744" s="2" t="s">
        <v>594</v>
      </c>
      <c r="D1744" s="2" t="str">
        <f t="shared" si="26"/>
        <v>Error?</v>
      </c>
    </row>
    <row r="1745" spans="1:5" x14ac:dyDescent="0.2">
      <c r="A1745" s="5">
        <v>1684</v>
      </c>
      <c r="B1745" s="138">
        <f>'Tax Sched 23'!B5</f>
        <v>371160</v>
      </c>
      <c r="C1745" s="2" t="s">
        <v>594</v>
      </c>
      <c r="D1745" s="2" t="str">
        <f t="shared" si="26"/>
        <v>Error?</v>
      </c>
    </row>
    <row r="1746" spans="1:5" x14ac:dyDescent="0.2">
      <c r="A1746" s="5">
        <v>1685</v>
      </c>
      <c r="B1746" s="138">
        <f>'Tax Sched 23'!B6</f>
        <v>373849</v>
      </c>
      <c r="C1746" s="2" t="s">
        <v>594</v>
      </c>
      <c r="D1746" s="2" t="str">
        <f t="shared" si="26"/>
        <v>Error?</v>
      </c>
    </row>
    <row r="1747" spans="1:5" x14ac:dyDescent="0.2">
      <c r="A1747" s="5">
        <v>1686</v>
      </c>
      <c r="B1747" s="138">
        <f>'Tax Sched 23'!B7</f>
        <v>294557</v>
      </c>
      <c r="C1747" s="2" t="s">
        <v>594</v>
      </c>
      <c r="D1747" s="2" t="str">
        <f t="shared" si="26"/>
        <v>Error?</v>
      </c>
    </row>
    <row r="1748" spans="1:5" x14ac:dyDescent="0.2">
      <c r="A1748" s="5">
        <v>1687</v>
      </c>
      <c r="B1748" s="138">
        <f>'Tax Sched 23'!B8</f>
        <v>504501</v>
      </c>
      <c r="C1748" s="2" t="s">
        <v>594</v>
      </c>
      <c r="D1748" s="2" t="str">
        <f t="shared" si="26"/>
        <v>Error?</v>
      </c>
    </row>
    <row r="1749" spans="1:5" x14ac:dyDescent="0.2">
      <c r="A1749" s="5">
        <v>1688</v>
      </c>
      <c r="B1749" s="138">
        <f>'Tax Sched 23'!B10</f>
        <v>2730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459675</v>
      </c>
      <c r="C1752" s="2" t="s">
        <v>594</v>
      </c>
      <c r="D1752" s="2" t="str">
        <f t="shared" si="26"/>
        <v>Error?</v>
      </c>
    </row>
    <row r="1753" spans="1:5" x14ac:dyDescent="0.2">
      <c r="A1753" s="5">
        <v>1692</v>
      </c>
      <c r="B1753" s="138">
        <f>'Tax Sched 23'!B12</f>
        <v>19292</v>
      </c>
      <c r="C1753" s="2" t="s">
        <v>594</v>
      </c>
      <c r="D1753" s="2" t="str">
        <f t="shared" si="26"/>
        <v>Error?</v>
      </c>
    </row>
    <row r="1754" spans="1:5" x14ac:dyDescent="0.2">
      <c r="A1754" s="5">
        <v>1693</v>
      </c>
      <c r="B1754" s="138">
        <f>'Tax Sched 23'!B14</f>
        <v>41063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4618819</v>
      </c>
      <c r="C1759" s="2" t="s">
        <v>594</v>
      </c>
      <c r="D1759" s="2" t="str">
        <f t="shared" si="26"/>
        <v>Error?</v>
      </c>
    </row>
    <row r="1760" spans="1:5" x14ac:dyDescent="0.2">
      <c r="A1760" s="5">
        <v>1699</v>
      </c>
      <c r="B1760" s="138">
        <f>'Tax Sched 23'!D4</f>
        <v>1911201</v>
      </c>
      <c r="C1760" s="2" t="s">
        <v>594</v>
      </c>
      <c r="D1760" s="2" t="str">
        <f t="shared" si="26"/>
        <v>Error?</v>
      </c>
    </row>
    <row r="1761" spans="1:5" x14ac:dyDescent="0.2">
      <c r="A1761" s="5">
        <v>1700</v>
      </c>
      <c r="B1761" s="138">
        <f>'Tax Sched 23'!D5</f>
        <v>291257</v>
      </c>
      <c r="C1761" s="2" t="s">
        <v>594</v>
      </c>
      <c r="D1761" s="2" t="str">
        <f t="shared" si="26"/>
        <v>Error?</v>
      </c>
    </row>
    <row r="1762" spans="1:5" s="8" customFormat="1" x14ac:dyDescent="0.2">
      <c r="A1762" s="5">
        <v>1701</v>
      </c>
      <c r="B1762" s="138">
        <f>'Tax Sched 23'!D6</f>
        <v>314018</v>
      </c>
      <c r="C1762" s="2" t="s">
        <v>594</v>
      </c>
      <c r="D1762" s="2" t="str">
        <f t="shared" si="26"/>
        <v>Error?</v>
      </c>
      <c r="E1762" s="9"/>
    </row>
    <row r="1763" spans="1:5" x14ac:dyDescent="0.2">
      <c r="A1763" s="5">
        <v>1702</v>
      </c>
      <c r="B1763" s="138">
        <f>'Tax Sched 23'!D7</f>
        <v>194557</v>
      </c>
      <c r="C1763" s="2" t="s">
        <v>594</v>
      </c>
      <c r="D1763" s="2" t="str">
        <f t="shared" si="26"/>
        <v>Error?</v>
      </c>
    </row>
    <row r="1764" spans="1:5" x14ac:dyDescent="0.2">
      <c r="A1764" s="5">
        <v>1703</v>
      </c>
      <c r="B1764" s="138">
        <f>'Tax Sched 23'!D8</f>
        <v>352623</v>
      </c>
      <c r="C1764" s="2" t="s">
        <v>594</v>
      </c>
      <c r="D1764" s="2" t="str">
        <f t="shared" si="26"/>
        <v>Error?</v>
      </c>
    </row>
    <row r="1765" spans="1:5" x14ac:dyDescent="0.2">
      <c r="A1765" s="5">
        <v>1704</v>
      </c>
      <c r="B1765" s="138">
        <f>'Tax Sched 23'!D10</f>
        <v>2497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459675</v>
      </c>
      <c r="C1768" s="2" t="s">
        <v>594</v>
      </c>
      <c r="D1768" s="2" t="str">
        <f t="shared" si="26"/>
        <v>Error?</v>
      </c>
    </row>
    <row r="1769" spans="1:5" x14ac:dyDescent="0.2">
      <c r="A1769" s="5">
        <v>1708</v>
      </c>
      <c r="B1769" s="138">
        <f>'Tax Sched 23'!D12</f>
        <v>19036</v>
      </c>
      <c r="C1769" s="2" t="s">
        <v>594</v>
      </c>
      <c r="D1769" s="2" t="str">
        <f t="shared" si="26"/>
        <v>Error?</v>
      </c>
    </row>
    <row r="1770" spans="1:5" x14ac:dyDescent="0.2">
      <c r="A1770" s="5">
        <v>1709</v>
      </c>
      <c r="B1770" s="138">
        <f>'Tax Sched 23'!D14</f>
        <v>41063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3433817</v>
      </c>
      <c r="C1775" s="2" t="s">
        <v>594</v>
      </c>
      <c r="D1775" s="2" t="str">
        <f t="shared" si="26"/>
        <v>Error?</v>
      </c>
    </row>
    <row r="1776" spans="1:5" x14ac:dyDescent="0.2">
      <c r="A1776" s="5">
        <v>1715</v>
      </c>
      <c r="B1776" s="138">
        <f>'Tax Sched 23'!C4</f>
        <v>640791</v>
      </c>
      <c r="D1776" s="2" t="str">
        <f t="shared" si="26"/>
        <v>Error?</v>
      </c>
    </row>
    <row r="1777" spans="1:4" x14ac:dyDescent="0.2">
      <c r="A1777" s="5">
        <v>1716</v>
      </c>
      <c r="B1777" s="138">
        <f>'Tax Sched 23'!C5</f>
        <v>79903</v>
      </c>
      <c r="D1777" s="2" t="str">
        <f t="shared" si="26"/>
        <v>Error?</v>
      </c>
    </row>
    <row r="1778" spans="1:4" x14ac:dyDescent="0.2">
      <c r="A1778" s="5">
        <v>1717</v>
      </c>
      <c r="B1778" s="138">
        <f>'Tax Sched 23'!C6</f>
        <v>59831</v>
      </c>
      <c r="D1778" s="2" t="str">
        <f t="shared" si="26"/>
        <v>Error?</v>
      </c>
    </row>
    <row r="1779" spans="1:4" x14ac:dyDescent="0.2">
      <c r="A1779" s="5">
        <v>1718</v>
      </c>
      <c r="B1779" s="138">
        <f>'Tax Sched 23'!C7</f>
        <v>100000</v>
      </c>
      <c r="D1779" s="2" t="str">
        <f t="shared" si="26"/>
        <v>Error?</v>
      </c>
    </row>
    <row r="1780" spans="1:4" x14ac:dyDescent="0.2">
      <c r="A1780" s="5">
        <v>1719</v>
      </c>
      <c r="B1780" s="138">
        <f>'Tax Sched 23'!C8</f>
        <v>151878</v>
      </c>
      <c r="D1780" s="2" t="str">
        <f t="shared" si="26"/>
        <v>Error?</v>
      </c>
    </row>
    <row r="1781" spans="1:4" x14ac:dyDescent="0.2">
      <c r="A1781" s="5">
        <v>1720</v>
      </c>
      <c r="B1781" s="138">
        <f>'Tax Sched 23'!C10</f>
        <v>233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256</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1185002</v>
      </c>
      <c r="C1791" s="2" t="s">
        <v>594</v>
      </c>
      <c r="D1791" s="2" t="str">
        <f t="shared" ref="D1791:D1854" si="27">IF(ISBLANK(B1791),"OK",IF(A1791-B1791=0,"OK","Error?"))</f>
        <v>Error?</v>
      </c>
    </row>
    <row r="1792" spans="1:4" x14ac:dyDescent="0.2">
      <c r="A1792" s="5">
        <v>1731</v>
      </c>
      <c r="B1792" s="138">
        <f>'Tax Sched 23'!F4</f>
        <v>2389811</v>
      </c>
      <c r="C1792" s="2" t="s">
        <v>594</v>
      </c>
      <c r="D1792" s="2" t="str">
        <f t="shared" si="27"/>
        <v>Error?</v>
      </c>
    </row>
    <row r="1793" spans="1:4" x14ac:dyDescent="0.2">
      <c r="A1793" s="5">
        <v>1732</v>
      </c>
      <c r="B1793" s="138">
        <f>'Tax Sched 23'!F5</f>
        <v>297998</v>
      </c>
      <c r="C1793" s="2" t="s">
        <v>594</v>
      </c>
      <c r="D1793" s="2" t="str">
        <f t="shared" si="27"/>
        <v>Error?</v>
      </c>
    </row>
    <row r="1794" spans="1:4" x14ac:dyDescent="0.2">
      <c r="A1794" s="5">
        <v>1733</v>
      </c>
      <c r="B1794" s="138">
        <f>'Tax Sched 23'!F6</f>
        <v>387698</v>
      </c>
      <c r="C1794" s="2" t="s">
        <v>594</v>
      </c>
      <c r="D1794" s="2" t="str">
        <f t="shared" si="27"/>
        <v>Error?</v>
      </c>
    </row>
    <row r="1795" spans="1:4" x14ac:dyDescent="0.2">
      <c r="A1795" s="5">
        <v>1734</v>
      </c>
      <c r="B1795" s="138">
        <f>'Tax Sched 23'!F7</f>
        <v>208388</v>
      </c>
      <c r="C1795" s="2" t="s">
        <v>594</v>
      </c>
      <c r="D1795" s="2" t="str">
        <f t="shared" si="27"/>
        <v>Error?</v>
      </c>
    </row>
    <row r="1796" spans="1:4" x14ac:dyDescent="0.2">
      <c r="A1796" s="5">
        <v>1735</v>
      </c>
      <c r="B1796" s="138">
        <f>'Tax Sched 23'!F8</f>
        <v>566422</v>
      </c>
      <c r="C1796" s="2" t="s">
        <v>594</v>
      </c>
      <c r="D1796" s="2" t="str">
        <f t="shared" si="27"/>
        <v>Error?</v>
      </c>
    </row>
    <row r="1797" spans="1:4" x14ac:dyDescent="0.2">
      <c r="A1797" s="5">
        <v>1736</v>
      </c>
      <c r="B1797" s="138">
        <f>'Tax Sched 23'!F10</f>
        <v>867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955</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4419429</v>
      </c>
      <c r="C1807" s="2" t="s">
        <v>594</v>
      </c>
      <c r="D1807" s="2" t="str">
        <f t="shared" si="27"/>
        <v>Error?</v>
      </c>
    </row>
    <row r="1808" spans="1:4" x14ac:dyDescent="0.2">
      <c r="A1808" s="5">
        <v>1747</v>
      </c>
      <c r="B1808" s="138">
        <f>'Tax Sched 23'!E4</f>
        <v>3030602</v>
      </c>
      <c r="D1808" s="2" t="str">
        <f t="shared" si="27"/>
        <v>Error?</v>
      </c>
    </row>
    <row r="1809" spans="1:4" x14ac:dyDescent="0.2">
      <c r="A1809" s="5">
        <v>1748</v>
      </c>
      <c r="B1809" s="138">
        <f>'Tax Sched 23'!E5</f>
        <v>377901</v>
      </c>
      <c r="D1809" s="2" t="str">
        <f t="shared" si="27"/>
        <v>Error?</v>
      </c>
    </row>
    <row r="1810" spans="1:4" x14ac:dyDescent="0.2">
      <c r="A1810" s="5">
        <v>1749</v>
      </c>
      <c r="B1810" s="138">
        <f>'Tax Sched 23'!E6</f>
        <v>447529</v>
      </c>
      <c r="D1810" s="2" t="str">
        <f t="shared" si="27"/>
        <v>Error?</v>
      </c>
    </row>
    <row r="1811" spans="1:4" x14ac:dyDescent="0.2">
      <c r="A1811" s="5">
        <v>1750</v>
      </c>
      <c r="B1811" s="138">
        <f>'Tax Sched 23'!E7</f>
        <v>308388</v>
      </c>
      <c r="D1811" s="2" t="str">
        <f t="shared" si="27"/>
        <v>Error?</v>
      </c>
    </row>
    <row r="1812" spans="1:4" x14ac:dyDescent="0.2">
      <c r="A1812" s="5">
        <v>1751</v>
      </c>
      <c r="B1812" s="138">
        <f>'Tax Sched 23'!E8</f>
        <v>718300</v>
      </c>
      <c r="D1812" s="2" t="str">
        <f t="shared" si="27"/>
        <v>Error?</v>
      </c>
    </row>
    <row r="1813" spans="1:4" x14ac:dyDescent="0.2">
      <c r="A1813" s="5">
        <v>1752</v>
      </c>
      <c r="B1813" s="138">
        <f>'Tax Sched 23'!E10</f>
        <v>1100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1211</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5604431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3684421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47297</v>
      </c>
      <c r="D2008" s="2" t="str">
        <f t="shared" si="30"/>
        <v>Error?</v>
      </c>
    </row>
    <row r="2009" spans="1:4" x14ac:dyDescent="0.2">
      <c r="A2009" s="5">
        <v>1948</v>
      </c>
      <c r="B2009" s="138">
        <f>'Cap Outlay Deprec 26'!C8</f>
        <v>25369844</v>
      </c>
      <c r="D2009" s="2" t="str">
        <f t="shared" si="30"/>
        <v>Error?</v>
      </c>
    </row>
    <row r="2010" spans="1:4" x14ac:dyDescent="0.2">
      <c r="A2010" s="5">
        <v>1949</v>
      </c>
      <c r="B2010" s="138">
        <f>'Cap Outlay Deprec 26'!C10</f>
        <v>1240746</v>
      </c>
      <c r="D2010" s="2" t="str">
        <f t="shared" si="30"/>
        <v>Error?</v>
      </c>
    </row>
    <row r="2011" spans="1:4" x14ac:dyDescent="0.2">
      <c r="A2011" s="5">
        <v>1950</v>
      </c>
      <c r="B2011" s="138">
        <f>'Cap Outlay Deprec 26'!C12</f>
        <v>1745556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28403443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22180</v>
      </c>
      <c r="D2016" s="2" t="str">
        <f t="shared" si="30"/>
        <v>Error?</v>
      </c>
    </row>
    <row r="2017" spans="1:4" x14ac:dyDescent="0.2">
      <c r="A2017" s="5">
        <v>1956</v>
      </c>
      <c r="B2017" s="138">
        <f>'Cap Outlay Deprec 26'!D12</f>
        <v>64042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86222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360348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360348</v>
      </c>
      <c r="C2025" s="2" t="s">
        <v>594</v>
      </c>
      <c r="D2025" s="2" t="str">
        <f t="shared" si="30"/>
        <v>Error?</v>
      </c>
    </row>
    <row r="2026" spans="1:4" x14ac:dyDescent="0.2">
      <c r="A2026" s="5">
        <v>1965</v>
      </c>
      <c r="B2026" s="138">
        <f>'Cap Outlay Deprec 26'!F5</f>
        <v>47297</v>
      </c>
      <c r="C2026" s="2" t="s">
        <v>594</v>
      </c>
      <c r="D2026" s="2" t="str">
        <f t="shared" si="30"/>
        <v>Error?</v>
      </c>
    </row>
    <row r="2027" spans="1:4" x14ac:dyDescent="0.2">
      <c r="A2027" s="5">
        <v>1966</v>
      </c>
      <c r="B2027" s="138">
        <f>'Cap Outlay Deprec 26'!F8</f>
        <v>25369844</v>
      </c>
      <c r="C2027" s="2" t="s">
        <v>594</v>
      </c>
      <c r="D2027" s="2" t="str">
        <f t="shared" si="30"/>
        <v>Error?</v>
      </c>
    </row>
    <row r="2028" spans="1:4" x14ac:dyDescent="0.2">
      <c r="A2028" s="5">
        <v>1967</v>
      </c>
      <c r="B2028" s="138">
        <f>'Cap Outlay Deprec 26'!F10</f>
        <v>1262926</v>
      </c>
      <c r="C2028" s="2" t="s">
        <v>594</v>
      </c>
      <c r="D2028" s="2" t="str">
        <f t="shared" si="30"/>
        <v>Error?</v>
      </c>
    </row>
    <row r="2029" spans="1:4" x14ac:dyDescent="0.2">
      <c r="A2029" s="5">
        <v>1968</v>
      </c>
      <c r="B2029" s="138">
        <f>'Cap Outlay Deprec 26'!F12</f>
        <v>1449250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28129317</v>
      </c>
      <c r="C2031" s="2" t="s">
        <v>594</v>
      </c>
      <c r="D2031" s="2" t="str">
        <f t="shared" si="30"/>
        <v>Error?</v>
      </c>
    </row>
    <row r="2032" spans="1:4" x14ac:dyDescent="0.2">
      <c r="A2032" s="10">
        <v>1971</v>
      </c>
      <c r="D2032" s="2" t="str">
        <f t="shared" si="30"/>
        <v>OK</v>
      </c>
    </row>
    <row r="2033" spans="1:4" x14ac:dyDescent="0.2">
      <c r="A2033" s="5">
        <v>1972</v>
      </c>
      <c r="B2033" s="138">
        <f>'Cap Outlay Deprec 26'!H8</f>
        <v>5801109</v>
      </c>
      <c r="D2033" s="2" t="str">
        <f t="shared" si="30"/>
        <v>Error?</v>
      </c>
    </row>
    <row r="2034" spans="1:4" x14ac:dyDescent="0.2">
      <c r="A2034" s="5">
        <v>1973</v>
      </c>
      <c r="B2034" s="138">
        <f>'Cap Outlay Deprec 26'!H10</f>
        <v>337271</v>
      </c>
      <c r="D2034" s="2" t="str">
        <f t="shared" si="30"/>
        <v>Error?</v>
      </c>
    </row>
    <row r="2035" spans="1:4" x14ac:dyDescent="0.2">
      <c r="A2035" s="5">
        <v>1974</v>
      </c>
      <c r="B2035" s="138">
        <f>'Cap Outlay Deprec 26'!H12</f>
        <v>867078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7005458</v>
      </c>
      <c r="C2037" s="2" t="s">
        <v>594</v>
      </c>
      <c r="D2037" s="2" t="str">
        <f t="shared" si="30"/>
        <v>Error?</v>
      </c>
    </row>
    <row r="2038" spans="1:4" x14ac:dyDescent="0.2">
      <c r="A2038" s="10">
        <v>1977</v>
      </c>
      <c r="D2038" s="2" t="str">
        <f t="shared" si="30"/>
        <v>OK</v>
      </c>
    </row>
    <row r="2039" spans="1:4" x14ac:dyDescent="0.2">
      <c r="A2039" s="5">
        <v>1978</v>
      </c>
      <c r="B2039" s="138">
        <f>'Cap Outlay Deprec 26'!I8</f>
        <v>683915</v>
      </c>
      <c r="D2039" s="2" t="str">
        <f t="shared" si="30"/>
        <v>Error?</v>
      </c>
    </row>
    <row r="2040" spans="1:4" x14ac:dyDescent="0.2">
      <c r="A2040" s="5">
        <v>1979</v>
      </c>
      <c r="B2040" s="138">
        <f>'Cap Outlay Deprec 26'!I10</f>
        <v>57764</v>
      </c>
      <c r="D2040" s="2" t="str">
        <f t="shared" si="30"/>
        <v>Error?</v>
      </c>
    </row>
    <row r="2041" spans="1:4" x14ac:dyDescent="0.2">
      <c r="A2041" s="5">
        <v>1980</v>
      </c>
      <c r="B2041" s="138">
        <f>'Cap Outlay Deprec 26'!I12</f>
        <v>186467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928146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272678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272678</v>
      </c>
      <c r="C2049" s="2" t="s">
        <v>594</v>
      </c>
      <c r="D2049" s="2" t="str">
        <f t="shared" si="31"/>
        <v>Error?</v>
      </c>
    </row>
    <row r="2050" spans="1:4" x14ac:dyDescent="0.2">
      <c r="A2050" s="10">
        <v>1989</v>
      </c>
      <c r="D2050" s="2" t="str">
        <f t="shared" si="31"/>
        <v>OK</v>
      </c>
    </row>
    <row r="2051" spans="1:4" x14ac:dyDescent="0.2">
      <c r="A2051" s="5">
        <v>1990</v>
      </c>
      <c r="B2051" s="138">
        <f>'Cap Outlay Deprec 26'!K8</f>
        <v>6485024</v>
      </c>
      <c r="C2051" s="2" t="s">
        <v>594</v>
      </c>
      <c r="D2051" s="2" t="str">
        <f t="shared" si="31"/>
        <v>Error?</v>
      </c>
    </row>
    <row r="2052" spans="1:4" x14ac:dyDescent="0.2">
      <c r="A2052" s="5">
        <v>1991</v>
      </c>
      <c r="B2052" s="138">
        <f>'Cap Outlay Deprec 26'!K10</f>
        <v>395035</v>
      </c>
      <c r="C2052" s="2" t="s">
        <v>594</v>
      </c>
      <c r="D2052" s="2" t="str">
        <f t="shared" si="31"/>
        <v>Error?</v>
      </c>
    </row>
    <row r="2053" spans="1:4" x14ac:dyDescent="0.2">
      <c r="A2053" s="5">
        <v>1992</v>
      </c>
      <c r="B2053" s="138">
        <f>'Cap Outlay Deprec 26'!K12</f>
        <v>780867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7660926</v>
      </c>
      <c r="C2055" s="2" t="s">
        <v>594</v>
      </c>
      <c r="D2055" s="2" t="str">
        <f t="shared" si="31"/>
        <v>Error?</v>
      </c>
    </row>
    <row r="2056" spans="1:4" x14ac:dyDescent="0.2">
      <c r="A2056" s="5">
        <v>1995</v>
      </c>
      <c r="B2056" s="138">
        <f>'Cap Outlay Deprec 26'!L5</f>
        <v>47297</v>
      </c>
      <c r="C2056" s="2" t="s">
        <v>594</v>
      </c>
      <c r="D2056" s="2" t="str">
        <f t="shared" si="31"/>
        <v>Error?</v>
      </c>
    </row>
    <row r="2057" spans="1:4" x14ac:dyDescent="0.2">
      <c r="A2057" s="5">
        <v>1996</v>
      </c>
      <c r="B2057" s="138">
        <f>'Cap Outlay Deprec 26'!L8</f>
        <v>18884820</v>
      </c>
      <c r="C2057" s="2" t="s">
        <v>594</v>
      </c>
      <c r="D2057" s="2" t="str">
        <f t="shared" si="31"/>
        <v>Error?</v>
      </c>
    </row>
    <row r="2058" spans="1:4" x14ac:dyDescent="0.2">
      <c r="A2058" s="5">
        <v>1997</v>
      </c>
      <c r="B2058" s="138">
        <f>'Cap Outlay Deprec 26'!L10</f>
        <v>867891</v>
      </c>
      <c r="C2058" s="2" t="s">
        <v>594</v>
      </c>
      <c r="D2058" s="2" t="str">
        <f t="shared" si="31"/>
        <v>Error?</v>
      </c>
    </row>
    <row r="2059" spans="1:4" x14ac:dyDescent="0.2">
      <c r="A2059" s="5">
        <v>1998</v>
      </c>
      <c r="B2059" s="138">
        <f>'Cap Outlay Deprec 26'!L12</f>
        <v>668383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20468391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1481951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1481951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247446</v>
      </c>
      <c r="D2435" s="2" t="str">
        <f t="shared" si="37"/>
        <v>Error?</v>
      </c>
    </row>
    <row r="2436" spans="1:4" x14ac:dyDescent="0.2">
      <c r="A2436" s="10">
        <v>2375</v>
      </c>
      <c r="D2436" s="2" t="str">
        <f t="shared" si="37"/>
        <v>OK</v>
      </c>
    </row>
    <row r="2437" spans="1:4" x14ac:dyDescent="0.2">
      <c r="A2437" s="5">
        <v>2376</v>
      </c>
      <c r="B2437" s="138">
        <f>'Assets-Liab 5-6'!D38</f>
        <v>778564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1122709</v>
      </c>
      <c r="D2475" s="2" t="str">
        <f t="shared" si="37"/>
        <v>Error?</v>
      </c>
    </row>
    <row r="2476" spans="1:4" x14ac:dyDescent="0.2">
      <c r="A2476" s="10">
        <v>2415</v>
      </c>
      <c r="D2476" s="2" t="str">
        <f t="shared" si="37"/>
        <v>OK</v>
      </c>
    </row>
    <row r="2477" spans="1:4" x14ac:dyDescent="0.2">
      <c r="A2477" s="5">
        <v>2416</v>
      </c>
      <c r="B2477" s="138">
        <f>'Assets-Liab 5-6'!G38</f>
        <v>910921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2598478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910535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2871737</v>
      </c>
      <c r="C2551" s="2" t="s">
        <v>594</v>
      </c>
      <c r="D2551" s="2" t="str">
        <f t="shared" si="38"/>
        <v>Error?</v>
      </c>
    </row>
    <row r="2552" spans="1:4" x14ac:dyDescent="0.2">
      <c r="A2552" s="10">
        <v>2491</v>
      </c>
      <c r="D2552" s="2" t="str">
        <f t="shared" si="38"/>
        <v>OK</v>
      </c>
    </row>
    <row r="2553" spans="1:4" x14ac:dyDescent="0.2">
      <c r="A2553" s="5">
        <v>2492</v>
      </c>
      <c r="B2553" s="138">
        <f>'Acct Summary 7-8'!C6</f>
        <v>7686502</v>
      </c>
      <c r="C2553" s="2" t="s">
        <v>594</v>
      </c>
      <c r="D2553" s="2" t="str">
        <f t="shared" si="38"/>
        <v>Error?</v>
      </c>
    </row>
    <row r="2554" spans="1:4" x14ac:dyDescent="0.2">
      <c r="A2554" s="5">
        <v>2493</v>
      </c>
      <c r="B2554" s="138">
        <f>'Acct Summary 7-8'!C7</f>
        <v>1344854</v>
      </c>
      <c r="C2554" s="2" t="s">
        <v>594</v>
      </c>
      <c r="D2554" s="2" t="str">
        <f t="shared" si="38"/>
        <v>Error?</v>
      </c>
    </row>
    <row r="2555" spans="1:4" x14ac:dyDescent="0.2">
      <c r="A2555" s="5">
        <v>2494</v>
      </c>
      <c r="B2555" s="138">
        <f>'Acct Summary 7-8'!C8</f>
        <v>11903093</v>
      </c>
      <c r="C2555" s="2" t="s">
        <v>594</v>
      </c>
      <c r="D2555" s="2" t="str">
        <f t="shared" si="38"/>
        <v>Error?</v>
      </c>
    </row>
    <row r="2556" spans="1:4" x14ac:dyDescent="0.2">
      <c r="A2556" s="5">
        <v>2495</v>
      </c>
      <c r="B2556" s="138">
        <f>'Acct Summary 7-8'!C12</f>
        <v>5350268</v>
      </c>
      <c r="C2556" s="2" t="s">
        <v>594</v>
      </c>
      <c r="D2556" s="2" t="str">
        <f t="shared" si="38"/>
        <v>Error?</v>
      </c>
    </row>
    <row r="2557" spans="1:4" x14ac:dyDescent="0.2">
      <c r="A2557" s="5">
        <v>2496</v>
      </c>
      <c r="B2557" s="138">
        <f>'Acct Summary 7-8'!C13</f>
        <v>4041478</v>
      </c>
      <c r="C2557" s="2" t="s">
        <v>594</v>
      </c>
      <c r="D2557" s="2" t="str">
        <f t="shared" si="38"/>
        <v>Error?</v>
      </c>
    </row>
    <row r="2558" spans="1:4" x14ac:dyDescent="0.2">
      <c r="A2558" s="5">
        <v>2497</v>
      </c>
      <c r="B2558" s="138">
        <f>'Acct Summary 7-8'!C14</f>
        <v>20953</v>
      </c>
      <c r="C2558" s="2" t="s">
        <v>594</v>
      </c>
      <c r="D2558" s="2" t="str">
        <f t="shared" si="38"/>
        <v>Error?</v>
      </c>
    </row>
    <row r="2559" spans="1:4" x14ac:dyDescent="0.2">
      <c r="A2559" s="5">
        <v>2498</v>
      </c>
      <c r="B2559" s="138">
        <f>'Acct Summary 7-8'!C15</f>
        <v>1481951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10894650</v>
      </c>
      <c r="C2561" s="2" t="s">
        <v>594</v>
      </c>
      <c r="D2561" s="2" t="str">
        <f t="shared" si="39"/>
        <v>Error?</v>
      </c>
    </row>
    <row r="2562" spans="1:4" x14ac:dyDescent="0.2">
      <c r="A2562" s="5">
        <v>2501</v>
      </c>
      <c r="B2562" s="138">
        <f>'Acct Summary 7-8'!C20</f>
        <v>1008443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460654</v>
      </c>
      <c r="C2564" s="2" t="s">
        <v>594</v>
      </c>
      <c r="D2564" s="2" t="str">
        <f t="shared" si="39"/>
        <v>Error?</v>
      </c>
    </row>
    <row r="2565" spans="1:4" x14ac:dyDescent="0.2">
      <c r="A2565" s="10">
        <v>2504</v>
      </c>
      <c r="D2565" s="2" t="str">
        <f t="shared" si="39"/>
        <v>OK</v>
      </c>
    </row>
    <row r="2566" spans="1:4" x14ac:dyDescent="0.2">
      <c r="A2566" s="5">
        <v>2505</v>
      </c>
      <c r="B2566" s="138">
        <f>'Acct Summary 7-8'!D6</f>
        <v>855644</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1316298</v>
      </c>
      <c r="C2568" s="2" t="s">
        <v>594</v>
      </c>
      <c r="D2568" s="2" t="str">
        <f t="shared" si="39"/>
        <v>Error?</v>
      </c>
    </row>
    <row r="2569" spans="1:4" x14ac:dyDescent="0.2">
      <c r="A2569" s="5">
        <v>2508</v>
      </c>
      <c r="B2569" s="138">
        <f>'Acct Summary 7-8'!D13</f>
        <v>947191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947191</v>
      </c>
      <c r="C2573" s="2" t="s">
        <v>594</v>
      </c>
      <c r="D2573" s="2" t="str">
        <f t="shared" si="39"/>
        <v>Error?</v>
      </c>
    </row>
    <row r="2574" spans="1:4" x14ac:dyDescent="0.2">
      <c r="A2574" s="5">
        <v>2513</v>
      </c>
      <c r="B2574" s="138">
        <f>'Acct Summary 7-8'!D20</f>
        <v>369107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304061</v>
      </c>
      <c r="C2591" s="2" t="s">
        <v>594</v>
      </c>
      <c r="D2591" s="2" t="str">
        <f t="shared" si="39"/>
        <v>Error?</v>
      </c>
    </row>
    <row r="2592" spans="1:4" x14ac:dyDescent="0.2">
      <c r="A2592" s="10">
        <v>2531</v>
      </c>
      <c r="D2592" s="2" t="str">
        <f t="shared" si="39"/>
        <v>OK</v>
      </c>
    </row>
    <row r="2593" spans="1:4" x14ac:dyDescent="0.2">
      <c r="A2593" s="5">
        <v>2532</v>
      </c>
      <c r="B2593" s="138">
        <f>'Acct Summary 7-8'!F6</f>
        <v>766456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1070517</v>
      </c>
      <c r="C2595" s="2" t="s">
        <v>594</v>
      </c>
      <c r="D2595" s="2" t="str">
        <f t="shared" si="39"/>
        <v>Error?</v>
      </c>
    </row>
    <row r="2596" spans="1:4" x14ac:dyDescent="0.2">
      <c r="A2596" s="5">
        <v>2535</v>
      </c>
      <c r="B2596" s="138">
        <f>'Acct Summary 7-8'!F13</f>
        <v>961209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961209</v>
      </c>
      <c r="C2600" s="2" t="s">
        <v>594</v>
      </c>
      <c r="D2600" s="2" t="str">
        <f t="shared" si="39"/>
        <v>Error?</v>
      </c>
    </row>
    <row r="2601" spans="1:4" x14ac:dyDescent="0.2">
      <c r="A2601" s="5">
        <v>2540</v>
      </c>
      <c r="B2601" s="138">
        <f>'Acct Summary 7-8'!F20</f>
        <v>109308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511824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511824</v>
      </c>
      <c r="C2606" s="2" t="s">
        <v>594</v>
      </c>
      <c r="D2606" s="2" t="str">
        <f t="shared" si="39"/>
        <v>Error?</v>
      </c>
    </row>
    <row r="2607" spans="1:4" x14ac:dyDescent="0.2">
      <c r="A2607" s="5">
        <v>2546</v>
      </c>
      <c r="B2607" s="138">
        <f>'Acct Summary 7-8'!G12</f>
        <v>136171</v>
      </c>
      <c r="C2607" s="2" t="s">
        <v>594</v>
      </c>
      <c r="D2607" s="2" t="str">
        <f t="shared" si="39"/>
        <v>Error?</v>
      </c>
    </row>
    <row r="2608" spans="1:4" x14ac:dyDescent="0.2">
      <c r="A2608" s="5">
        <v>2547</v>
      </c>
      <c r="B2608" s="138">
        <f>'Acct Summary 7-8'!G13</f>
        <v>177861</v>
      </c>
      <c r="C2608" s="2" t="s">
        <v>594</v>
      </c>
      <c r="D2608" s="2" t="str">
        <f t="shared" si="39"/>
        <v>Error?</v>
      </c>
    </row>
    <row r="2609" spans="1:4" x14ac:dyDescent="0.2">
      <c r="A2609" s="5">
        <v>2548</v>
      </c>
      <c r="B2609" s="138">
        <f>'Acct Summary 7-8'!G14</f>
        <v>799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314831</v>
      </c>
      <c r="C2612" s="2" t="s">
        <v>594</v>
      </c>
      <c r="D2612" s="2" t="str">
        <f t="shared" si="39"/>
        <v>Error?</v>
      </c>
    </row>
    <row r="2613" spans="1:4" x14ac:dyDescent="0.2">
      <c r="A2613" s="5">
        <v>2552</v>
      </c>
      <c r="B2613" s="138">
        <f>'Acct Summary 7-8'!G20</f>
        <v>196993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571370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571370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661529</v>
      </c>
      <c r="C2634" s="2" t="s">
        <v>594</v>
      </c>
      <c r="D2634" s="2" t="str">
        <f t="shared" si="40"/>
        <v>Error?</v>
      </c>
    </row>
    <row r="2635" spans="1:4" x14ac:dyDescent="0.2">
      <c r="A2635" s="5">
        <v>2574</v>
      </c>
      <c r="B2635" s="138">
        <f>'Acct Summary 7-8'!E17</f>
        <v>661529</v>
      </c>
      <c r="C2635" s="2" t="s">
        <v>594</v>
      </c>
      <c r="D2635" s="2" t="str">
        <f t="shared" si="40"/>
        <v>Error?</v>
      </c>
    </row>
    <row r="2636" spans="1:4" x14ac:dyDescent="0.2">
      <c r="A2636" s="5">
        <v>2575</v>
      </c>
      <c r="B2636" s="138">
        <f>'Acct Summary 7-8'!E20</f>
        <v>-90159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9134</v>
      </c>
      <c r="C2655" s="2" t="s">
        <v>594</v>
      </c>
      <c r="D2655" s="2" t="str">
        <f t="shared" si="40"/>
        <v>Error?</v>
      </c>
    </row>
    <row r="2656" spans="1:4" x14ac:dyDescent="0.2">
      <c r="A2656" s="5">
        <v>2595</v>
      </c>
      <c r="B2656" s="138">
        <f>'Acct Summary 7-8'!H6</f>
        <v>187448</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196582</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196582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150002</v>
      </c>
      <c r="D2718" s="2" t="str">
        <f t="shared" si="41"/>
        <v>Error?</v>
      </c>
    </row>
    <row r="2719" spans="1:4" x14ac:dyDescent="0.2">
      <c r="A2719" s="5">
        <v>2658</v>
      </c>
      <c r="B2719" s="138">
        <f>'Expenditures 15-22'!D51</f>
        <v>2091</v>
      </c>
      <c r="D2719" s="2" t="str">
        <f t="shared" si="41"/>
        <v>Error?</v>
      </c>
    </row>
    <row r="2720" spans="1:4" x14ac:dyDescent="0.2">
      <c r="A2720" s="5">
        <v>2659</v>
      </c>
      <c r="B2720" s="138">
        <f>'Expenditures 15-22'!E51</f>
        <v>6500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158593</v>
      </c>
      <c r="C2724" s="2" t="s">
        <v>594</v>
      </c>
      <c r="D2724" s="2" t="str">
        <f t="shared" si="41"/>
        <v>Error?</v>
      </c>
    </row>
    <row r="2725" spans="1:4" x14ac:dyDescent="0.2">
      <c r="A2725" s="5">
        <v>2664</v>
      </c>
      <c r="B2725" s="138">
        <f>'Expenditures 15-22'!D247</f>
        <v>2044</v>
      </c>
      <c r="D2725" s="2" t="str">
        <f t="shared" si="41"/>
        <v>Error?</v>
      </c>
    </row>
    <row r="2726" spans="1:4" x14ac:dyDescent="0.2">
      <c r="A2726" s="5">
        <v>2665</v>
      </c>
      <c r="B2726" s="138">
        <f>'Expenditures 15-22'!K247</f>
        <v>2044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1850000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189523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28025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189523</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189523</v>
      </c>
      <c r="C2913" s="2" t="s">
        <v>594</v>
      </c>
      <c r="D2913" s="2" t="str">
        <f t="shared" si="44"/>
        <v>Error?</v>
      </c>
    </row>
    <row r="2914" spans="1:4" x14ac:dyDescent="0.2">
      <c r="A2914" s="5">
        <v>2853</v>
      </c>
      <c r="B2914" s="138">
        <f>'Assets-Liab 5-6'!L33</f>
        <v>28025</v>
      </c>
      <c r="D2914" s="2" t="str">
        <f t="shared" si="44"/>
        <v>Error?</v>
      </c>
    </row>
    <row r="2915" spans="1:4" x14ac:dyDescent="0.2">
      <c r="A2915" s="10">
        <v>2854</v>
      </c>
      <c r="D2915" s="2" t="str">
        <f t="shared" si="44"/>
        <v>OK</v>
      </c>
    </row>
    <row r="2916" spans="1:4" x14ac:dyDescent="0.2">
      <c r="A2916" s="5">
        <v>2855</v>
      </c>
      <c r="B2916" s="138">
        <f>'Assets-Liab 5-6'!L34</f>
        <v>28025</v>
      </c>
      <c r="C2916" s="2" t="s">
        <v>594</v>
      </c>
      <c r="D2916" s="2" t="str">
        <f t="shared" si="44"/>
        <v>Error?</v>
      </c>
    </row>
    <row r="2917" spans="1:4" x14ac:dyDescent="0.2">
      <c r="A2917" s="5">
        <v>2856</v>
      </c>
      <c r="B2917" s="138">
        <f>'Assets-Liab 5-6'!L41</f>
        <v>28025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1481951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1481951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4213</v>
      </c>
      <c r="C3225" s="2" t="s">
        <v>594</v>
      </c>
      <c r="D3225" s="2" t="str">
        <f t="shared" si="49"/>
        <v>Error?</v>
      </c>
    </row>
    <row r="3226" spans="1:4" x14ac:dyDescent="0.2">
      <c r="A3226" s="5">
        <v>3165</v>
      </c>
      <c r="B3226" s="138">
        <f>'Acct Summary 7-8'!I8</f>
        <v>4213</v>
      </c>
      <c r="C3226" s="2" t="s">
        <v>594</v>
      </c>
      <c r="D3226" s="2" t="str">
        <f t="shared" si="49"/>
        <v>Error?</v>
      </c>
    </row>
    <row r="3227" spans="1:4" x14ac:dyDescent="0.2">
      <c r="A3227" s="5">
        <v>3166</v>
      </c>
      <c r="B3227" s="138">
        <f>'Acct Summary 7-8'!I20</f>
        <v>4213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1857500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1857500</v>
      </c>
      <c r="C3232" s="2" t="s">
        <v>594</v>
      </c>
      <c r="D3232" s="2" t="str">
        <f t="shared" si="49"/>
        <v>Error?</v>
      </c>
    </row>
    <row r="3233" spans="1:4" x14ac:dyDescent="0.2">
      <c r="A3233" s="5">
        <v>3172</v>
      </c>
      <c r="B3233" s="138">
        <f>'Acct Summary 7-8'!C78</f>
        <v>2865943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1850000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369107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109308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196993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-90159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196582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4213</v>
      </c>
      <c r="C3320" s="2" t="s">
        <v>594</v>
      </c>
      <c r="D3320" s="2" t="str">
        <f t="shared" si="50"/>
        <v>Error?</v>
      </c>
    </row>
    <row r="3321" spans="1:4" x14ac:dyDescent="0.2">
      <c r="A3321" s="5">
        <v>3260</v>
      </c>
      <c r="B3321" s="138">
        <f>'Acct Summary 7-8'!I79</f>
        <v>185310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189523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726361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733068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66393</v>
      </c>
      <c r="D3387" s="2" t="str">
        <f t="shared" si="51"/>
        <v>Error?</v>
      </c>
    </row>
    <row r="3388" spans="1:4" x14ac:dyDescent="0.2">
      <c r="A3388" s="5">
        <v>3327</v>
      </c>
      <c r="B3388" s="138">
        <f>'Expenditures 15-22'!D217</f>
        <v>55188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66393</v>
      </c>
      <c r="C3390" s="2" t="s">
        <v>594</v>
      </c>
      <c r="D3390" s="2" t="str">
        <f t="shared" si="51"/>
        <v>Error?</v>
      </c>
    </row>
    <row r="3391" spans="1:4" x14ac:dyDescent="0.2">
      <c r="A3391" s="5">
        <v>3330</v>
      </c>
      <c r="B3391" s="138">
        <f>'Expenditures 15-22'!K217</f>
        <v>55188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11431623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778564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2598478</v>
      </c>
      <c r="D3417" s="2" t="str">
        <f t="shared" si="52"/>
        <v>Error?</v>
      </c>
    </row>
    <row r="3418" spans="1:4" x14ac:dyDescent="0.2">
      <c r="A3418" s="10">
        <v>3357</v>
      </c>
      <c r="D3418" s="2" t="str">
        <f t="shared" si="52"/>
        <v>OK</v>
      </c>
    </row>
    <row r="3419" spans="1:4" x14ac:dyDescent="0.2">
      <c r="A3419" s="5">
        <v>3358</v>
      </c>
      <c r="B3419" s="138">
        <f>'Assets-Liab 5-6'!F4</f>
        <v>1122709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910921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910535</v>
      </c>
      <c r="D3425" s="2" t="str">
        <f t="shared" si="52"/>
        <v>Error?</v>
      </c>
    </row>
    <row r="3426" spans="1:4" x14ac:dyDescent="0.2">
      <c r="A3426" s="10">
        <v>3365</v>
      </c>
      <c r="D3426" s="2" t="str">
        <f t="shared" si="52"/>
        <v>OK</v>
      </c>
    </row>
    <row r="3427" spans="1:4" x14ac:dyDescent="0.2">
      <c r="A3427" s="5">
        <v>3366</v>
      </c>
      <c r="B3427" s="138">
        <f>'Assets-Liab 5-6'!I4</f>
        <v>189523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28025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-152110</v>
      </c>
      <c r="C3447" s="2" t="s">
        <v>594</v>
      </c>
      <c r="D3447" s="2" t="str">
        <f t="shared" si="52"/>
        <v>Error?</v>
      </c>
    </row>
    <row r="3448" spans="1:4" x14ac:dyDescent="0.2">
      <c r="A3448" s="5">
        <v>3387</v>
      </c>
      <c r="B3448" s="138">
        <f>'Tax Sched 23'!C16</f>
        <v>152110</v>
      </c>
      <c r="D3448" s="2" t="str">
        <f t="shared" si="52"/>
        <v>Error?</v>
      </c>
    </row>
    <row r="3449" spans="1:4" x14ac:dyDescent="0.2">
      <c r="A3449" s="5">
        <v>3388</v>
      </c>
      <c r="B3449" s="138">
        <f>'Tax Sched 23'!F16</f>
        <v>567290</v>
      </c>
      <c r="C3449" s="2" t="s">
        <v>594</v>
      </c>
      <c r="D3449" s="2" t="str">
        <f t="shared" si="52"/>
        <v>Error?</v>
      </c>
    </row>
    <row r="3450" spans="1:4" x14ac:dyDescent="0.2">
      <c r="A3450" s="5">
        <v>3389</v>
      </c>
      <c r="B3450" s="138">
        <f>'Tax Sched 23'!E16</f>
        <v>719400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7500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645552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645552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645552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645552</v>
      </c>
      <c r="C3568" s="2" t="s">
        <v>594</v>
      </c>
      <c r="D3568" s="2" t="str">
        <f t="shared" si="54"/>
        <v>Error?</v>
      </c>
    </row>
    <row r="3569" spans="1:4" x14ac:dyDescent="0.2">
      <c r="A3569" s="5">
        <v>3508</v>
      </c>
      <c r="B3569" s="138">
        <f>'Acct Summary 7-8'!K4</f>
        <v>24561</v>
      </c>
      <c r="C3569" s="2" t="s">
        <v>594</v>
      </c>
      <c r="D3569" s="2" t="str">
        <f t="shared" si="54"/>
        <v>Error?</v>
      </c>
    </row>
    <row r="3570" spans="1:4" x14ac:dyDescent="0.2">
      <c r="A3570" s="5">
        <v>3509</v>
      </c>
      <c r="B3570" s="138">
        <f>'Acct Summary 7-8'!K6</f>
        <v>5000</v>
      </c>
      <c r="C3570" s="2" t="s">
        <v>594</v>
      </c>
      <c r="D3570" s="2" t="str">
        <f t="shared" si="54"/>
        <v>Error?</v>
      </c>
    </row>
    <row r="3571" spans="1:4" x14ac:dyDescent="0.2">
      <c r="A3571" s="5">
        <v>3510</v>
      </c>
      <c r="B3571" s="138">
        <f>'Acct Summary 7-8'!K8</f>
        <v>29561</v>
      </c>
      <c r="C3571" s="2" t="s">
        <v>594</v>
      </c>
      <c r="D3571" s="2" t="str">
        <f t="shared" si="54"/>
        <v>Error?</v>
      </c>
    </row>
    <row r="3572" spans="1:4" x14ac:dyDescent="0.2">
      <c r="A3572" s="5">
        <v>3511</v>
      </c>
      <c r="B3572" s="138">
        <f>'Acct Summary 7-8'!K13</f>
        <v>17800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17800</v>
      </c>
      <c r="C3575" s="2" t="s">
        <v>594</v>
      </c>
      <c r="D3575" s="2" t="str">
        <f t="shared" si="54"/>
        <v>Error?</v>
      </c>
    </row>
    <row r="3576" spans="1:4" x14ac:dyDescent="0.2">
      <c r="A3576" s="5">
        <v>3515</v>
      </c>
      <c r="B3576" s="138">
        <f>'Acct Summary 7-8'!K20</f>
        <v>11761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11761</v>
      </c>
      <c r="C3588" s="2" t="s">
        <v>594</v>
      </c>
      <c r="D3588" s="2" t="str">
        <f t="shared" si="55"/>
        <v>Error?</v>
      </c>
    </row>
    <row r="3589" spans="1:4" x14ac:dyDescent="0.2">
      <c r="A3589" s="5">
        <v>3528</v>
      </c>
      <c r="B3589" s="138">
        <f>'Acct Summary 7-8'!K79</f>
        <v>633791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645552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17800</v>
      </c>
      <c r="D3632" s="2" t="str">
        <f t="shared" si="55"/>
        <v>Error?</v>
      </c>
    </row>
    <row r="3633" spans="1:4" x14ac:dyDescent="0.2">
      <c r="A3633" s="5">
        <v>3572</v>
      </c>
      <c r="B3633" s="138">
        <f>'Expenditures 15-22'!E350</f>
        <v>17800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17800</v>
      </c>
      <c r="C3635" s="2" t="s">
        <v>594</v>
      </c>
      <c r="D3635" s="2" t="str">
        <f t="shared" si="55"/>
        <v>Error?</v>
      </c>
    </row>
    <row r="3636" spans="1:4" x14ac:dyDescent="0.2">
      <c r="A3636" s="5">
        <v>3575</v>
      </c>
      <c r="B3636" s="138">
        <f>'Expenditures 15-22'!E367</f>
        <v>17800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17800</v>
      </c>
      <c r="C3669" s="2" t="s">
        <v>594</v>
      </c>
      <c r="D3669" s="2" t="str">
        <f t="shared" si="56"/>
        <v>Error?</v>
      </c>
    </row>
    <row r="3670" spans="1:4" x14ac:dyDescent="0.2">
      <c r="A3670" s="5">
        <v>3609</v>
      </c>
      <c r="B3670" s="138">
        <f>'Expenditures 15-22'!K350</f>
        <v>17800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17800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17800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11761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2957484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14860577</v>
      </c>
      <c r="C4122" s="2" t="s">
        <v>594</v>
      </c>
      <c r="D4122" s="2" t="str">
        <f t="shared" si="63"/>
        <v>Error?</v>
      </c>
    </row>
    <row r="4123" spans="1:4" x14ac:dyDescent="0.2">
      <c r="A4123" s="5">
        <v>4062</v>
      </c>
      <c r="B4123" s="138">
        <f>'Acct Summary 7-8'!D10</f>
        <v>1316298</v>
      </c>
      <c r="C4123" s="2" t="s">
        <v>594</v>
      </c>
      <c r="D4123" s="2" t="str">
        <f t="shared" si="63"/>
        <v>Error?</v>
      </c>
    </row>
    <row r="4124" spans="1:4" x14ac:dyDescent="0.2">
      <c r="A4124" s="5">
        <v>4063</v>
      </c>
      <c r="B4124" s="138">
        <f>'Acct Summary 7-8'!E10</f>
        <v>571370</v>
      </c>
      <c r="C4124" s="2" t="s">
        <v>594</v>
      </c>
      <c r="D4124" s="2" t="str">
        <f t="shared" si="63"/>
        <v>Error?</v>
      </c>
    </row>
    <row r="4125" spans="1:4" x14ac:dyDescent="0.2">
      <c r="A4125" s="5">
        <v>4064</v>
      </c>
      <c r="B4125" s="138">
        <f>'Acct Summary 7-8'!F10</f>
        <v>1070517</v>
      </c>
      <c r="C4125" s="2" t="s">
        <v>594</v>
      </c>
      <c r="D4125" s="2" t="str">
        <f t="shared" si="63"/>
        <v>Error?</v>
      </c>
    </row>
    <row r="4126" spans="1:4" x14ac:dyDescent="0.2">
      <c r="A4126" s="5">
        <v>4065</v>
      </c>
      <c r="B4126" s="138">
        <f>'Acct Summary 7-8'!G10</f>
        <v>511824</v>
      </c>
      <c r="C4126" s="2" t="s">
        <v>594</v>
      </c>
      <c r="D4126" s="2" t="str">
        <f t="shared" si="63"/>
        <v>Error?</v>
      </c>
    </row>
    <row r="4127" spans="1:4" x14ac:dyDescent="0.2">
      <c r="A4127" s="5">
        <v>4066</v>
      </c>
      <c r="B4127" s="138">
        <f>'Acct Summary 7-8'!H10</f>
        <v>196582</v>
      </c>
      <c r="C4127" s="2" t="s">
        <v>594</v>
      </c>
      <c r="D4127" s="2" t="str">
        <f t="shared" si="63"/>
        <v>Error?</v>
      </c>
    </row>
    <row r="4128" spans="1:4" x14ac:dyDescent="0.2">
      <c r="A4128" s="5">
        <v>4067</v>
      </c>
      <c r="B4128" s="138">
        <f>'Acct Summary 7-8'!I10</f>
        <v>4213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29561</v>
      </c>
      <c r="C4130" s="2" t="s">
        <v>594</v>
      </c>
      <c r="D4130" s="2" t="str">
        <f t="shared" si="63"/>
        <v>Error?</v>
      </c>
    </row>
    <row r="4131" spans="1:4" x14ac:dyDescent="0.2">
      <c r="A4131" s="5">
        <v>4070</v>
      </c>
      <c r="B4131" s="138">
        <f>'Acct Summary 7-8'!C18</f>
        <v>2957484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13852134</v>
      </c>
      <c r="C4136" s="2" t="s">
        <v>594</v>
      </c>
      <c r="D4136" s="2" t="str">
        <f t="shared" si="63"/>
        <v>Error?</v>
      </c>
    </row>
    <row r="4137" spans="1:4" x14ac:dyDescent="0.2">
      <c r="A4137" s="5">
        <v>4076</v>
      </c>
      <c r="B4137" s="138">
        <f>'Acct Summary 7-8'!D19</f>
        <v>947191</v>
      </c>
      <c r="C4137" s="2" t="s">
        <v>594</v>
      </c>
      <c r="D4137" s="2" t="str">
        <f t="shared" si="63"/>
        <v>Error?</v>
      </c>
    </row>
    <row r="4138" spans="1:4" x14ac:dyDescent="0.2">
      <c r="A4138" s="5">
        <v>4077</v>
      </c>
      <c r="B4138" s="138">
        <f>'Acct Summary 7-8'!E19</f>
        <v>661529</v>
      </c>
      <c r="C4138" s="2" t="s">
        <v>594</v>
      </c>
      <c r="D4138" s="2" t="str">
        <f t="shared" si="63"/>
        <v>Error?</v>
      </c>
    </row>
    <row r="4139" spans="1:4" x14ac:dyDescent="0.2">
      <c r="A4139" s="5">
        <v>4078</v>
      </c>
      <c r="B4139" s="138">
        <f>'Acct Summary 7-8'!F19</f>
        <v>961209</v>
      </c>
      <c r="C4139" s="2" t="s">
        <v>594</v>
      </c>
      <c r="D4139" s="2" t="str">
        <f t="shared" si="63"/>
        <v>Error?</v>
      </c>
    </row>
    <row r="4140" spans="1:4" x14ac:dyDescent="0.2">
      <c r="A4140" s="5">
        <v>4079</v>
      </c>
      <c r="B4140" s="138">
        <f>'Acct Summary 7-8'!G19</f>
        <v>314831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17800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3179000</v>
      </c>
      <c r="C4171" s="2" t="s">
        <v>594</v>
      </c>
      <c r="D4171" s="2" t="str">
        <f t="shared" si="64"/>
        <v>Error?</v>
      </c>
    </row>
    <row r="4172" spans="1:4" x14ac:dyDescent="0.2">
      <c r="A4172" s="5">
        <v>4111</v>
      </c>
      <c r="B4172" s="138">
        <f>'Short-Term Long-Term Debt 24'!J49</f>
        <v>580522</v>
      </c>
      <c r="C4172" s="2" t="s">
        <v>594</v>
      </c>
      <c r="D4172" s="2" t="str">
        <f t="shared" si="64"/>
        <v>Error?</v>
      </c>
    </row>
    <row r="4173" spans="1:4" x14ac:dyDescent="0.2">
      <c r="A4173" s="5">
        <v>4112</v>
      </c>
      <c r="B4173" s="138">
        <f>'Short-Term Long-Term Debt 24'!H49</f>
        <v>505421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2960.9</v>
      </c>
      <c r="C4265" s="2" t="s">
        <v>594</v>
      </c>
      <c r="D4265" s="2" t="str">
        <f t="shared" si="65"/>
        <v>Error?</v>
      </c>
      <c r="E4265" s="128"/>
    </row>
    <row r="4266" spans="1:5" x14ac:dyDescent="0.2">
      <c r="A4266" s="12">
        <v>4205</v>
      </c>
      <c r="B4266" s="138">
        <f>('FP Info 3'!F10)*100000</f>
        <v>369.2</v>
      </c>
      <c r="C4266" s="2" t="s">
        <v>594</v>
      </c>
      <c r="D4266" s="2" t="str">
        <f t="shared" si="65"/>
        <v>Error?</v>
      </c>
      <c r="E4266" s="128"/>
    </row>
    <row r="4267" spans="1:5" x14ac:dyDescent="0.2">
      <c r="A4267" s="12">
        <v>4206</v>
      </c>
      <c r="B4267" s="138">
        <f>('FP Info 3'!H10)*100000</f>
        <v>301.3</v>
      </c>
      <c r="C4267" s="2" t="s">
        <v>594</v>
      </c>
      <c r="D4267" s="2" t="str">
        <f t="shared" si="65"/>
        <v>Error?</v>
      </c>
      <c r="E4267" s="128"/>
    </row>
    <row r="4268" spans="1:5" x14ac:dyDescent="0.2">
      <c r="A4268" s="12">
        <v>4207</v>
      </c>
      <c r="B4268" s="138">
        <f>('FP Info 3'!J10)*100000</f>
        <v>3631</v>
      </c>
      <c r="C4268" s="2" t="s">
        <v>594</v>
      </c>
      <c r="D4268" s="2" t="str">
        <f t="shared" si="65"/>
        <v>Error?</v>
      </c>
    </row>
    <row r="4269" spans="1:5" x14ac:dyDescent="0.2">
      <c r="A4269" s="12">
        <v>4208</v>
      </c>
      <c r="B4269" s="138">
        <f>'FP Info 3'!J16</f>
        <v>13517136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16860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14325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12225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8009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64081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1.0999999999999999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73702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94378841</v>
      </c>
      <c r="D4995" s="2" t="str">
        <f t="shared" si="77"/>
        <v>Error?</v>
      </c>
    </row>
    <row r="4996" spans="1:4" x14ac:dyDescent="0.2">
      <c r="A4996" s="12">
        <v>4935</v>
      </c>
      <c r="B4996" s="138">
        <f>'FP Info 3'!H31</f>
        <v>6512140.0290000001</v>
      </c>
      <c r="D4996" s="2" t="str">
        <f t="shared" si="77"/>
        <v>Error?</v>
      </c>
    </row>
    <row r="4997" spans="1:4" x14ac:dyDescent="0.2">
      <c r="A4997" s="12">
        <v>4936</v>
      </c>
      <c r="B4997" s="138">
        <f>'FP Info 3'!H37</f>
        <v>3179000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1850000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1850000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2551992</v>
      </c>
      <c r="D5061" s="2" t="str">
        <f t="shared" si="78"/>
        <v>Error?</v>
      </c>
    </row>
    <row r="5062" spans="1:4" x14ac:dyDescent="0.2">
      <c r="A5062" s="10">
        <v>5001</v>
      </c>
      <c r="D5062" s="2" t="str">
        <f t="shared" si="78"/>
        <v>OK</v>
      </c>
    </row>
    <row r="5063" spans="1:4" x14ac:dyDescent="0.2">
      <c r="A5063" s="5">
        <v>5002</v>
      </c>
      <c r="B5063" s="138">
        <f>'Revenues 9-14'!C7</f>
        <v>41063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2593055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104729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104729</v>
      </c>
      <c r="C5071" s="2" t="s">
        <v>594</v>
      </c>
      <c r="D5071" s="2" t="str">
        <f t="shared" si="78"/>
        <v>Error?</v>
      </c>
    </row>
    <row r="5072" spans="1:4" x14ac:dyDescent="0.2">
      <c r="A5072" s="5">
        <v>5011</v>
      </c>
      <c r="B5072" s="138">
        <f>'Revenues 9-14'!C20</f>
        <v>33267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33267</v>
      </c>
      <c r="C5087" s="2" t="s">
        <v>594</v>
      </c>
      <c r="D5087" s="2" t="str">
        <f t="shared" si="78"/>
        <v>Error?</v>
      </c>
    </row>
    <row r="5088" spans="1:4" x14ac:dyDescent="0.2">
      <c r="A5088" s="5">
        <v>5027</v>
      </c>
      <c r="B5088" s="138">
        <f>'Revenues 9-14'!C65</f>
        <v>62109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62109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72049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6528</v>
      </c>
      <c r="D5119" s="2" t="str">
        <f t="shared" ref="D5119:D5182" si="79">IF(ISBLANK(B5119),"OK",IF(A5119-B5119=0,"OK","Error?"))</f>
        <v>Error?</v>
      </c>
    </row>
    <row r="5120" spans="1:4" x14ac:dyDescent="0.2">
      <c r="A5120" s="5">
        <v>5059</v>
      </c>
      <c r="B5120" s="138">
        <f>'Revenues 9-14'!C108</f>
        <v>78577</v>
      </c>
      <c r="C5120" s="2" t="s">
        <v>594</v>
      </c>
      <c r="D5120" s="2" t="str">
        <f t="shared" si="79"/>
        <v>Error?</v>
      </c>
    </row>
    <row r="5121" spans="1:4" x14ac:dyDescent="0.2">
      <c r="A5121" s="5">
        <v>5060</v>
      </c>
      <c r="B5121" s="138">
        <f>'Revenues 9-14'!C109</f>
        <v>2871737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7274232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7274232</v>
      </c>
      <c r="C5132" s="2" t="s">
        <v>594</v>
      </c>
      <c r="D5132" s="2" t="str">
        <f t="shared" si="79"/>
        <v>Error?</v>
      </c>
    </row>
    <row r="5133" spans="1:4" x14ac:dyDescent="0.2">
      <c r="A5133" s="5">
        <v>5072</v>
      </c>
      <c r="B5133" s="138">
        <f>'Revenues 9-14'!C124</f>
        <v>6403</v>
      </c>
      <c r="D5133" s="2" t="str">
        <f t="shared" si="79"/>
        <v>Error?</v>
      </c>
    </row>
    <row r="5134" spans="1:4" x14ac:dyDescent="0.2">
      <c r="A5134" s="5">
        <v>5073</v>
      </c>
      <c r="B5134" s="138">
        <f>'Revenues 9-14'!C125</f>
        <v>87118</v>
      </c>
      <c r="D5134" s="2" t="str">
        <f t="shared" si="79"/>
        <v>Error?</v>
      </c>
    </row>
    <row r="5135" spans="1:4" x14ac:dyDescent="0.2">
      <c r="A5135" s="5">
        <v>5074</v>
      </c>
      <c r="B5135" s="138">
        <f>'Revenues 9-14'!C126</f>
        <v>88399</v>
      </c>
      <c r="D5135" s="2" t="str">
        <f t="shared" si="79"/>
        <v>Error?</v>
      </c>
    </row>
    <row r="5136" spans="1:4" x14ac:dyDescent="0.2">
      <c r="A5136" s="10">
        <v>5075</v>
      </c>
      <c r="D5136" s="2" t="str">
        <f t="shared" si="79"/>
        <v>OK</v>
      </c>
    </row>
    <row r="5137" spans="1:4" x14ac:dyDescent="0.2">
      <c r="A5137" s="5">
        <v>5076</v>
      </c>
      <c r="B5137" s="138">
        <f>'Revenues 9-14'!C127</f>
        <v>97332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13020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292272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34943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34943</v>
      </c>
      <c r="C5165" s="2" t="s">
        <v>594</v>
      </c>
      <c r="D5165" s="2" t="str">
        <f t="shared" si="79"/>
        <v>Error?</v>
      </c>
    </row>
    <row r="5166" spans="1:4" x14ac:dyDescent="0.2">
      <c r="A5166" s="10">
        <v>5105</v>
      </c>
      <c r="D5166" s="2" t="str">
        <f t="shared" si="79"/>
        <v>OK</v>
      </c>
    </row>
    <row r="5167" spans="1:4" x14ac:dyDescent="0.2">
      <c r="A5167" s="5">
        <v>5106</v>
      </c>
      <c r="B5167" s="138">
        <f>'Revenues 9-14'!C145</f>
        <v>11353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412270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7686502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421143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173316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636577</v>
      </c>
      <c r="C5246" s="2" t="s">
        <v>594</v>
      </c>
      <c r="D5246" s="2" t="str">
        <f t="shared" si="80"/>
        <v>Error?</v>
      </c>
    </row>
    <row r="5247" spans="1:4" x14ac:dyDescent="0.2">
      <c r="A5247" s="5">
        <v>5186</v>
      </c>
      <c r="B5247" s="138">
        <f>'Revenues 9-14'!C203</f>
        <v>592777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12225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592777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1344854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1344854</v>
      </c>
      <c r="C5326" s="2" t="s">
        <v>594</v>
      </c>
      <c r="D5326" s="2" t="str">
        <f t="shared" si="82"/>
        <v>Error?</v>
      </c>
    </row>
    <row r="5327" spans="1:4" x14ac:dyDescent="0.2">
      <c r="A5327" s="5">
        <v>5266</v>
      </c>
      <c r="B5327" s="138">
        <f>'Revenues 9-14'!C275</f>
        <v>11903093</v>
      </c>
      <c r="C5327" s="2" t="s">
        <v>594</v>
      </c>
      <c r="D5327" s="2" t="str">
        <f t="shared" si="82"/>
        <v>Error?</v>
      </c>
    </row>
    <row r="5328" spans="1:4" x14ac:dyDescent="0.2">
      <c r="A5328" s="5">
        <v>5267</v>
      </c>
      <c r="B5328" s="138">
        <f>'Revenues 9-14'!D5</f>
        <v>371160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371160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7325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7325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668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81501</v>
      </c>
      <c r="D5354" s="2" t="str">
        <f t="shared" si="82"/>
        <v>Error?</v>
      </c>
    </row>
    <row r="5355" spans="1:4" x14ac:dyDescent="0.2">
      <c r="A5355" s="5">
        <v>5294</v>
      </c>
      <c r="B5355" s="138">
        <f>'Revenues 9-14'!D108</f>
        <v>82169</v>
      </c>
      <c r="C5355" s="2" t="s">
        <v>594</v>
      </c>
      <c r="D5355" s="2" t="str">
        <f t="shared" si="82"/>
        <v>Error?</v>
      </c>
    </row>
    <row r="5356" spans="1:4" x14ac:dyDescent="0.2">
      <c r="A5356" s="5">
        <v>5295</v>
      </c>
      <c r="B5356" s="138">
        <f>'Revenues 9-14'!D109</f>
        <v>460654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855644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855644</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855644</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1316298</v>
      </c>
      <c r="C5508" s="2" t="s">
        <v>594</v>
      </c>
      <c r="D5508" s="2" t="str">
        <f t="shared" si="85"/>
        <v>Error?</v>
      </c>
    </row>
    <row r="5509" spans="1:4" x14ac:dyDescent="0.2">
      <c r="A5509" s="5">
        <v>5448</v>
      </c>
      <c r="B5509" s="138">
        <f>'Revenues 9-14'!E5</f>
        <v>373849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373849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24216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24216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173305</v>
      </c>
      <c r="C5526" s="2" t="s">
        <v>594</v>
      </c>
      <c r="D5526" s="2" t="str">
        <f t="shared" si="85"/>
        <v>Error?</v>
      </c>
    </row>
    <row r="5527" spans="1:4" x14ac:dyDescent="0.2">
      <c r="A5527" s="5">
        <v>5466</v>
      </c>
      <c r="B5527" s="138">
        <f>'Revenues 9-14'!E109</f>
        <v>571370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571370</v>
      </c>
      <c r="C5552" s="2" t="s">
        <v>594</v>
      </c>
      <c r="D5552" s="2" t="str">
        <f t="shared" si="85"/>
        <v>Error?</v>
      </c>
    </row>
    <row r="5553" spans="1:4" x14ac:dyDescent="0.2">
      <c r="A5553" s="5">
        <v>5492</v>
      </c>
      <c r="B5553" s="138">
        <f>'Revenues 9-14'!F5</f>
        <v>294557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294557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9504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9504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304061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194469</v>
      </c>
      <c r="D5615" s="2" t="str">
        <f t="shared" si="86"/>
        <v>Error?</v>
      </c>
    </row>
    <row r="5616" spans="1:4" x14ac:dyDescent="0.2">
      <c r="A5616" s="10">
        <v>5555</v>
      </c>
      <c r="D5616" s="2" t="str">
        <f t="shared" si="86"/>
        <v>OK</v>
      </c>
    </row>
    <row r="5617" spans="1:4" x14ac:dyDescent="0.2">
      <c r="A5617" s="5">
        <v>5556</v>
      </c>
      <c r="B5617" s="138">
        <f>'Revenues 9-14'!F152</f>
        <v>471987</v>
      </c>
      <c r="D5617" s="2" t="str">
        <f t="shared" si="86"/>
        <v>Error?</v>
      </c>
    </row>
    <row r="5618" spans="1:4" x14ac:dyDescent="0.2">
      <c r="A5618" s="5">
        <v>5557</v>
      </c>
      <c r="B5618" s="138">
        <f>'Revenues 9-14'!F154</f>
        <v>666456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666456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766456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1070517</v>
      </c>
      <c r="C5720" s="2" t="s">
        <v>594</v>
      </c>
      <c r="D5720" s="2" t="str">
        <f t="shared" si="88"/>
        <v>Error?</v>
      </c>
    </row>
    <row r="5721" spans="1:4" x14ac:dyDescent="0.2">
      <c r="A5721" s="5">
        <v>5660</v>
      </c>
      <c r="B5721" s="138">
        <f>'Revenues 9-14'!G5</f>
        <v>504501</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504501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7323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7323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511824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9134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9134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187448</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187448</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187448</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196582</v>
      </c>
      <c r="C5915" s="2" t="s">
        <v>594</v>
      </c>
      <c r="D5915" s="2" t="str">
        <f t="shared" si="91"/>
        <v>Error?</v>
      </c>
    </row>
    <row r="5916" spans="1:4" x14ac:dyDescent="0.2">
      <c r="A5916" s="5">
        <v>5855</v>
      </c>
      <c r="B5916" s="138">
        <f>'Revenues 9-14'!I5</f>
        <v>2730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2730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1483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1483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4213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19292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19292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5269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5269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5000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5000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5000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29561</v>
      </c>
      <c r="C6023" s="2" t="s">
        <v>594</v>
      </c>
      <c r="D6023" s="2" t="str">
        <f t="shared" si="93"/>
        <v>Error?</v>
      </c>
    </row>
    <row r="6024" spans="1:5" x14ac:dyDescent="0.2">
      <c r="A6024" s="5">
        <v>5963</v>
      </c>
      <c r="B6024" s="138">
        <f>'Revenues 9-14'!G109</f>
        <v>511824</v>
      </c>
      <c r="C6024" s="2" t="s">
        <v>594</v>
      </c>
      <c r="D6024" s="2" t="str">
        <f t="shared" si="93"/>
        <v>Error?</v>
      </c>
    </row>
    <row r="6025" spans="1:5" x14ac:dyDescent="0.2">
      <c r="A6025" s="5">
        <v>5964</v>
      </c>
      <c r="B6025" s="138">
        <f>'Revenues 9-14'!H109</f>
        <v>9134</v>
      </c>
      <c r="C6025" s="2" t="s">
        <v>594</v>
      </c>
      <c r="D6025" s="2" t="str">
        <f t="shared" si="93"/>
        <v>Error?</v>
      </c>
    </row>
    <row r="6026" spans="1:5" x14ac:dyDescent="0.2">
      <c r="A6026" s="5">
        <v>5965</v>
      </c>
      <c r="B6026" s="138">
        <f>'Revenues 9-14'!I109</f>
        <v>4213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24561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45331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932.6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616220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5283</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616220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616220</v>
      </c>
      <c r="D6216" s="2" t="str">
        <f t="shared" si="96"/>
        <v>Error?</v>
      </c>
      <c r="E6216" s="2" t="s">
        <v>199</v>
      </c>
    </row>
    <row r="6217" spans="1:5" x14ac:dyDescent="0.2">
      <c r="A6217">
        <v>6156</v>
      </c>
      <c r="B6217" s="138">
        <f>'Assets-Liab 5-6'!J4</f>
        <v>616220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476538</v>
      </c>
      <c r="D6220" s="2" t="str">
        <f t="shared" si="96"/>
        <v>Error?</v>
      </c>
      <c r="E6220" s="2" t="s">
        <v>199</v>
      </c>
    </row>
    <row r="6221" spans="1:5" x14ac:dyDescent="0.2">
      <c r="A6221">
        <v>6160</v>
      </c>
      <c r="B6221" s="138">
        <f>'Acct Summary 7-8'!J6</f>
        <v>275000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751538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751538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316583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316583</v>
      </c>
      <c r="D6229" s="2" t="str">
        <f t="shared" si="96"/>
        <v>Error?</v>
      </c>
      <c r="E6229" s="2" t="s">
        <v>199</v>
      </c>
    </row>
    <row r="6230" spans="1:5" x14ac:dyDescent="0.2">
      <c r="A6230">
        <v>6169</v>
      </c>
      <c r="B6230" s="138">
        <f>'Acct Summary 7-8'!J20</f>
        <v>434955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1850000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1850000</v>
      </c>
      <c r="D6261" s="2" t="str">
        <f t="shared" si="96"/>
        <v>Error?</v>
      </c>
      <c r="E6261" s="2" t="s">
        <v>199</v>
      </c>
    </row>
    <row r="6262" spans="1:5" x14ac:dyDescent="0.2">
      <c r="A6262">
        <v>6201</v>
      </c>
      <c r="B6262" s="138">
        <f>'Acct Summary 7-8'!J77</f>
        <v>-1850000</v>
      </c>
      <c r="D6262" s="2" t="str">
        <f t="shared" si="96"/>
        <v>Error?</v>
      </c>
      <c r="E6262" s="2" t="s">
        <v>199</v>
      </c>
    </row>
    <row r="6263" spans="1:5" x14ac:dyDescent="0.2">
      <c r="A6263">
        <v>6202</v>
      </c>
      <c r="B6263" s="138">
        <f>'Acct Summary 7-8'!J78</f>
        <v>-1415045</v>
      </c>
      <c r="D6263" s="2" t="str">
        <f t="shared" si="96"/>
        <v>Error?</v>
      </c>
      <c r="E6263" s="2" t="s">
        <v>199</v>
      </c>
    </row>
    <row r="6264" spans="1:5" x14ac:dyDescent="0.2">
      <c r="A6264">
        <v>6203</v>
      </c>
      <c r="B6264" s="138">
        <f>'Acct Summary 7-8'!J79</f>
        <v>2031265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616220</v>
      </c>
      <c r="D6266" s="2" t="str">
        <f t="shared" si="96"/>
        <v>Error?</v>
      </c>
      <c r="E6266" s="2" t="s">
        <v>199</v>
      </c>
    </row>
    <row r="6267" spans="1:5" x14ac:dyDescent="0.2">
      <c r="A6267">
        <v>6206</v>
      </c>
      <c r="B6267" s="138">
        <f>'Acct Summary 7-8'!C82</f>
        <v>2865943</v>
      </c>
      <c r="D6267" s="2" t="str">
        <f t="shared" si="96"/>
        <v>Error?</v>
      </c>
      <c r="E6267" s="2" t="s">
        <v>199</v>
      </c>
    </row>
    <row r="6268" spans="1:5" x14ac:dyDescent="0.2">
      <c r="A6268">
        <v>6207</v>
      </c>
      <c r="B6268" s="138">
        <f>'Acct Summary 7-8'!D82</f>
        <v>369107</v>
      </c>
      <c r="D6268" s="2" t="str">
        <f t="shared" si="96"/>
        <v>Error?</v>
      </c>
      <c r="E6268" s="2" t="s">
        <v>199</v>
      </c>
    </row>
    <row r="6269" spans="1:5" x14ac:dyDescent="0.2">
      <c r="A6269">
        <v>6208</v>
      </c>
      <c r="B6269" s="138">
        <f>'Acct Summary 7-8'!E82</f>
        <v>-90159</v>
      </c>
      <c r="D6269" s="2" t="str">
        <f t="shared" si="96"/>
        <v>Error?</v>
      </c>
      <c r="E6269" s="2" t="s">
        <v>199</v>
      </c>
    </row>
    <row r="6270" spans="1:5" x14ac:dyDescent="0.2">
      <c r="A6270">
        <v>6209</v>
      </c>
      <c r="B6270" s="138">
        <f>'Acct Summary 7-8'!F82</f>
        <v>109308</v>
      </c>
      <c r="D6270" s="2" t="str">
        <f t="shared" si="96"/>
        <v>Error?</v>
      </c>
      <c r="E6270" s="2" t="s">
        <v>199</v>
      </c>
    </row>
    <row r="6271" spans="1:5" x14ac:dyDescent="0.2">
      <c r="A6271">
        <v>6210</v>
      </c>
      <c r="B6271" s="138">
        <f>'Acct Summary 7-8'!G82</f>
        <v>196993</v>
      </c>
      <c r="D6271" s="2" t="str">
        <f t="shared" ref="D6271:D6334" si="97">IF(ISBLANK(B6271),"OK",IF(A6271-B6271=0,"OK","Error?"))</f>
        <v>Error?</v>
      </c>
      <c r="E6271" s="2" t="s">
        <v>199</v>
      </c>
    </row>
    <row r="6272" spans="1:5" x14ac:dyDescent="0.2">
      <c r="A6272">
        <v>6211</v>
      </c>
      <c r="B6272" s="138">
        <f>'Acct Summary 7-8'!H82</f>
        <v>196582</v>
      </c>
      <c r="D6272" s="2" t="str">
        <f t="shared" si="97"/>
        <v>Error?</v>
      </c>
      <c r="E6272" s="2" t="s">
        <v>199</v>
      </c>
    </row>
    <row r="6273" spans="1:5" x14ac:dyDescent="0.2">
      <c r="A6273">
        <v>6212</v>
      </c>
      <c r="B6273" s="138">
        <f>'Acct Summary 7-8'!I82</f>
        <v>4213</v>
      </c>
      <c r="D6273" s="2" t="str">
        <f t="shared" si="97"/>
        <v>Error?</v>
      </c>
      <c r="E6273" s="2" t="s">
        <v>199</v>
      </c>
    </row>
    <row r="6274" spans="1:5" x14ac:dyDescent="0.2">
      <c r="A6274">
        <v>6213</v>
      </c>
      <c r="B6274" s="138">
        <f>'Acct Summary 7-8'!J82</f>
        <v>-1415045</v>
      </c>
      <c r="D6274" s="2" t="str">
        <f t="shared" si="97"/>
        <v>Error?</v>
      </c>
      <c r="E6274" s="2" t="s">
        <v>199</v>
      </c>
    </row>
    <row r="6275" spans="1:5" x14ac:dyDescent="0.2">
      <c r="A6275">
        <v>6214</v>
      </c>
      <c r="B6275" s="138">
        <f>'Acct Summary 7-8'!K82</f>
        <v>11761</v>
      </c>
      <c r="D6275" s="2" t="str">
        <f t="shared" si="97"/>
        <v>Error?</v>
      </c>
      <c r="E6275" s="2" t="s">
        <v>199</v>
      </c>
    </row>
    <row r="6276" spans="1:5" x14ac:dyDescent="0.2">
      <c r="A6276">
        <v>6215</v>
      </c>
      <c r="B6276" s="138">
        <f>'Acct Summary 7-8'!C83</f>
        <v>0.25081898490680304</v>
      </c>
      <c r="D6276" s="2" t="str">
        <f t="shared" si="97"/>
        <v>Error?</v>
      </c>
      <c r="E6276" s="2" t="s">
        <v>199</v>
      </c>
    </row>
    <row r="6277" spans="1:5" x14ac:dyDescent="0.2">
      <c r="A6277">
        <v>6216</v>
      </c>
      <c r="B6277" s="138">
        <f>'Acct Summary 7-8'!D83</f>
        <v>0.47408690871912906</v>
      </c>
      <c r="D6277" s="2" t="str">
        <f t="shared" si="97"/>
        <v>Error?</v>
      </c>
      <c r="E6277" s="2" t="s">
        <v>199</v>
      </c>
    </row>
    <row r="6278" spans="1:5" x14ac:dyDescent="0.2">
      <c r="A6278">
        <v>6217</v>
      </c>
      <c r="B6278" s="138">
        <f>'Acct Summary 7-8'!E83</f>
        <v>-3.4696849463416661E-2</v>
      </c>
      <c r="D6278" s="2" t="str">
        <f t="shared" si="97"/>
        <v>Error?</v>
      </c>
      <c r="E6278" s="2" t="s">
        <v>199</v>
      </c>
    </row>
    <row r="6279" spans="1:5" x14ac:dyDescent="0.2">
      <c r="A6279">
        <v>6218</v>
      </c>
      <c r="B6279" s="138">
        <f>'Acct Summary 7-8'!F83</f>
        <v>9.7360936805530193E-2</v>
      </c>
      <c r="D6279" s="2" t="str">
        <f t="shared" si="97"/>
        <v>Error?</v>
      </c>
      <c r="E6279" s="2" t="s">
        <v>199</v>
      </c>
    </row>
    <row r="6280" spans="1:5" x14ac:dyDescent="0.2">
      <c r="A6280">
        <v>6219</v>
      </c>
      <c r="B6280" s="138">
        <f>'Acct Summary 7-8'!G83</f>
        <v>0.21625695312765872</v>
      </c>
      <c r="D6280" s="2" t="str">
        <f t="shared" si="97"/>
        <v>Error?</v>
      </c>
      <c r="E6280" s="2" t="s">
        <v>199</v>
      </c>
    </row>
    <row r="6281" spans="1:5" x14ac:dyDescent="0.2">
      <c r="A6281">
        <v>6220</v>
      </c>
      <c r="B6281" s="138">
        <f>'Acct Summary 7-8'!H83</f>
        <v>0.21589724722278661</v>
      </c>
      <c r="D6281" s="2" t="str">
        <f t="shared" si="97"/>
        <v>Error?</v>
      </c>
      <c r="E6281" s="2" t="s">
        <v>199</v>
      </c>
    </row>
    <row r="6282" spans="1:5" x14ac:dyDescent="0.2">
      <c r="A6282">
        <v>6221</v>
      </c>
      <c r="B6282" s="138">
        <f>'Acct Summary 7-8'!I83</f>
        <v>2.2229491935015801E-2</v>
      </c>
      <c r="D6282" s="2" t="str">
        <f t="shared" si="97"/>
        <v>Error?</v>
      </c>
      <c r="E6282" s="2" t="s">
        <v>199</v>
      </c>
    </row>
    <row r="6283" spans="1:5" x14ac:dyDescent="0.2">
      <c r="A6283">
        <v>6222</v>
      </c>
      <c r="B6283" s="138">
        <f>'Acct Summary 7-8'!J83</f>
        <v>-2.2963308558631659</v>
      </c>
      <c r="D6283" s="2" t="str">
        <f t="shared" si="97"/>
        <v>Error?</v>
      </c>
      <c r="E6283" s="2" t="s">
        <v>199</v>
      </c>
    </row>
    <row r="6284" spans="1:5" x14ac:dyDescent="0.2">
      <c r="A6284">
        <v>6223</v>
      </c>
      <c r="B6284" s="138">
        <f>'Acct Summary 7-8'!K83</f>
        <v>1.8218516866185839E-2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459675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459675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16863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16863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173305</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476538</v>
      </c>
      <c r="D6352" s="2" t="str">
        <f t="shared" si="98"/>
        <v>Error?</v>
      </c>
      <c r="E6352" s="2" t="s">
        <v>199</v>
      </c>
    </row>
    <row r="6353" spans="1:5" x14ac:dyDescent="0.2">
      <c r="A6353">
        <v>6292</v>
      </c>
      <c r="B6353" s="138">
        <f>'Revenues 9-14'!J117</f>
        <v>275000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275000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275000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6213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6213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292122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292122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292122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298335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775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775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775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316583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775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751538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44676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44676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72589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72589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31617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31617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167701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167701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316583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316583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316583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316583</v>
      </c>
      <c r="D7224" s="2" t="str">
        <f t="shared" si="111"/>
        <v>Error?</v>
      </c>
    </row>
    <row r="7225" spans="1:4" x14ac:dyDescent="0.2">
      <c r="A7225">
        <v>7164</v>
      </c>
      <c r="B7225" s="138">
        <f>'Expenditures 15-22'!K343</f>
        <v>434955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299110</v>
      </c>
      <c r="D7624" s="2" t="str">
        <f t="shared" si="124"/>
        <v>Error?</v>
      </c>
      <c r="E7624" s="2" t="s">
        <v>19</v>
      </c>
    </row>
    <row r="7625" spans="1:5" x14ac:dyDescent="0.2">
      <c r="A7625">
        <f t="shared" si="123"/>
        <v>7564</v>
      </c>
      <c r="B7625" s="138">
        <f>'Cap Outlay Deprec 26'!I17</f>
        <v>29911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958057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42118</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2239399.8600000003</v>
      </c>
      <c r="D7797" s="2" t="str">
        <f t="shared" si="127"/>
        <v>Error?</v>
      </c>
      <c r="E7797" s="4" t="s">
        <v>2020</v>
      </c>
    </row>
    <row r="7798" spans="1:5" x14ac:dyDescent="0.2">
      <c r="A7798">
        <v>7737</v>
      </c>
      <c r="B7798" s="138">
        <f>'Contracts Paid in CY 29'!F141</f>
        <v>375000</v>
      </c>
      <c r="D7798" s="2" t="str">
        <f t="shared" si="127"/>
        <v>Error?</v>
      </c>
      <c r="E7798" s="4" t="s">
        <v>2020</v>
      </c>
    </row>
    <row r="7799" spans="1:5" x14ac:dyDescent="0.2">
      <c r="A7799">
        <v>7738</v>
      </c>
      <c r="B7799" s="138">
        <f>'Contracts Paid in CY 29'!G141</f>
        <v>1864399.86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B48" sqref="B4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Calumet Public SD 132</v>
      </c>
      <c r="B7" s="2401"/>
      <c r="C7" s="2401"/>
      <c r="D7" s="2438"/>
      <c r="E7" s="2439">
        <f>COVER!A13</f>
        <v>7016132002</v>
      </c>
      <c r="F7" s="2440"/>
      <c r="G7" s="2407" t="str">
        <f>COVER!T23</f>
        <v>065-033233</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Lauterbach &amp; Amen, LLP</v>
      </c>
      <c r="H9" s="2414"/>
      <c r="I9" s="2414"/>
      <c r="J9" s="2414"/>
      <c r="K9" s="2414"/>
      <c r="L9" s="2415"/>
    </row>
    <row r="10" spans="1:29" ht="13.5" customHeight="1" x14ac:dyDescent="0.2">
      <c r="A10" s="2397" t="str">
        <f>COVER!A38</f>
        <v>Dr. Elizabeth H. Reynolds</v>
      </c>
      <c r="B10" s="2398"/>
      <c r="C10" s="2398"/>
      <c r="D10" s="2398"/>
      <c r="E10" s="2398"/>
      <c r="F10" s="2399"/>
      <c r="G10" s="2413" t="str">
        <f>COVER!T17</f>
        <v>668 N. River Road</v>
      </c>
      <c r="H10" s="2426"/>
      <c r="I10" s="2426"/>
      <c r="J10" s="2426"/>
      <c r="K10" s="2426"/>
      <c r="L10" s="2427"/>
    </row>
    <row r="11" spans="1:29" ht="13.5" customHeight="1" x14ac:dyDescent="0.2">
      <c r="A11" s="1185" t="s">
        <v>1599</v>
      </c>
      <c r="B11" s="1186"/>
      <c r="C11" s="1187"/>
      <c r="D11" s="1192"/>
      <c r="E11" s="1187"/>
      <c r="F11" s="1191"/>
      <c r="G11" s="2413" t="str">
        <f>COVER!T19</f>
        <v>Naperville</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mberan@lauterbachamen.com</v>
      </c>
      <c r="J13" s="2435"/>
      <c r="K13" s="2435"/>
      <c r="L13" s="2436"/>
    </row>
    <row r="14" spans="1:29" ht="13.5" customHeight="1" x14ac:dyDescent="0.2">
      <c r="A14" s="2413" t="str">
        <f>COVER!A19</f>
        <v>1440 W. Vermont Street</v>
      </c>
      <c r="B14" s="2426"/>
      <c r="C14" s="2426"/>
      <c r="D14" s="2426"/>
      <c r="E14" s="2426"/>
      <c r="F14" s="2427"/>
      <c r="G14" s="1196" t="s">
        <v>1247</v>
      </c>
      <c r="H14" s="1194"/>
      <c r="I14" s="1194"/>
      <c r="J14" s="1194"/>
      <c r="K14" s="1194"/>
      <c r="L14" s="1195"/>
    </row>
    <row r="15" spans="1:29" ht="13.5" customHeight="1" x14ac:dyDescent="0.2">
      <c r="A15" s="2413" t="str">
        <f>COVER!A21</f>
        <v>Calumet Park</v>
      </c>
      <c r="B15" s="2426"/>
      <c r="C15" s="2426"/>
      <c r="D15" s="2426"/>
      <c r="E15" s="2426"/>
      <c r="F15" s="2427"/>
      <c r="G15" s="2423" t="str">
        <f>COVER!T15</f>
        <v>Matt Beran</v>
      </c>
      <c r="H15" s="2424"/>
      <c r="I15" s="2424"/>
      <c r="J15" s="2424"/>
      <c r="K15" s="2424"/>
      <c r="L15" s="2425"/>
    </row>
    <row r="16" spans="1:29" ht="12.2" customHeight="1" x14ac:dyDescent="0.2">
      <c r="A16" s="2403">
        <f>COVER!A25</f>
        <v>60827</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f>COVER!T21</f>
        <v>6303931483</v>
      </c>
      <c r="H18" s="2401"/>
      <c r="I18" s="2401"/>
      <c r="J18" s="2401"/>
      <c r="K18" s="2400">
        <f>COVER!X21</f>
        <v>6303932516</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2098</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2" zoomScale="125" zoomScaleNormal="125" workbookViewId="0">
      <selection activeCell="I139" sqref="I13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Calumet Public SD 132</v>
      </c>
      <c r="B1" s="2437"/>
      <c r="C1" s="2437"/>
      <c r="D1" s="2437"/>
    </row>
    <row r="2" spans="1:11" s="1215" customFormat="1" ht="12.75" x14ac:dyDescent="0.2">
      <c r="A2" s="2442">
        <f>'Single Audit Cover'!E7</f>
        <v>7016132002</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2077</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2077</v>
      </c>
      <c r="C42" s="1232">
        <v>11</v>
      </c>
      <c r="D42" s="1243" t="s">
        <v>1655</v>
      </c>
      <c r="E42" s="312"/>
    </row>
    <row r="43" spans="1:5" ht="3" customHeight="1" x14ac:dyDescent="0.2">
      <c r="A43" s="1222"/>
      <c r="B43" s="1239"/>
      <c r="C43" s="1240"/>
      <c r="D43" s="1221"/>
    </row>
    <row r="44" spans="1:5" x14ac:dyDescent="0.2">
      <c r="A44" s="1222"/>
      <c r="B44" s="1225" t="s">
        <v>2099</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2100</v>
      </c>
      <c r="C48" s="1226">
        <f>C44+1</f>
        <v>13</v>
      </c>
      <c r="D48" s="1237" t="s">
        <v>1656</v>
      </c>
    </row>
    <row r="49" spans="1:4" ht="3" customHeight="1" x14ac:dyDescent="0.2">
      <c r="A49" s="1222"/>
      <c r="B49" s="1229"/>
      <c r="C49" s="1226"/>
      <c r="D49" s="1237"/>
    </row>
    <row r="50" spans="1:4" x14ac:dyDescent="0.2">
      <c r="A50" s="1222"/>
      <c r="B50" s="1225" t="s">
        <v>2100</v>
      </c>
      <c r="C50" s="1226">
        <f>C48+1</f>
        <v>14</v>
      </c>
      <c r="D50" s="1237" t="s">
        <v>1274</v>
      </c>
    </row>
    <row r="51" spans="1:4" ht="3" customHeight="1" x14ac:dyDescent="0.2">
      <c r="A51" s="1222"/>
      <c r="B51" s="1229"/>
      <c r="C51" s="1226"/>
      <c r="D51" s="1237"/>
    </row>
    <row r="52" spans="1:4" x14ac:dyDescent="0.2">
      <c r="A52" s="1222"/>
      <c r="B52" s="1225" t="s">
        <v>2100</v>
      </c>
      <c r="C52" s="1226">
        <f>C50+1</f>
        <v>15</v>
      </c>
      <c r="D52" s="1237" t="s">
        <v>1273</v>
      </c>
    </row>
    <row r="53" spans="1:4" ht="3" customHeight="1" x14ac:dyDescent="0.2">
      <c r="A53" s="1222"/>
      <c r="B53" s="1229"/>
      <c r="C53" s="1226"/>
      <c r="D53" s="1237"/>
    </row>
    <row r="54" spans="1:4" x14ac:dyDescent="0.2">
      <c r="A54" s="1222"/>
      <c r="B54" s="1225" t="s">
        <v>2100</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t="s">
        <v>2077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2100</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2077</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2100</v>
      </c>
      <c r="C91" s="1226">
        <f>C89+1</f>
        <v>27</v>
      </c>
      <c r="D91" s="1237" t="s">
        <v>1822</v>
      </c>
    </row>
    <row r="92" spans="1:4" x14ac:dyDescent="0.2">
      <c r="A92" s="1222"/>
      <c r="B92" s="1250"/>
      <c r="C92" s="1244" t="s">
        <v>2100</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2077</v>
      </c>
      <c r="C106" s="1226">
        <f>C102+1</f>
        <v>32</v>
      </c>
      <c r="D106" s="1221" t="s">
        <v>1661</v>
      </c>
    </row>
    <row r="107" spans="1:4" ht="3" customHeight="1" x14ac:dyDescent="0.2">
      <c r="A107" s="1222"/>
      <c r="B107" s="1229"/>
      <c r="C107" s="1226"/>
      <c r="D107" s="1221"/>
    </row>
    <row r="108" spans="1:4" x14ac:dyDescent="0.2">
      <c r="A108" s="1222"/>
      <c r="B108" s="1225" t="s">
        <v>2077</v>
      </c>
      <c r="C108" s="1226">
        <v>33</v>
      </c>
      <c r="D108" s="1221" t="s">
        <v>1826</v>
      </c>
    </row>
    <row r="109" spans="1:4" ht="3" customHeight="1" x14ac:dyDescent="0.2">
      <c r="A109" s="1222"/>
      <c r="B109" s="1229"/>
      <c r="C109" s="1226"/>
      <c r="D109" s="1221"/>
    </row>
    <row r="110" spans="1:4" x14ac:dyDescent="0.2">
      <c r="A110" s="1222"/>
      <c r="B110" s="1225" t="s">
        <v>2100</v>
      </c>
      <c r="C110" s="1226">
        <f>C108+1</f>
        <v>34</v>
      </c>
      <c r="D110" s="1221" t="s">
        <v>1260</v>
      </c>
    </row>
    <row r="111" spans="1:4" ht="3" customHeight="1" x14ac:dyDescent="0.2">
      <c r="A111" s="1222"/>
      <c r="B111" s="1229"/>
      <c r="C111" s="1226"/>
      <c r="D111" s="1221"/>
    </row>
    <row r="112" spans="1:4" x14ac:dyDescent="0.2">
      <c r="A112" s="1222"/>
      <c r="B112" s="1225" t="s">
        <v>2100</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2100</v>
      </c>
      <c r="C115" s="1226">
        <f>C112+1</f>
        <v>36</v>
      </c>
      <c r="D115" s="1237" t="s">
        <v>1257</v>
      </c>
    </row>
    <row r="116" spans="1:4" ht="3" customHeight="1" x14ac:dyDescent="0.2">
      <c r="A116" s="1222"/>
      <c r="B116" s="1229"/>
      <c r="C116" s="1226"/>
      <c r="D116" s="1237"/>
    </row>
    <row r="117" spans="1:4" x14ac:dyDescent="0.2">
      <c r="A117" s="1222"/>
      <c r="B117" s="1225" t="s">
        <v>2100</v>
      </c>
      <c r="C117" s="1226">
        <f>C115+1</f>
        <v>37</v>
      </c>
      <c r="D117" s="1237" t="s">
        <v>1827</v>
      </c>
    </row>
    <row r="118" spans="1:4" ht="3" customHeight="1" x14ac:dyDescent="0.2">
      <c r="A118" s="1222"/>
      <c r="B118" s="1229"/>
      <c r="C118" s="1226"/>
      <c r="D118" s="1237"/>
    </row>
    <row r="119" spans="1:4" x14ac:dyDescent="0.2">
      <c r="A119" s="1222"/>
      <c r="B119" s="1225" t="s">
        <v>2100</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2100</v>
      </c>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Calumet Public SD 132</v>
      </c>
      <c r="B1" s="2445"/>
      <c r="C1" s="2445"/>
      <c r="D1" s="2445"/>
      <c r="E1" s="2445"/>
    </row>
    <row r="2" spans="1:5" x14ac:dyDescent="0.2">
      <c r="A2" s="2446">
        <f>'Single Audit Cover'!E7</f>
        <v>7016132002</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1344854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45331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-14325</v>
      </c>
    </row>
    <row r="19" spans="1:4" ht="13.5" thickBot="1" x14ac:dyDescent="0.25">
      <c r="A19" s="1265" t="s">
        <v>1297</v>
      </c>
      <c r="D19" s="1266">
        <f>SUM(D10:D17)</f>
        <v>1375860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1375860</v>
      </c>
    </row>
    <row r="33" spans="1:4" x14ac:dyDescent="0.2">
      <c r="D33" s="1269"/>
    </row>
    <row r="34" spans="1:4" x14ac:dyDescent="0.2">
      <c r="A34" s="317" t="s">
        <v>1294</v>
      </c>
    </row>
    <row r="35" spans="1:4" x14ac:dyDescent="0.2">
      <c r="A35" s="317" t="s">
        <v>1293</v>
      </c>
      <c r="B35" s="1258" t="s">
        <v>1292</v>
      </c>
      <c r="D35" s="1270">
        <v>1375860</v>
      </c>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1375860</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Calumet Public SD 132</v>
      </c>
      <c r="B1" s="2450"/>
      <c r="C1" s="2450"/>
      <c r="D1" s="2450"/>
      <c r="E1" s="2450"/>
      <c r="F1" s="2450"/>
    </row>
    <row r="2" spans="1:7" ht="13.5" customHeight="1" x14ac:dyDescent="0.2">
      <c r="A2" s="2451">
        <f>'Single Audit Cover'!E7</f>
        <v>7016132002</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t="s">
        <v>2077</v>
      </c>
      <c r="D10" s="1280" t="s">
        <v>1629</v>
      </c>
      <c r="E10" s="1281"/>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67" t="s">
        <v>1332</v>
      </c>
      <c r="D15" s="2455" t="s">
        <v>1331</v>
      </c>
      <c r="E15" s="2455"/>
      <c r="F15" s="2455"/>
    </row>
    <row r="16" spans="1:7" ht="13.5" customHeight="1" x14ac:dyDescent="0.2">
      <c r="A16" s="1282"/>
      <c r="B16" s="1276" t="s">
        <v>1330</v>
      </c>
      <c r="C16" s="1867"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4"/>
      <c r="D30" s="1924"/>
      <c r="E30" s="1286"/>
    </row>
    <row r="31" spans="1:6" ht="12" customHeight="1" x14ac:dyDescent="0.2">
      <c r="A31" s="1287" t="s">
        <v>1630</v>
      </c>
      <c r="B31" s="328"/>
      <c r="C31" s="1474"/>
      <c r="D31" s="1924"/>
      <c r="E31" s="1286"/>
    </row>
    <row r="32" spans="1:6" ht="30" customHeight="1" x14ac:dyDescent="0.2">
      <c r="A32" s="2458" t="s">
        <v>1835</v>
      </c>
      <c r="B32" s="2458"/>
      <c r="C32" s="2458"/>
      <c r="D32" s="2458"/>
      <c r="E32" s="2458"/>
      <c r="F32" s="2458"/>
    </row>
    <row r="33" spans="1:6" ht="13.5" customHeight="1" x14ac:dyDescent="0.2">
      <c r="A33" s="328" t="s">
        <v>1509</v>
      </c>
      <c r="B33" s="328"/>
      <c r="C33" s="1288">
        <v>45331</v>
      </c>
      <c r="D33" s="1924"/>
      <c r="E33" s="1286"/>
    </row>
    <row r="34" spans="1:6" ht="13.5" customHeight="1" x14ac:dyDescent="0.2">
      <c r="A34" s="328" t="s">
        <v>1949</v>
      </c>
      <c r="B34" s="328"/>
      <c r="C34" s="1289">
        <v>0</v>
      </c>
      <c r="D34" s="1924" t="s">
        <v>1671</v>
      </c>
      <c r="E34" s="2459">
        <f>+C33+C34</f>
        <v>45331</v>
      </c>
      <c r="F34" s="2460"/>
    </row>
    <row r="35" spans="1:6" ht="12" customHeight="1" x14ac:dyDescent="0.2">
      <c r="A35" s="328"/>
      <c r="B35" s="328"/>
      <c r="C35" s="1925"/>
      <c r="D35" s="1924"/>
      <c r="E35" s="1290"/>
      <c r="F35" s="1291"/>
    </row>
    <row r="36" spans="1:6" ht="13.5" customHeight="1" x14ac:dyDescent="0.2">
      <c r="A36" s="1287" t="s">
        <v>1631</v>
      </c>
      <c r="B36" s="328"/>
      <c r="C36" s="1474"/>
      <c r="D36" s="1924"/>
      <c r="E36" s="1286"/>
    </row>
    <row r="37" spans="1:6" ht="14.25" customHeight="1" x14ac:dyDescent="0.2">
      <c r="A37" s="328" t="s">
        <v>1563</v>
      </c>
      <c r="B37" s="328"/>
      <c r="C37" s="1926"/>
      <c r="D37" s="1924"/>
      <c r="E37" s="1286"/>
    </row>
    <row r="38" spans="1:6" ht="14.25" customHeight="1" x14ac:dyDescent="0.2">
      <c r="A38" s="328"/>
      <c r="B38" s="328" t="s">
        <v>1510</v>
      </c>
      <c r="C38" s="1292"/>
      <c r="D38" s="1924"/>
      <c r="E38" s="1286"/>
    </row>
    <row r="39" spans="1:6" ht="14.25" customHeight="1" x14ac:dyDescent="0.2">
      <c r="A39" s="328"/>
      <c r="B39" s="328" t="s">
        <v>1511</v>
      </c>
      <c r="C39" s="1292"/>
      <c r="D39" s="1924"/>
      <c r="E39" s="1286"/>
    </row>
    <row r="40" spans="1:6" ht="14.25" customHeight="1" x14ac:dyDescent="0.2">
      <c r="A40" s="328"/>
      <c r="B40" s="328" t="s">
        <v>1512</v>
      </c>
      <c r="C40" s="1292"/>
      <c r="D40" s="1924"/>
      <c r="E40" s="1286"/>
    </row>
    <row r="41" spans="1:6" ht="14.25" customHeight="1" x14ac:dyDescent="0.2">
      <c r="A41" s="328"/>
      <c r="B41" s="328" t="s">
        <v>1513</v>
      </c>
      <c r="C41" s="1292"/>
      <c r="D41" s="1924"/>
      <c r="E41" s="1286"/>
    </row>
    <row r="42" spans="1:6" ht="14.25" customHeight="1" x14ac:dyDescent="0.2">
      <c r="A42" s="328" t="s">
        <v>1514</v>
      </c>
      <c r="B42" s="328"/>
      <c r="C42" s="1922"/>
      <c r="D42" s="1924"/>
      <c r="E42" s="1286"/>
    </row>
    <row r="43" spans="1:6" ht="14.25" customHeight="1" x14ac:dyDescent="0.2">
      <c r="A43" s="328" t="s">
        <v>1515</v>
      </c>
      <c r="B43" s="328"/>
      <c r="C43" s="1293"/>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5"/>
    </row>
    <row r="50" spans="1:5" s="1300" customFormat="1" ht="3.75" customHeight="1" x14ac:dyDescent="0.2">
      <c r="A50" s="1299"/>
      <c r="B50" s="1866"/>
      <c r="C50" s="1866"/>
      <c r="D50" s="1866"/>
      <c r="E50" s="1395"/>
    </row>
    <row r="51" spans="1:5" s="1300" customFormat="1" ht="20.25" customHeight="1" x14ac:dyDescent="0.2">
      <c r="A51" s="1301">
        <v>6</v>
      </c>
      <c r="B51" s="2457" t="s">
        <v>1632</v>
      </c>
      <c r="C51" s="2457"/>
      <c r="D51" s="2457"/>
    </row>
    <row r="52" spans="1:5" ht="14.25" customHeight="1" x14ac:dyDescent="0.2">
      <c r="A52" s="1301"/>
      <c r="B52" s="2457"/>
      <c r="C52" s="2457"/>
      <c r="D52" s="245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9"/>
  <sheetViews>
    <sheetView showGridLines="0" zoomScaleNormal="100" workbookViewId="0">
      <selection activeCell="E14" sqref="E1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Calumet Public SD 132</v>
      </c>
      <c r="C1" s="2462"/>
      <c r="D1" s="2462"/>
      <c r="E1" s="2462"/>
      <c r="F1" s="2462"/>
      <c r="G1" s="2462"/>
      <c r="H1" s="2462"/>
      <c r="I1" s="2462"/>
      <c r="J1" s="2462"/>
      <c r="K1" s="2462"/>
      <c r="L1" s="2462"/>
      <c r="M1" s="2462"/>
    </row>
    <row r="2" spans="2:14" ht="15" x14ac:dyDescent="0.2">
      <c r="B2" s="2451">
        <f>'Single Audit Cover'!E7</f>
        <v>7016132002</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2" t="s">
        <v>2102</v>
      </c>
      <c r="C11" s="1338"/>
      <c r="D11" s="1339"/>
      <c r="E11" s="1340"/>
      <c r="F11" s="1340"/>
      <c r="G11" s="1340"/>
      <c r="H11" s="1340"/>
      <c r="I11" s="1340"/>
      <c r="J11" s="1340"/>
      <c r="K11" s="1340"/>
      <c r="L11" s="1340">
        <f>+G11+I11+K11</f>
        <v>0</v>
      </c>
      <c r="M11" s="1340"/>
    </row>
    <row r="12" spans="2:14" ht="20.100000000000001" customHeight="1" x14ac:dyDescent="0.2">
      <c r="B12" s="1953" t="s">
        <v>2103</v>
      </c>
      <c r="C12" s="1341"/>
      <c r="D12" s="1342"/>
      <c r="E12" s="1343"/>
      <c r="F12" s="1343"/>
      <c r="G12" s="1343"/>
      <c r="H12" s="1343"/>
      <c r="I12" s="1343"/>
      <c r="J12" s="1343"/>
      <c r="K12" s="1343"/>
      <c r="L12" s="1340">
        <f t="shared" ref="L12:L27" si="0">+G12+I12+K12</f>
        <v>0</v>
      </c>
      <c r="M12" s="1343"/>
    </row>
    <row r="13" spans="2:14" ht="20.100000000000001" customHeight="1" x14ac:dyDescent="0.2">
      <c r="B13" s="1954" t="s">
        <v>1119</v>
      </c>
      <c r="C13" s="1341">
        <v>10.553000000000001</v>
      </c>
      <c r="D13" s="1342" t="s">
        <v>2104</v>
      </c>
      <c r="E13" s="1343">
        <v>153059</v>
      </c>
      <c r="F13" s="1343">
        <v>38233</v>
      </c>
      <c r="G13" s="1343">
        <v>153059</v>
      </c>
      <c r="H13" s="1343"/>
      <c r="I13" s="1343">
        <v>38233</v>
      </c>
      <c r="J13" s="1343"/>
      <c r="K13" s="1343"/>
      <c r="L13" s="1340">
        <f>+G13+I13+K13</f>
        <v>191292</v>
      </c>
      <c r="M13" s="1343"/>
    </row>
    <row r="14" spans="2:14" ht="20.100000000000001" customHeight="1" x14ac:dyDescent="0.2">
      <c r="B14" s="1954" t="s">
        <v>1119</v>
      </c>
      <c r="C14" s="1341">
        <v>10.553000000000001</v>
      </c>
      <c r="D14" s="1342" t="s">
        <v>2105</v>
      </c>
      <c r="E14" s="1343"/>
      <c r="F14" s="1343">
        <v>135083</v>
      </c>
      <c r="G14" s="1343"/>
      <c r="H14" s="1343"/>
      <c r="I14" s="1343">
        <v>135083</v>
      </c>
      <c r="J14" s="1343"/>
      <c r="K14" s="1343"/>
      <c r="L14" s="1340">
        <f>+G14+I14+K14</f>
        <v>135083</v>
      </c>
      <c r="M14" s="1343"/>
    </row>
    <row r="15" spans="2:14" ht="20.100000000000001" customHeight="1" x14ac:dyDescent="0.2">
      <c r="B15" s="1954" t="s">
        <v>1118</v>
      </c>
      <c r="C15" s="1341">
        <v>10.555</v>
      </c>
      <c r="D15" s="1342" t="s">
        <v>2106</v>
      </c>
      <c r="E15" s="1343">
        <v>404712</v>
      </c>
      <c r="F15" s="1343">
        <v>83473</v>
      </c>
      <c r="G15" s="1343">
        <v>404712</v>
      </c>
      <c r="H15" s="1343"/>
      <c r="I15" s="1343">
        <v>83473</v>
      </c>
      <c r="J15" s="1343"/>
      <c r="K15" s="1343"/>
      <c r="L15" s="1340">
        <f>+G15+I15+K15</f>
        <v>488185</v>
      </c>
      <c r="M15" s="1343"/>
    </row>
    <row r="16" spans="2:14" ht="20.100000000000001" customHeight="1" x14ac:dyDescent="0.2">
      <c r="B16" s="1954" t="s">
        <v>1118</v>
      </c>
      <c r="C16" s="1341">
        <v>10.555</v>
      </c>
      <c r="D16" s="1342" t="s">
        <v>2107</v>
      </c>
      <c r="E16" s="1343"/>
      <c r="F16" s="1343">
        <v>337670</v>
      </c>
      <c r="G16" s="1343"/>
      <c r="H16" s="1343"/>
      <c r="I16" s="1343">
        <v>337670</v>
      </c>
      <c r="J16" s="1343"/>
      <c r="K16" s="1343"/>
      <c r="L16" s="1340">
        <f>+G16+I16+K16</f>
        <v>337670</v>
      </c>
      <c r="M16" s="1343"/>
    </row>
    <row r="17" spans="2:14" ht="20.100000000000001" customHeight="1" x14ac:dyDescent="0.2">
      <c r="B17" s="1954" t="s">
        <v>2108</v>
      </c>
      <c r="C17" s="1341">
        <v>10.555</v>
      </c>
      <c r="D17" s="1342">
        <v>2018</v>
      </c>
      <c r="E17" s="1343"/>
      <c r="F17" s="1343">
        <v>45331</v>
      </c>
      <c r="G17" s="1343"/>
      <c r="H17" s="1343"/>
      <c r="I17" s="1343">
        <v>45331</v>
      </c>
      <c r="J17" s="1343"/>
      <c r="K17" s="1343"/>
      <c r="L17" s="1340">
        <f>+G17+I17+K17</f>
        <v>45331</v>
      </c>
      <c r="M17" s="1343"/>
    </row>
    <row r="18" spans="2:14" ht="20.100000000000001" customHeight="1" x14ac:dyDescent="0.2">
      <c r="B18" s="1954" t="s">
        <v>2109</v>
      </c>
      <c r="C18" s="1341">
        <v>10.582000000000001</v>
      </c>
      <c r="D18" s="1342" t="s">
        <v>2110</v>
      </c>
      <c r="E18" s="1343">
        <v>56718</v>
      </c>
      <c r="F18" s="1343">
        <v>5328</v>
      </c>
      <c r="G18" s="1343">
        <v>56718</v>
      </c>
      <c r="H18" s="1343"/>
      <c r="I18" s="1343">
        <v>5328</v>
      </c>
      <c r="J18" s="1343"/>
      <c r="K18" s="1343"/>
      <c r="L18" s="1340">
        <f t="shared" si="0"/>
        <v>62046</v>
      </c>
      <c r="M18" s="1343"/>
    </row>
    <row r="19" spans="2:14" ht="20.100000000000001" customHeight="1" x14ac:dyDescent="0.2">
      <c r="B19" s="1954" t="s">
        <v>2109</v>
      </c>
      <c r="C19" s="1341">
        <v>10.582000000000001</v>
      </c>
      <c r="D19" s="1342" t="s">
        <v>2111</v>
      </c>
      <c r="E19" s="1343"/>
      <c r="F19" s="1343">
        <v>36790</v>
      </c>
      <c r="G19" s="1343"/>
      <c r="H19" s="1343"/>
      <c r="I19" s="1343">
        <v>36790</v>
      </c>
      <c r="J19" s="1343"/>
      <c r="K19" s="1343"/>
      <c r="L19" s="1340">
        <f t="shared" si="0"/>
        <v>36790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952" t="s">
        <v>2112</v>
      </c>
      <c r="C21" s="1341"/>
      <c r="D21" s="1342"/>
      <c r="E21" s="1343"/>
      <c r="F21" s="1343"/>
      <c r="G21" s="1343"/>
      <c r="H21" s="1343"/>
      <c r="I21" s="1343"/>
      <c r="J21" s="1343"/>
      <c r="K21" s="1343"/>
      <c r="L21" s="1340">
        <f t="shared" si="0"/>
        <v>0</v>
      </c>
      <c r="M21" s="1343"/>
    </row>
    <row r="22" spans="2:14" ht="20.100000000000001" customHeight="1" x14ac:dyDescent="0.2">
      <c r="B22" s="1953" t="s">
        <v>2103</v>
      </c>
      <c r="C22" s="1341"/>
      <c r="D22" s="1342"/>
      <c r="E22" s="1343"/>
      <c r="F22" s="1343"/>
      <c r="G22" s="1343"/>
      <c r="H22" s="1343"/>
      <c r="I22" s="1343"/>
      <c r="J22" s="1343"/>
      <c r="K22" s="1343"/>
      <c r="L22" s="1340">
        <f t="shared" si="0"/>
        <v>0</v>
      </c>
      <c r="M22" s="1343"/>
    </row>
    <row r="23" spans="2:14" ht="20.100000000000001" customHeight="1" x14ac:dyDescent="0.2">
      <c r="B23" s="1337" t="s">
        <v>2114</v>
      </c>
      <c r="C23" s="1341">
        <v>84.01</v>
      </c>
      <c r="D23" s="1342" t="s">
        <v>2113</v>
      </c>
      <c r="E23" s="1343">
        <v>628749</v>
      </c>
      <c r="F23" s="1343">
        <v>123622</v>
      </c>
      <c r="G23" s="1343">
        <v>628749</v>
      </c>
      <c r="H23" s="1343"/>
      <c r="I23" s="1343">
        <v>123622</v>
      </c>
      <c r="J23" s="1343"/>
      <c r="K23" s="1343"/>
      <c r="L23" s="1340">
        <f>+G23+I23+K23</f>
        <v>752371</v>
      </c>
      <c r="M23" s="1343"/>
    </row>
    <row r="24" spans="2:14" ht="20.100000000000001" customHeight="1" x14ac:dyDescent="0.2">
      <c r="B24" s="1337" t="s">
        <v>2114</v>
      </c>
      <c r="C24" s="1341">
        <v>84.01</v>
      </c>
      <c r="D24" s="1342" t="s">
        <v>2115</v>
      </c>
      <c r="E24" s="1343"/>
      <c r="F24" s="1343">
        <v>469155</v>
      </c>
      <c r="G24" s="1343"/>
      <c r="H24" s="1343"/>
      <c r="I24" s="1343">
        <v>469155</v>
      </c>
      <c r="J24" s="1343"/>
      <c r="K24" s="1343"/>
      <c r="L24" s="1340">
        <f t="shared" si="0"/>
        <v>469155</v>
      </c>
      <c r="M24" s="1343">
        <v>658819</v>
      </c>
    </row>
    <row r="25" spans="2:14" ht="20.100000000000001" customHeight="1" x14ac:dyDescent="0.2">
      <c r="B25" s="1337" t="s">
        <v>2116</v>
      </c>
      <c r="C25" s="1341">
        <v>84.364999999999995</v>
      </c>
      <c r="D25" s="1342" t="s">
        <v>2117</v>
      </c>
      <c r="E25" s="1343">
        <v>10599</v>
      </c>
      <c r="F25" s="1343">
        <v>279</v>
      </c>
      <c r="G25" s="1343">
        <v>10599</v>
      </c>
      <c r="H25" s="1343"/>
      <c r="I25" s="1343">
        <v>279</v>
      </c>
      <c r="J25" s="1343"/>
      <c r="K25" s="1343"/>
      <c r="L25" s="1340">
        <f t="shared" si="0"/>
        <v>10878</v>
      </c>
      <c r="M25" s="1343">
        <v>11130</v>
      </c>
    </row>
    <row r="26" spans="2:14" ht="20.100000000000001" customHeight="1" x14ac:dyDescent="0.2">
      <c r="B26" s="1337" t="s">
        <v>2116</v>
      </c>
      <c r="C26" s="1341">
        <v>84.364999999999995</v>
      </c>
      <c r="D26" s="1342" t="s">
        <v>2118</v>
      </c>
      <c r="E26" s="1343"/>
      <c r="F26" s="1343">
        <v>7730</v>
      </c>
      <c r="G26" s="1343"/>
      <c r="H26" s="1343"/>
      <c r="I26" s="1343">
        <v>7730</v>
      </c>
      <c r="J26" s="1343"/>
      <c r="K26" s="1343"/>
      <c r="L26" s="1340">
        <f t="shared" si="0"/>
        <v>7730</v>
      </c>
      <c r="M26" s="1343">
        <v>12180</v>
      </c>
    </row>
    <row r="27" spans="2:14" ht="20.100000000000001" customHeight="1" x14ac:dyDescent="0.2">
      <c r="B27" s="1337" t="s">
        <v>782</v>
      </c>
      <c r="C27" s="1341">
        <v>84.367000000000004</v>
      </c>
      <c r="D27" s="1342" t="s">
        <v>2119</v>
      </c>
      <c r="E27" s="1343">
        <v>44000</v>
      </c>
      <c r="F27" s="1343">
        <v>10181</v>
      </c>
      <c r="G27" s="1343">
        <v>44000</v>
      </c>
      <c r="H27" s="1343"/>
      <c r="I27" s="1343">
        <v>10181</v>
      </c>
      <c r="J27" s="1343"/>
      <c r="K27" s="1343"/>
      <c r="L27" s="1340">
        <f t="shared" si="0"/>
        <v>54181</v>
      </c>
      <c r="M27" s="1343"/>
      <c r="N27" s="1344"/>
    </row>
    <row r="28" spans="2:14" ht="20.100000000000001" customHeight="1" x14ac:dyDescent="0.2">
      <c r="B28" s="1337" t="s">
        <v>782</v>
      </c>
      <c r="C28" s="1341">
        <v>84.367000000000004</v>
      </c>
      <c r="D28" s="1342" t="s">
        <v>2120</v>
      </c>
      <c r="E28" s="1343"/>
      <c r="F28" s="1343">
        <v>53900</v>
      </c>
      <c r="G28" s="1343"/>
      <c r="H28" s="1343"/>
      <c r="I28" s="1343">
        <v>53900</v>
      </c>
      <c r="J28" s="1343"/>
      <c r="K28" s="1343"/>
      <c r="L28" s="1340">
        <f>+G28+I28+K28</f>
        <v>53900</v>
      </c>
      <c r="M28" s="1343">
        <v>82220</v>
      </c>
      <c r="N28" s="1344"/>
    </row>
    <row r="29" spans="2:14" ht="20.100000000000001" customHeight="1" x14ac:dyDescent="0.2">
      <c r="B29" s="1337" t="s">
        <v>2130</v>
      </c>
      <c r="C29" s="1341">
        <v>84.424000000000007</v>
      </c>
      <c r="D29" s="1342" t="s">
        <v>2121</v>
      </c>
      <c r="E29" s="1343"/>
      <c r="F29" s="1343">
        <v>12225</v>
      </c>
      <c r="G29" s="1343"/>
      <c r="H29" s="1343"/>
      <c r="I29" s="1343">
        <v>12225</v>
      </c>
      <c r="J29" s="1343"/>
      <c r="K29" s="1343"/>
      <c r="L29" s="1340">
        <f>+G29+I29+K29</f>
        <v>12225</v>
      </c>
      <c r="M29" s="1343">
        <v>21114</v>
      </c>
      <c r="N29" s="1344"/>
    </row>
    <row r="30" spans="2:14" ht="20.100000000000001" customHeight="1" x14ac:dyDescent="0.2">
      <c r="B30" s="1337"/>
      <c r="C30" s="1341"/>
      <c r="D30" s="1342"/>
      <c r="E30" s="1343"/>
      <c r="F30" s="1343"/>
      <c r="G30" s="1343"/>
      <c r="H30" s="1343"/>
      <c r="I30" s="1343"/>
      <c r="J30" s="1343"/>
      <c r="K30" s="1343"/>
      <c r="L30" s="1340"/>
      <c r="M30" s="1343"/>
      <c r="N30" s="1344"/>
    </row>
    <row r="31" spans="2:14" ht="20.100000000000001" customHeight="1" x14ac:dyDescent="0.2">
      <c r="B31" s="1952" t="s">
        <v>2122</v>
      </c>
      <c r="C31" s="1341"/>
      <c r="D31" s="1342"/>
      <c r="E31" s="1343"/>
      <c r="F31" s="1343"/>
      <c r="G31" s="1343"/>
      <c r="H31" s="1343"/>
      <c r="I31" s="1343"/>
      <c r="J31" s="1343"/>
      <c r="K31" s="1343"/>
      <c r="L31" s="1340"/>
      <c r="M31" s="1343"/>
      <c r="N31" s="1344"/>
    </row>
    <row r="32" spans="2:14" ht="23.25" customHeight="1" x14ac:dyDescent="0.2">
      <c r="B32" s="1953" t="s">
        <v>2123</v>
      </c>
      <c r="C32" s="1341"/>
      <c r="D32" s="1342"/>
      <c r="E32" s="1343"/>
      <c r="F32" s="1343"/>
      <c r="G32" s="1343"/>
      <c r="H32" s="1343"/>
      <c r="I32" s="1343"/>
      <c r="J32" s="1343"/>
      <c r="K32" s="1343"/>
      <c r="L32" s="1340"/>
      <c r="M32" s="1343"/>
      <c r="N32" s="1344"/>
    </row>
    <row r="33" spans="2:14" ht="20.100000000000001" customHeight="1" x14ac:dyDescent="0.2">
      <c r="B33" s="1954" t="s">
        <v>2124</v>
      </c>
      <c r="C33" s="1341">
        <v>93.778000000000006</v>
      </c>
      <c r="D33" s="1342" t="s">
        <v>2100</v>
      </c>
      <c r="E33" s="1343"/>
      <c r="F33" s="1343">
        <v>16860</v>
      </c>
      <c r="G33" s="1343"/>
      <c r="H33" s="1343"/>
      <c r="I33" s="1343">
        <v>16860</v>
      </c>
      <c r="J33" s="1343"/>
      <c r="K33" s="1343"/>
      <c r="L33" s="1340">
        <f>+G33+I33+K33</f>
        <v>16860</v>
      </c>
      <c r="M33" s="1343"/>
      <c r="N33" s="1344"/>
    </row>
    <row r="34" spans="2:14" ht="20.100000000000001" customHeight="1" x14ac:dyDescent="0.2">
      <c r="B34" s="1337"/>
      <c r="C34" s="1341"/>
      <c r="D34" s="1342"/>
      <c r="E34" s="1343"/>
      <c r="F34" s="1343"/>
      <c r="G34" s="1343"/>
      <c r="H34" s="1343"/>
      <c r="I34" s="1343"/>
      <c r="J34" s="1343"/>
      <c r="K34" s="1343"/>
      <c r="L34" s="1340"/>
      <c r="M34" s="1343"/>
      <c r="N34" s="1344"/>
    </row>
    <row r="35" spans="2:14" ht="12.75" customHeight="1" x14ac:dyDescent="0.2">
      <c r="B35" s="1952" t="s">
        <v>2125</v>
      </c>
      <c r="C35" s="1341"/>
      <c r="D35" s="1342"/>
      <c r="E35" s="1343"/>
      <c r="F35" s="1343">
        <f>F33+F29+F28+F27+F26+F25+F24+F23+F19+F18+F17+F16++F15+F14+F13</f>
        <v>1375860</v>
      </c>
      <c r="G35" s="1343"/>
      <c r="H35" s="1343"/>
      <c r="I35" s="1343"/>
      <c r="J35" s="1343"/>
      <c r="K35" s="1343"/>
      <c r="L35" s="1340">
        <f>L33+L29+L28+L27+L26+L25+L24+L19+L18+L17+L15+L14+L13</f>
        <v>1583656</v>
      </c>
      <c r="M35" s="1343"/>
      <c r="N35" s="1344"/>
    </row>
    <row r="36" spans="2:14" x14ac:dyDescent="0.2">
      <c r="B36" s="1337"/>
      <c r="C36" s="1341"/>
      <c r="D36" s="1342"/>
      <c r="E36" s="1343"/>
      <c r="F36" s="1343"/>
      <c r="G36" s="1343"/>
      <c r="H36" s="1343"/>
      <c r="I36" s="1343"/>
      <c r="J36" s="1343"/>
      <c r="K36" s="1343"/>
      <c r="L36" s="1340"/>
      <c r="M36" s="1343"/>
      <c r="N36" s="1344"/>
    </row>
    <row r="37" spans="2:14" ht="13.5" customHeight="1" x14ac:dyDescent="0.2">
      <c r="B37" s="1282" t="s">
        <v>1840</v>
      </c>
      <c r="C37" s="1345"/>
      <c r="D37" s="1346"/>
      <c r="E37" s="1257"/>
      <c r="F37" s="1257"/>
      <c r="G37" s="1250"/>
      <c r="H37" s="1250"/>
      <c r="I37" s="1250"/>
      <c r="J37" s="1250"/>
      <c r="K37" s="1250"/>
      <c r="L37" s="1250"/>
      <c r="M37" s="1257"/>
      <c r="N37" s="1344"/>
    </row>
    <row r="38" spans="2:14" ht="8.25" customHeight="1" x14ac:dyDescent="0.2">
      <c r="B38" s="1282"/>
      <c r="C38" s="1345"/>
      <c r="D38" s="1346"/>
      <c r="E38" s="1257"/>
      <c r="F38" s="1257"/>
      <c r="G38" s="1250"/>
      <c r="H38" s="1250"/>
      <c r="I38" s="1250"/>
      <c r="J38" s="1250"/>
      <c r="K38" s="1250"/>
      <c r="L38" s="1250"/>
      <c r="M38" s="1257"/>
      <c r="N38" s="1344"/>
    </row>
    <row r="39" spans="2:14" x14ac:dyDescent="0.2">
      <c r="B39" s="1347" t="s">
        <v>1951</v>
      </c>
      <c r="C39" s="1348"/>
      <c r="D39" s="1349"/>
      <c r="E39" s="1350"/>
      <c r="F39" s="1350"/>
      <c r="G39" s="1350"/>
      <c r="H39" s="1350"/>
      <c r="I39" s="317"/>
      <c r="J39" s="317"/>
    </row>
    <row r="40" spans="2:14" x14ac:dyDescent="0.2">
      <c r="B40" s="1277"/>
      <c r="C40" s="1351"/>
      <c r="D40" s="1352"/>
      <c r="E40" s="1278"/>
      <c r="F40" s="1278"/>
      <c r="G40" s="317"/>
      <c r="H40" s="317"/>
      <c r="I40" s="317"/>
      <c r="J40" s="317"/>
    </row>
    <row r="41" spans="2:14" ht="13.5" customHeight="1" x14ac:dyDescent="0.2">
      <c r="B41" s="1276" t="s">
        <v>1308</v>
      </c>
      <c r="G41" s="317"/>
      <c r="H41" s="317"/>
      <c r="I41" s="317"/>
      <c r="J41" s="317"/>
    </row>
    <row r="42" spans="2:14" ht="13.5" customHeight="1" x14ac:dyDescent="0.2">
      <c r="B42" s="1355"/>
      <c r="C42" s="1356"/>
      <c r="D42" s="1357"/>
      <c r="E42" s="1297"/>
      <c r="F42" s="1297"/>
      <c r="G42" s="1297"/>
      <c r="H42" s="1297"/>
      <c r="I42" s="1297"/>
      <c r="J42" s="1297"/>
      <c r="K42" s="1358"/>
      <c r="L42" s="1358"/>
      <c r="M42" s="1297"/>
    </row>
    <row r="43" spans="2:14" ht="9.6" customHeight="1" x14ac:dyDescent="0.2">
      <c r="B43" s="1359"/>
      <c r="G43" s="317"/>
      <c r="H43" s="317"/>
      <c r="I43" s="317"/>
      <c r="J43" s="317"/>
    </row>
    <row r="44" spans="2:14" ht="11.25" customHeight="1" x14ac:dyDescent="0.2">
      <c r="B44" s="1360" t="s">
        <v>1841</v>
      </c>
      <c r="C44" s="1361"/>
      <c r="D44" s="1361"/>
      <c r="E44" s="1361"/>
      <c r="F44" s="1361"/>
      <c r="G44" s="1361"/>
      <c r="H44" s="1361"/>
      <c r="I44" s="1362"/>
      <c r="J44" s="1362"/>
      <c r="K44" s="1362"/>
      <c r="L44" s="1362"/>
      <c r="M44" s="1362"/>
    </row>
    <row r="45" spans="2:14" ht="11.25" customHeight="1" x14ac:dyDescent="0.2">
      <c r="B45" s="1363" t="s">
        <v>1666</v>
      </c>
      <c r="C45" s="1362"/>
      <c r="D45" s="1362"/>
      <c r="E45" s="1362"/>
      <c r="F45" s="1362"/>
      <c r="G45" s="1362"/>
      <c r="H45" s="1362"/>
      <c r="I45" s="1362"/>
      <c r="J45" s="1362"/>
      <c r="K45" s="1362"/>
      <c r="L45" s="1362"/>
      <c r="M45" s="1362"/>
    </row>
    <row r="46" spans="2:14" ht="3.95" customHeight="1" x14ac:dyDescent="0.2">
      <c r="B46" s="1363"/>
      <c r="C46" s="1362"/>
      <c r="D46" s="1362"/>
      <c r="E46" s="1362"/>
      <c r="F46" s="1362"/>
      <c r="G46" s="1362"/>
      <c r="H46" s="1362"/>
      <c r="I46" s="1362"/>
      <c r="J46" s="1362"/>
      <c r="K46" s="1362"/>
      <c r="L46" s="1362"/>
      <c r="M46" s="1362"/>
    </row>
    <row r="47" spans="2:14" ht="11.25" customHeight="1" x14ac:dyDescent="0.2">
      <c r="B47" s="1360" t="s">
        <v>1842</v>
      </c>
      <c r="C47" s="1362"/>
      <c r="D47" s="1362"/>
      <c r="E47" s="1362"/>
      <c r="F47" s="1362"/>
      <c r="G47" s="1362"/>
      <c r="H47" s="1362"/>
      <c r="I47" s="1362"/>
      <c r="J47" s="1362"/>
      <c r="K47" s="1362"/>
      <c r="L47" s="1362"/>
      <c r="M47" s="1362"/>
    </row>
    <row r="48" spans="2:14" ht="11.25" customHeight="1" x14ac:dyDescent="0.2">
      <c r="B48" s="1300" t="s">
        <v>1667</v>
      </c>
      <c r="C48" s="1364"/>
      <c r="D48" s="1365"/>
      <c r="E48" s="1300"/>
      <c r="F48" s="1300"/>
      <c r="G48" s="1300"/>
      <c r="H48" s="1300"/>
      <c r="I48" s="1300"/>
      <c r="J48" s="1300"/>
      <c r="K48" s="1366"/>
      <c r="L48" s="1366"/>
      <c r="M48" s="1300"/>
    </row>
    <row r="49" spans="2:13" ht="3.95" customHeight="1" x14ac:dyDescent="0.2">
      <c r="B49" s="1300"/>
      <c r="C49" s="1364"/>
      <c r="D49" s="1365"/>
      <c r="E49" s="1300"/>
      <c r="F49" s="1300"/>
      <c r="G49" s="1300"/>
      <c r="H49" s="1300"/>
      <c r="I49" s="1300"/>
      <c r="J49" s="1300"/>
      <c r="K49" s="1366"/>
      <c r="L49" s="1366"/>
      <c r="M49" s="1300"/>
    </row>
    <row r="50" spans="2:13" ht="11.25" customHeight="1" x14ac:dyDescent="0.2">
      <c r="B50" s="1367" t="s">
        <v>1843</v>
      </c>
      <c r="C50" s="1364"/>
      <c r="D50" s="1365"/>
      <c r="E50" s="1300"/>
      <c r="F50" s="1300"/>
      <c r="G50" s="1300"/>
      <c r="H50" s="1300"/>
      <c r="I50" s="1300"/>
      <c r="J50" s="1300"/>
      <c r="K50" s="1366"/>
      <c r="L50" s="1366"/>
      <c r="M50" s="1300"/>
    </row>
    <row r="51" spans="2:13" ht="3.95" customHeight="1" x14ac:dyDescent="0.2">
      <c r="B51" s="1367"/>
      <c r="C51" s="1364"/>
      <c r="D51" s="1365"/>
      <c r="E51" s="1300"/>
      <c r="F51" s="1300"/>
      <c r="G51" s="1300"/>
      <c r="H51" s="1300"/>
      <c r="I51" s="1300"/>
      <c r="J51" s="1300"/>
      <c r="K51" s="1366"/>
      <c r="L51" s="1366"/>
      <c r="M51" s="1300"/>
    </row>
    <row r="52" spans="2:13" ht="11.25" customHeight="1" x14ac:dyDescent="0.2">
      <c r="B52" s="1368" t="s">
        <v>1844</v>
      </c>
      <c r="C52" s="1364"/>
      <c r="D52" s="1365"/>
      <c r="E52" s="1300"/>
      <c r="F52" s="1300"/>
      <c r="G52" s="1300"/>
      <c r="H52" s="1300"/>
      <c r="I52" s="1300"/>
      <c r="J52" s="1300"/>
      <c r="K52" s="1366"/>
      <c r="L52" s="1366"/>
      <c r="M52" s="1300"/>
    </row>
    <row r="53" spans="2:13" ht="11.25" customHeight="1" x14ac:dyDescent="0.2">
      <c r="B53" s="1300" t="s">
        <v>1668</v>
      </c>
      <c r="G53" s="317"/>
      <c r="H53" s="317"/>
      <c r="I53" s="317"/>
      <c r="J53" s="317"/>
    </row>
    <row r="54" spans="2:13" ht="11.1" customHeight="1" x14ac:dyDescent="0.2">
      <c r="B54" s="1300"/>
      <c r="G54" s="317"/>
      <c r="H54" s="317"/>
      <c r="I54" s="317"/>
      <c r="J54" s="317"/>
    </row>
    <row r="55" spans="2:13" ht="11.1" customHeight="1" x14ac:dyDescent="0.2">
      <c r="B55" s="1300"/>
      <c r="G55" s="317"/>
      <c r="H55" s="317"/>
      <c r="I55" s="317"/>
      <c r="J55" s="317"/>
    </row>
    <row r="56" spans="2:13" ht="13.5" customHeight="1" x14ac:dyDescent="0.2">
      <c r="M56" s="1369"/>
    </row>
    <row r="57" spans="2:13" ht="13.5" customHeight="1" x14ac:dyDescent="0.2">
      <c r="M57" s="1369"/>
    </row>
    <row r="58" spans="2:13" ht="13.5" customHeight="1" x14ac:dyDescent="0.2">
      <c r="M58" s="1369"/>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spans="7:10" ht="13.5" customHeight="1" x14ac:dyDescent="0.2">
      <c r="G65" s="317"/>
      <c r="H65" s="317"/>
      <c r="I65" s="317"/>
      <c r="J65" s="317"/>
    </row>
    <row r="66" spans="7:10" ht="13.5" customHeight="1" x14ac:dyDescent="0.2"/>
    <row r="67" spans="7:10" ht="13.5" customHeight="1" x14ac:dyDescent="0.2"/>
    <row r="68" spans="7:10" ht="13.5" customHeight="1" x14ac:dyDescent="0.2"/>
    <row r="69" spans="7:10" ht="25.5" customHeight="1" x14ac:dyDescent="0.2"/>
    <row r="70" spans="7:10" ht="25.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4.7" customHeight="1" x14ac:dyDescent="0.2"/>
    <row r="119" ht="12.2"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4.7" customHeight="1" x14ac:dyDescent="0.2"/>
    <row r="15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34335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2022</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6" zoomScale="110" zoomScaleNormal="110" workbookViewId="0">
      <selection activeCell="H47" sqref="H47"/>
    </sheetView>
  </sheetViews>
  <sheetFormatPr defaultColWidth="9.140625" defaultRowHeight="12.75" x14ac:dyDescent="0.2"/>
  <cols>
    <col min="1" max="1" width="1.42578125" style="1300" customWidth="1"/>
    <col min="2" max="2" width="24.42578125" style="135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Calumet Public SD 132</v>
      </c>
      <c r="C1" s="2470"/>
      <c r="D1" s="2470"/>
      <c r="E1" s="2470"/>
      <c r="F1" s="2470"/>
      <c r="G1" s="2470"/>
      <c r="H1" s="2470"/>
      <c r="I1" s="2470"/>
      <c r="J1" s="1418"/>
    </row>
    <row r="2" spans="2:10" s="317" customFormat="1" ht="12.75" customHeight="1" x14ac:dyDescent="0.2">
      <c r="B2" s="2471">
        <f>'Single Audit Cover'!E7</f>
        <v>7016132002</v>
      </c>
      <c r="C2" s="2472"/>
      <c r="D2" s="2472"/>
      <c r="E2" s="2472"/>
      <c r="F2" s="2472"/>
      <c r="G2" s="2472"/>
      <c r="H2" s="2472"/>
      <c r="I2" s="2472"/>
      <c r="J2" s="1418"/>
    </row>
    <row r="3" spans="2:10" s="317" customFormat="1" ht="12.75" customHeight="1" x14ac:dyDescent="0.2">
      <c r="B3" s="2473" t="s">
        <v>1347</v>
      </c>
      <c r="C3" s="2474"/>
      <c r="D3" s="2474"/>
      <c r="E3" s="2474"/>
      <c r="F3" s="2474"/>
      <c r="G3" s="2474"/>
      <c r="H3" s="2474"/>
      <c r="I3" s="2474"/>
      <c r="J3" s="1419"/>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0" t="s">
        <v>1231</v>
      </c>
      <c r="C5" s="1294"/>
      <c r="D5" s="1294"/>
      <c r="E5" s="1379"/>
      <c r="F5" s="322"/>
      <c r="G5" s="322"/>
      <c r="H5" s="322"/>
      <c r="I5" s="322"/>
    </row>
    <row r="6" spans="2:10" s="317" customFormat="1" ht="6.2" customHeight="1" x14ac:dyDescent="0.2">
      <c r="B6" s="1421"/>
      <c r="C6" s="1375"/>
      <c r="D6" s="1375"/>
      <c r="E6" s="1376"/>
      <c r="F6" s="1375"/>
      <c r="G6" s="1375"/>
      <c r="H6" s="1375"/>
      <c r="I6" s="1375"/>
    </row>
    <row r="7" spans="2:10" s="317" customFormat="1" ht="13.5" customHeight="1" x14ac:dyDescent="0.2">
      <c r="B7" s="2473" t="s">
        <v>1346</v>
      </c>
      <c r="C7" s="2474"/>
      <c r="D7" s="2474"/>
      <c r="E7" s="2474"/>
      <c r="F7" s="2474"/>
      <c r="G7" s="2474"/>
      <c r="H7" s="2474"/>
      <c r="I7" s="2474"/>
    </row>
    <row r="8" spans="2:10" s="317" customFormat="1" ht="6.2" customHeight="1" x14ac:dyDescent="0.2">
      <c r="B8" s="1422" t="s">
        <v>1231</v>
      </c>
      <c r="C8" s="1423"/>
      <c r="D8" s="1423"/>
      <c r="E8" s="1424"/>
      <c r="F8" s="1423"/>
      <c r="G8" s="1423"/>
      <c r="H8" s="1423"/>
      <c r="I8" s="1423"/>
    </row>
    <row r="9" spans="2:10" s="317" customFormat="1" ht="9" customHeight="1" x14ac:dyDescent="0.2">
      <c r="B9" s="1425"/>
      <c r="C9" s="322"/>
      <c r="D9" s="322"/>
      <c r="E9" s="1379"/>
      <c r="F9" s="322"/>
      <c r="G9" s="322"/>
      <c r="H9" s="322"/>
      <c r="I9" s="322"/>
    </row>
    <row r="10" spans="2:10" s="317" customFormat="1" ht="12.75" customHeight="1" x14ac:dyDescent="0.2">
      <c r="B10" s="1426" t="s">
        <v>1345</v>
      </c>
      <c r="C10" s="1427"/>
      <c r="D10" s="1427"/>
      <c r="E10" s="1258"/>
    </row>
    <row r="11" spans="2:10" s="317" customFormat="1" ht="13.5" customHeight="1" x14ac:dyDescent="0.2">
      <c r="B11" s="1345" t="s">
        <v>1344</v>
      </c>
      <c r="C11" s="2475" t="s">
        <v>2101</v>
      </c>
      <c r="D11" s="2475"/>
      <c r="E11" s="1428"/>
      <c r="F11" s="1428"/>
      <c r="G11" s="1428"/>
    </row>
    <row r="12" spans="2:10" s="317" customFormat="1" ht="11.45" customHeight="1" x14ac:dyDescent="0.2">
      <c r="B12" s="1353"/>
      <c r="C12" s="1429" t="s">
        <v>1517</v>
      </c>
      <c r="D12" s="1430"/>
      <c r="E12" s="1258"/>
    </row>
    <row r="13" spans="2:10" s="317" customFormat="1" ht="12.75" customHeight="1" x14ac:dyDescent="0.2">
      <c r="B13" s="1431"/>
      <c r="C13" s="1383"/>
      <c r="D13" s="1383"/>
      <c r="E13" s="1258"/>
    </row>
    <row r="14" spans="2:10" s="317" customFormat="1" ht="12.75" customHeight="1" x14ac:dyDescent="0.2">
      <c r="B14" s="1364" t="s">
        <v>1343</v>
      </c>
      <c r="C14" s="1282"/>
      <c r="E14" s="1258"/>
    </row>
    <row r="15" spans="2:10" s="317" customFormat="1" ht="13.5" customHeight="1" x14ac:dyDescent="0.2">
      <c r="B15" s="1432" t="s">
        <v>1340</v>
      </c>
      <c r="C15" s="1433"/>
      <c r="D15" s="1394"/>
      <c r="E15" s="1434"/>
      <c r="F15" s="1300" t="s">
        <v>940</v>
      </c>
      <c r="G15" s="1434" t="s">
        <v>2077</v>
      </c>
      <c r="H15" s="1300" t="s">
        <v>1338</v>
      </c>
      <c r="I15" s="1300"/>
    </row>
    <row r="16" spans="2:10" s="317" customFormat="1" ht="8.4499999999999993" customHeight="1" x14ac:dyDescent="0.2">
      <c r="B16" s="1364"/>
      <c r="C16" s="1282"/>
      <c r="E16" s="1379"/>
      <c r="F16" s="1300"/>
      <c r="G16" s="322"/>
      <c r="H16" s="1300"/>
      <c r="I16" s="1300"/>
    </row>
    <row r="17" spans="2:9" s="317" customFormat="1" ht="13.5" customHeight="1" x14ac:dyDescent="0.2">
      <c r="B17" s="1432" t="s">
        <v>1339</v>
      </c>
      <c r="C17" s="1433"/>
      <c r="D17" s="1394"/>
      <c r="E17" s="1435"/>
      <c r="F17" s="1257"/>
      <c r="G17" s="1435"/>
      <c r="H17" s="1300"/>
      <c r="I17" s="1300"/>
    </row>
    <row r="18" spans="2:9" s="317" customFormat="1" ht="12.75" customHeight="1" x14ac:dyDescent="0.2">
      <c r="B18" s="1432" t="s">
        <v>1518</v>
      </c>
      <c r="C18" s="1433"/>
      <c r="D18" s="1394"/>
      <c r="E18" s="1434"/>
      <c r="F18" s="1300" t="s">
        <v>940</v>
      </c>
      <c r="G18" s="1434" t="s">
        <v>2077</v>
      </c>
      <c r="H18" s="1300" t="s">
        <v>1338</v>
      </c>
      <c r="I18" s="1300"/>
    </row>
    <row r="19" spans="2:9" s="317" customFormat="1" ht="8.4499999999999993" customHeight="1" x14ac:dyDescent="0.2">
      <c r="B19" s="1364"/>
      <c r="C19" s="1282"/>
      <c r="E19" s="1379"/>
      <c r="F19" s="1300"/>
      <c r="G19" s="322"/>
      <c r="H19" s="1300"/>
      <c r="I19" s="1300"/>
    </row>
    <row r="20" spans="2:9" s="317" customFormat="1" ht="13.5" customHeight="1" x14ac:dyDescent="0.2">
      <c r="B20" s="1432" t="s">
        <v>1673</v>
      </c>
      <c r="C20" s="1433"/>
      <c r="D20" s="1394"/>
      <c r="E20" s="1434"/>
      <c r="F20" s="1300" t="s">
        <v>940</v>
      </c>
      <c r="G20" s="1434" t="s">
        <v>2077</v>
      </c>
      <c r="H20" s="1300" t="s">
        <v>101</v>
      </c>
      <c r="I20" s="1300"/>
    </row>
    <row r="21" spans="2:9" s="317" customFormat="1" ht="12.75" customHeight="1" x14ac:dyDescent="0.2">
      <c r="B21" s="1364"/>
      <c r="C21" s="1282"/>
      <c r="E21" s="1379"/>
      <c r="F21" s="1300"/>
      <c r="G21" s="322"/>
      <c r="H21" s="1300"/>
      <c r="I21" s="1300"/>
    </row>
    <row r="22" spans="2:9" s="317" customFormat="1" ht="12.75" customHeight="1" x14ac:dyDescent="0.2">
      <c r="B22" s="1426" t="s">
        <v>1342</v>
      </c>
      <c r="C22" s="1436"/>
      <c r="D22" s="1427"/>
      <c r="E22" s="1379"/>
      <c r="F22" s="1300"/>
      <c r="G22" s="322"/>
      <c r="H22" s="1300"/>
      <c r="I22" s="1300"/>
    </row>
    <row r="23" spans="2:9" s="317" customFormat="1" ht="12.75" customHeight="1" x14ac:dyDescent="0.2">
      <c r="B23" s="1364" t="s">
        <v>1341</v>
      </c>
      <c r="C23" s="1282"/>
      <c r="E23" s="1379"/>
      <c r="F23" s="1300"/>
      <c r="G23" s="322"/>
      <c r="H23" s="1300"/>
      <c r="I23" s="1300"/>
    </row>
    <row r="24" spans="2:9" s="317" customFormat="1" ht="13.5" customHeight="1" x14ac:dyDescent="0.2">
      <c r="B24" s="1432" t="s">
        <v>1340</v>
      </c>
      <c r="C24" s="1433"/>
      <c r="D24" s="1394"/>
      <c r="E24" s="1434"/>
      <c r="F24" s="1300" t="s">
        <v>940</v>
      </c>
      <c r="G24" s="1434" t="s">
        <v>2077</v>
      </c>
      <c r="H24" s="1300" t="s">
        <v>1338</v>
      </c>
      <c r="I24" s="1300"/>
    </row>
    <row r="25" spans="2:9" s="317" customFormat="1" ht="8.4499999999999993" customHeight="1" x14ac:dyDescent="0.2">
      <c r="B25" s="1364"/>
      <c r="C25" s="1282"/>
      <c r="E25" s="1379"/>
      <c r="F25" s="1300"/>
      <c r="G25" s="322"/>
      <c r="H25" s="1300"/>
      <c r="I25" s="1300"/>
    </row>
    <row r="26" spans="2:9" s="317" customFormat="1" ht="13.5" customHeight="1" x14ac:dyDescent="0.2">
      <c r="B26" s="1432" t="s">
        <v>1339</v>
      </c>
      <c r="C26" s="1433"/>
      <c r="D26" s="1394"/>
      <c r="E26" s="1435"/>
      <c r="F26" s="1257"/>
      <c r="G26" s="1435"/>
      <c r="H26" s="1300"/>
      <c r="I26" s="1300"/>
    </row>
    <row r="27" spans="2:9" s="317" customFormat="1" ht="12.75" customHeight="1" x14ac:dyDescent="0.2">
      <c r="B27" s="1432" t="s">
        <v>1518</v>
      </c>
      <c r="C27" s="1433"/>
      <c r="D27" s="1394"/>
      <c r="E27" s="1434"/>
      <c r="F27" s="1300" t="s">
        <v>940</v>
      </c>
      <c r="G27" s="1434" t="s">
        <v>2077</v>
      </c>
      <c r="H27" s="1300" t="s">
        <v>1338</v>
      </c>
      <c r="I27" s="1300"/>
    </row>
    <row r="28" spans="2:9" s="317" customFormat="1" ht="12.75" customHeight="1" x14ac:dyDescent="0.2">
      <c r="B28" s="1364"/>
      <c r="C28" s="1282"/>
      <c r="E28" s="1258"/>
    </row>
    <row r="29" spans="2:9" s="317" customFormat="1" ht="12.75" customHeight="1" x14ac:dyDescent="0.2">
      <c r="B29" s="1364" t="s">
        <v>1337</v>
      </c>
      <c r="C29" s="1282"/>
      <c r="D29" s="2476" t="s">
        <v>2101</v>
      </c>
      <c r="E29" s="2476"/>
      <c r="F29" s="2476"/>
      <c r="G29" s="2476"/>
      <c r="H29" s="2476"/>
      <c r="I29" s="2476"/>
    </row>
    <row r="30" spans="2:9" s="317" customFormat="1" x14ac:dyDescent="0.2">
      <c r="B30" s="1364"/>
      <c r="C30" s="322"/>
      <c r="D30" s="1429" t="s">
        <v>1851</v>
      </c>
      <c r="E30" s="1430"/>
      <c r="F30" s="1430"/>
      <c r="G30" s="1430"/>
      <c r="H30" s="1430"/>
      <c r="I30" s="1430"/>
    </row>
    <row r="31" spans="2:9" s="317" customFormat="1" ht="9.9499999999999993" customHeight="1" x14ac:dyDescent="0.2">
      <c r="B31" s="1364"/>
      <c r="E31" s="1258"/>
    </row>
    <row r="32" spans="2:9" s="317" customFormat="1" x14ac:dyDescent="0.2">
      <c r="B32" s="1364" t="s">
        <v>1336</v>
      </c>
      <c r="C32" s="1282"/>
      <c r="E32" s="1258"/>
    </row>
    <row r="33" spans="2:9" ht="13.5" customHeight="1" x14ac:dyDescent="0.2">
      <c r="B33" s="1364" t="s">
        <v>1633</v>
      </c>
      <c r="C33" s="1282"/>
      <c r="E33" s="1434"/>
      <c r="F33" s="1300" t="s">
        <v>940</v>
      </c>
      <c r="G33" s="1434" t="s">
        <v>2077</v>
      </c>
      <c r="H33" s="1300" t="s">
        <v>101</v>
      </c>
    </row>
    <row r="35" spans="2:9" x14ac:dyDescent="0.2">
      <c r="B35" s="1437" t="s">
        <v>1852</v>
      </c>
      <c r="C35" s="1438"/>
      <c r="D35" s="1267"/>
    </row>
    <row r="36" spans="2:9" ht="6" customHeight="1" x14ac:dyDescent="0.2">
      <c r="B36" s="1437"/>
      <c r="C36" s="1438"/>
      <c r="D36" s="1267"/>
    </row>
    <row r="37" spans="2:9" ht="17.25" customHeight="1" x14ac:dyDescent="0.2">
      <c r="B37" s="1439" t="s">
        <v>1853</v>
      </c>
      <c r="C37" s="2477" t="s">
        <v>1854</v>
      </c>
      <c r="D37" s="2478"/>
      <c r="E37" s="2478"/>
      <c r="F37" s="2479"/>
      <c r="G37" s="2477" t="s">
        <v>1674</v>
      </c>
      <c r="H37" s="2478"/>
      <c r="I37" s="2479"/>
    </row>
    <row r="38" spans="2:9" ht="16.5" customHeight="1" x14ac:dyDescent="0.2">
      <c r="B38" s="1440">
        <v>84.01</v>
      </c>
      <c r="C38" s="2465" t="s">
        <v>974</v>
      </c>
      <c r="D38" s="2466"/>
      <c r="E38" s="2466"/>
      <c r="F38" s="2467"/>
      <c r="G38" s="2480">
        <v>592777</v>
      </c>
      <c r="H38" s="2481"/>
      <c r="I38" s="2482"/>
    </row>
    <row r="39" spans="2:9" ht="16.5" customHeight="1" x14ac:dyDescent="0.2">
      <c r="B39" s="1440"/>
      <c r="C39" s="2465"/>
      <c r="D39" s="2466"/>
      <c r="E39" s="2466"/>
      <c r="F39" s="2467"/>
      <c r="G39" s="2468"/>
      <c r="H39" s="2468"/>
      <c r="I39" s="2468"/>
    </row>
    <row r="40" spans="2:9" ht="16.5" customHeight="1" x14ac:dyDescent="0.2">
      <c r="B40" s="1440"/>
      <c r="C40" s="2465"/>
      <c r="D40" s="2466"/>
      <c r="E40" s="2466"/>
      <c r="F40" s="2467"/>
      <c r="G40" s="2468"/>
      <c r="H40" s="2468"/>
      <c r="I40" s="2468"/>
    </row>
    <row r="41" spans="2:9" ht="16.5" customHeight="1" x14ac:dyDescent="0.2">
      <c r="B41" s="1440"/>
      <c r="C41" s="2465"/>
      <c r="D41" s="2466"/>
      <c r="E41" s="2466"/>
      <c r="F41" s="2467"/>
      <c r="G41" s="2468"/>
      <c r="H41" s="2468"/>
      <c r="I41" s="2468"/>
    </row>
    <row r="42" spans="2:9" ht="16.5" customHeight="1" x14ac:dyDescent="0.2">
      <c r="B42" s="1440"/>
      <c r="C42" s="2465"/>
      <c r="D42" s="2466"/>
      <c r="E42" s="2466"/>
      <c r="F42" s="2467"/>
      <c r="G42" s="2468"/>
      <c r="H42" s="2468"/>
      <c r="I42" s="2468"/>
    </row>
    <row r="43" spans="2:9" ht="16.5" customHeight="1" x14ac:dyDescent="0.2">
      <c r="B43" s="1440"/>
      <c r="C43" s="2483" t="s">
        <v>1675</v>
      </c>
      <c r="D43" s="2484"/>
      <c r="E43" s="2484"/>
      <c r="F43" s="2485"/>
      <c r="G43" s="2486">
        <f>SUM(G38:I42)</f>
        <v>592777</v>
      </c>
      <c r="H43" s="2486"/>
      <c r="I43" s="2486"/>
    </row>
    <row r="44" spans="2:9" ht="12.75" customHeight="1" x14ac:dyDescent="0.2"/>
    <row r="45" spans="2:9" ht="12.75" customHeight="1" x14ac:dyDescent="0.2">
      <c r="B45" s="1431" t="s">
        <v>1952</v>
      </c>
      <c r="D45" s="2487">
        <v>1375860</v>
      </c>
      <c r="E45" s="2488"/>
    </row>
    <row r="46" spans="2:9" ht="5.25" customHeight="1" x14ac:dyDescent="0.2">
      <c r="B46" s="1441"/>
      <c r="D46" s="1442"/>
      <c r="E46" s="1443"/>
    </row>
    <row r="47" spans="2:9" ht="12.75" customHeight="1" x14ac:dyDescent="0.2">
      <c r="B47" s="1300" t="s">
        <v>1676</v>
      </c>
      <c r="C47" s="1300"/>
      <c r="D47" s="1444">
        <f>+G43/D45</f>
        <v>0.43084107394647714</v>
      </c>
      <c r="E47" s="1445"/>
      <c r="F47" s="1446"/>
      <c r="I47" s="1447"/>
    </row>
    <row r="48" spans="2:9" ht="9.9499999999999993" customHeight="1" x14ac:dyDescent="0.2"/>
    <row r="49" spans="1:9" x14ac:dyDescent="0.2">
      <c r="B49" s="1364" t="s">
        <v>1335</v>
      </c>
      <c r="C49" s="1282"/>
      <c r="D49" s="1282"/>
      <c r="E49" s="2489">
        <v>750000</v>
      </c>
      <c r="F49" s="2489"/>
      <c r="G49" s="2489"/>
      <c r="H49" s="322"/>
    </row>
    <row r="51" spans="1:9" ht="13.5" customHeight="1" x14ac:dyDescent="0.2">
      <c r="B51" s="1364" t="s">
        <v>1334</v>
      </c>
      <c r="C51" s="1282"/>
      <c r="E51" s="1434" t="s">
        <v>2077</v>
      </c>
      <c r="F51" s="1300" t="s">
        <v>940</v>
      </c>
      <c r="G51" s="1434"/>
      <c r="H51" s="1300" t="s">
        <v>101</v>
      </c>
    </row>
    <row r="52" spans="1:9" x14ac:dyDescent="0.2">
      <c r="B52" s="1356"/>
      <c r="C52" s="1297"/>
      <c r="D52" s="1448"/>
      <c r="E52" s="1449"/>
      <c r="F52" s="1450"/>
      <c r="G52" s="1450"/>
      <c r="H52" s="1450"/>
      <c r="I52" s="1450"/>
    </row>
    <row r="53" spans="1:9" ht="6" customHeight="1" x14ac:dyDescent="0.2">
      <c r="B53" s="1425"/>
      <c r="C53" s="322"/>
      <c r="D53" s="1451"/>
      <c r="E53" s="1452"/>
      <c r="F53" s="1453"/>
      <c r="G53" s="1453"/>
      <c r="H53" s="1453"/>
      <c r="I53" s="1453"/>
    </row>
    <row r="54" spans="1:9" s="1457" customFormat="1" ht="14.25" x14ac:dyDescent="0.2">
      <c r="A54" s="1454"/>
      <c r="B54" s="1455" t="s">
        <v>1855</v>
      </c>
      <c r="C54" s="1456"/>
      <c r="D54" s="1456"/>
    </row>
    <row r="55" spans="1:9" s="1457" customFormat="1" ht="12.75" customHeight="1" x14ac:dyDescent="0.2">
      <c r="A55" s="1454"/>
      <c r="B55" s="1458" t="s">
        <v>1677</v>
      </c>
      <c r="C55" s="1454"/>
      <c r="D55" s="1454"/>
    </row>
    <row r="56" spans="1:9" s="1457" customFormat="1" ht="12.75" customHeight="1" x14ac:dyDescent="0.2">
      <c r="A56" s="1454"/>
      <c r="B56" s="1458" t="s">
        <v>1678</v>
      </c>
      <c r="C56" s="1454"/>
      <c r="D56" s="1454"/>
    </row>
    <row r="57" spans="1:9" s="1457" customFormat="1" ht="3.95" customHeight="1" x14ac:dyDescent="0.2">
      <c r="A57" s="1454"/>
      <c r="B57" s="1458"/>
      <c r="C57" s="1454"/>
      <c r="D57" s="1454"/>
    </row>
    <row r="58" spans="1:9" s="1457" customFormat="1" ht="13.5" customHeight="1" x14ac:dyDescent="0.2">
      <c r="A58" s="1454"/>
      <c r="B58" s="1459" t="s">
        <v>1856</v>
      </c>
      <c r="C58" s="1460"/>
      <c r="D58" s="1460"/>
    </row>
    <row r="59" spans="1:9" s="1457" customFormat="1" ht="3.95" customHeight="1" x14ac:dyDescent="0.2">
      <c r="A59" s="1454"/>
      <c r="B59" s="1459"/>
      <c r="C59" s="1460"/>
      <c r="D59" s="1460"/>
    </row>
    <row r="60" spans="1:9" s="1457" customFormat="1" ht="13.5" customHeight="1" x14ac:dyDescent="0.2">
      <c r="A60" s="1454"/>
      <c r="B60" s="1459" t="s">
        <v>1857</v>
      </c>
      <c r="C60" s="1460"/>
      <c r="D60" s="1460"/>
    </row>
    <row r="61" spans="1:9" s="1457" customFormat="1" ht="3.95" customHeight="1" x14ac:dyDescent="0.2">
      <c r="A61" s="1454"/>
      <c r="B61" s="1459"/>
      <c r="C61" s="1460"/>
      <c r="D61" s="1460"/>
    </row>
    <row r="62" spans="1:9" s="1457" customFormat="1" ht="12.75" customHeight="1" x14ac:dyDescent="0.2">
      <c r="A62" s="1454"/>
      <c r="B62" s="1459" t="s">
        <v>1858</v>
      </c>
      <c r="C62" s="1460"/>
      <c r="D62" s="1460"/>
    </row>
    <row r="63" spans="1:9" s="1457" customFormat="1" ht="13.5" customHeight="1" x14ac:dyDescent="0.2">
      <c r="A63" s="1454"/>
      <c r="B63" s="1458" t="s">
        <v>1679</v>
      </c>
      <c r="C63" s="1454"/>
      <c r="D63" s="14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Calumet Public SD 132</v>
      </c>
      <c r="C1" s="2469"/>
      <c r="D1" s="2469"/>
      <c r="E1" s="2469"/>
      <c r="F1" s="2469"/>
      <c r="G1" s="2469"/>
      <c r="H1" s="2469"/>
      <c r="I1" s="2469"/>
      <c r="J1" s="2469"/>
      <c r="K1" s="2469"/>
      <c r="L1" s="1370"/>
      <c r="M1" s="1370"/>
    </row>
    <row r="2" spans="1:13" ht="12" customHeight="1" x14ac:dyDescent="0.2">
      <c r="B2" s="2471">
        <f>'Single Audit Cover'!E7</f>
        <v>7016132002</v>
      </c>
      <c r="C2" s="2471"/>
      <c r="D2" s="2471"/>
      <c r="E2" s="2471"/>
      <c r="F2" s="2471"/>
      <c r="G2" s="2471"/>
      <c r="H2" s="2471"/>
      <c r="I2" s="2471"/>
      <c r="J2" s="2471"/>
      <c r="K2" s="2471"/>
      <c r="L2" s="1371"/>
      <c r="M2" s="1372"/>
    </row>
    <row r="3" spans="1:13" ht="10.35" customHeight="1" x14ac:dyDescent="0.2">
      <c r="B3" s="2492" t="s">
        <v>1347</v>
      </c>
      <c r="C3" s="2492"/>
      <c r="D3" s="2492"/>
      <c r="E3" s="2492"/>
      <c r="F3" s="2492"/>
      <c r="G3" s="2492"/>
      <c r="H3" s="2492"/>
      <c r="I3" s="2492"/>
      <c r="J3" s="2492"/>
      <c r="K3" s="2492"/>
      <c r="L3" s="1373"/>
      <c r="M3" s="137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4"/>
      <c r="C6" s="1374"/>
      <c r="D6" s="1375"/>
      <c r="E6" s="1375"/>
      <c r="F6" s="1375"/>
      <c r="G6" s="1376"/>
      <c r="H6" s="1375"/>
      <c r="I6" s="1376"/>
      <c r="J6" s="1375"/>
      <c r="K6" s="1375"/>
      <c r="L6" s="1377"/>
    </row>
    <row r="7" spans="1:13" ht="12.75" customHeight="1" x14ac:dyDescent="0.2">
      <c r="A7" s="1282"/>
      <c r="B7" s="2493" t="s">
        <v>1363</v>
      </c>
      <c r="C7" s="2493"/>
      <c r="D7" s="2494"/>
      <c r="E7" s="2494"/>
      <c r="F7" s="2494"/>
      <c r="G7" s="2494"/>
      <c r="H7" s="2494"/>
      <c r="I7" s="2494"/>
      <c r="J7" s="2494"/>
      <c r="K7" s="249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1845</v>
      </c>
      <c r="C10" s="1381" t="s">
        <v>1953</v>
      </c>
      <c r="D10" s="1382"/>
      <c r="E10" s="322"/>
      <c r="F10" s="1383" t="s">
        <v>1362</v>
      </c>
      <c r="G10" s="1384"/>
      <c r="H10" s="1385" t="s">
        <v>1361</v>
      </c>
      <c r="I10" s="1384"/>
      <c r="J10" s="1386" t="s">
        <v>1360</v>
      </c>
      <c r="K10" s="322"/>
      <c r="L10" s="1377"/>
    </row>
    <row r="11" spans="1:13" ht="13.5" customHeight="1" x14ac:dyDescent="0.2">
      <c r="B11" s="322"/>
      <c r="C11" s="322"/>
      <c r="D11" s="322"/>
      <c r="E11" s="322"/>
      <c r="F11" s="322"/>
      <c r="G11" s="1379"/>
      <c r="H11" s="322"/>
      <c r="I11" s="1387" t="s">
        <v>1359</v>
      </c>
      <c r="J11" s="322"/>
      <c r="K11" s="1388"/>
      <c r="L11" s="1377"/>
    </row>
    <row r="12" spans="1:13" ht="13.5" customHeight="1" x14ac:dyDescent="0.2">
      <c r="B12" s="1294"/>
      <c r="C12" s="1294"/>
      <c r="D12" s="322"/>
      <c r="E12" s="322"/>
      <c r="F12" s="322"/>
      <c r="G12" s="1379"/>
      <c r="H12" s="322"/>
      <c r="I12" s="1379"/>
      <c r="J12" s="322"/>
      <c r="L12" s="1377"/>
    </row>
    <row r="13" spans="1:13" s="1282" customFormat="1" ht="13.5" customHeight="1" x14ac:dyDescent="0.2">
      <c r="B13" s="1389" t="s">
        <v>1358</v>
      </c>
      <c r="C13" s="1389"/>
      <c r="D13" s="1390"/>
      <c r="E13" s="1390"/>
      <c r="F13" s="1390"/>
      <c r="G13" s="1391"/>
      <c r="H13" s="1390"/>
      <c r="I13" s="1391"/>
      <c r="J13" s="1390"/>
      <c r="K13" s="1390"/>
      <c r="L13" s="1392"/>
    </row>
    <row r="14" spans="1:13" ht="45.75" customHeight="1" x14ac:dyDescent="0.2">
      <c r="B14" s="2491"/>
      <c r="C14" s="2491"/>
      <c r="D14" s="2491"/>
      <c r="E14" s="2491"/>
      <c r="F14" s="2491"/>
      <c r="G14" s="2491"/>
      <c r="H14" s="2491"/>
      <c r="I14" s="2491"/>
      <c r="J14" s="2491"/>
      <c r="K14" s="2491"/>
      <c r="L14" s="1393"/>
    </row>
    <row r="15" spans="1:13" ht="4.5" customHeight="1" x14ac:dyDescent="0.2">
      <c r="B15" s="1394"/>
      <c r="C15" s="1394"/>
      <c r="D15" s="1395"/>
      <c r="E15" s="1395"/>
      <c r="F15" s="1395"/>
      <c r="H15" s="1395"/>
      <c r="J15" s="1395"/>
      <c r="K15" s="1395"/>
      <c r="L15" s="1393"/>
    </row>
    <row r="16" spans="1:13" s="1282" customFormat="1" ht="13.5" customHeight="1" x14ac:dyDescent="0.2">
      <c r="B16" s="1389" t="s">
        <v>1357</v>
      </c>
      <c r="C16" s="1389"/>
      <c r="D16" s="1390"/>
      <c r="E16" s="1390"/>
      <c r="F16" s="1390"/>
      <c r="G16" s="1391"/>
      <c r="H16" s="1390"/>
      <c r="I16" s="1391"/>
      <c r="J16" s="1390"/>
      <c r="K16" s="1390"/>
      <c r="L16" s="1392"/>
    </row>
    <row r="17" spans="2:12" ht="45.75" customHeight="1" x14ac:dyDescent="0.2">
      <c r="B17" s="2491"/>
      <c r="C17" s="2491"/>
      <c r="D17" s="2491"/>
      <c r="E17" s="2491"/>
      <c r="F17" s="2491"/>
      <c r="G17" s="2491"/>
      <c r="H17" s="2491"/>
      <c r="I17" s="2491"/>
      <c r="J17" s="2491"/>
      <c r="K17" s="2491"/>
      <c r="L17" s="1377"/>
    </row>
    <row r="18" spans="2:12" ht="4.5" customHeight="1" x14ac:dyDescent="0.2">
      <c r="B18" s="1394"/>
      <c r="C18" s="1394"/>
      <c r="L18" s="1377"/>
    </row>
    <row r="19" spans="2:12" s="1282" customFormat="1" ht="13.5" customHeight="1" x14ac:dyDescent="0.2">
      <c r="B19" s="1389" t="s">
        <v>1846</v>
      </c>
      <c r="C19" s="1389"/>
      <c r="D19" s="1390"/>
      <c r="E19" s="1390"/>
      <c r="F19" s="1390"/>
      <c r="G19" s="1391"/>
      <c r="H19" s="1390"/>
      <c r="I19" s="1391"/>
      <c r="J19" s="1390"/>
      <c r="K19" s="1390"/>
      <c r="L19" s="1392"/>
    </row>
    <row r="20" spans="2:12" ht="45.75" customHeight="1" x14ac:dyDescent="0.2">
      <c r="B20" s="2495"/>
      <c r="C20" s="2495"/>
      <c r="D20" s="2491"/>
      <c r="E20" s="2491"/>
      <c r="F20" s="2491"/>
      <c r="G20" s="2491"/>
      <c r="H20" s="2491"/>
      <c r="I20" s="2491"/>
      <c r="J20" s="2491"/>
      <c r="K20" s="2491"/>
      <c r="L20" s="1377"/>
    </row>
    <row r="21" spans="2:12" ht="4.5" customHeight="1" x14ac:dyDescent="0.2">
      <c r="B21" s="1396"/>
      <c r="C21" s="1396"/>
      <c r="L21" s="1377"/>
    </row>
    <row r="22" spans="2:12" ht="13.5" customHeight="1" x14ac:dyDescent="0.2">
      <c r="B22" s="1389" t="s">
        <v>1356</v>
      </c>
      <c r="C22" s="1389"/>
      <c r="D22" s="1375"/>
      <c r="E22" s="1375"/>
      <c r="F22" s="1375"/>
      <c r="G22" s="1376"/>
      <c r="H22" s="1375"/>
      <c r="I22" s="1376"/>
      <c r="J22" s="1375"/>
      <c r="K22" s="1375"/>
      <c r="L22" s="1377"/>
    </row>
    <row r="23" spans="2:12" ht="45" customHeight="1" x14ac:dyDescent="0.2">
      <c r="B23" s="2491"/>
      <c r="C23" s="2491"/>
      <c r="D23" s="2491"/>
      <c r="E23" s="2491"/>
      <c r="F23" s="2491"/>
      <c r="G23" s="2491"/>
      <c r="H23" s="2491"/>
      <c r="I23" s="2491"/>
      <c r="J23" s="2491"/>
      <c r="K23" s="2491"/>
      <c r="L23" s="1377"/>
    </row>
    <row r="24" spans="2:12" ht="4.5" customHeight="1" x14ac:dyDescent="0.2">
      <c r="B24" s="1394"/>
      <c r="C24" s="1394"/>
      <c r="L24" s="1377"/>
    </row>
    <row r="25" spans="2:12" ht="13.5" customHeight="1" x14ac:dyDescent="0.2">
      <c r="B25" s="1389" t="s">
        <v>1355</v>
      </c>
      <c r="C25" s="1389"/>
      <c r="D25" s="1375"/>
      <c r="E25" s="1375"/>
      <c r="F25" s="1375"/>
      <c r="G25" s="1376"/>
      <c r="H25" s="1375"/>
      <c r="I25" s="1376"/>
      <c r="J25" s="1375"/>
      <c r="K25" s="1375"/>
      <c r="L25" s="1377"/>
    </row>
    <row r="26" spans="2:12" ht="45.75" customHeight="1" x14ac:dyDescent="0.2">
      <c r="B26" s="2491"/>
      <c r="C26" s="2491"/>
      <c r="D26" s="2491"/>
      <c r="E26" s="2491"/>
      <c r="F26" s="2491"/>
      <c r="G26" s="2491"/>
      <c r="H26" s="2491"/>
      <c r="I26" s="2491"/>
      <c r="J26" s="2491"/>
      <c r="K26" s="2491"/>
      <c r="L26" s="1377"/>
    </row>
    <row r="27" spans="2:12" ht="4.5" customHeight="1" x14ac:dyDescent="0.2">
      <c r="B27" s="1394"/>
      <c r="C27" s="1394"/>
      <c r="L27" s="1377"/>
    </row>
    <row r="28" spans="2:12" ht="13.5" customHeight="1" x14ac:dyDescent="0.2">
      <c r="B28" s="1397" t="s">
        <v>1354</v>
      </c>
      <c r="C28" s="1397"/>
      <c r="D28" s="1375"/>
      <c r="E28" s="1375"/>
      <c r="F28" s="1375"/>
      <c r="G28" s="1376"/>
      <c r="H28" s="1375"/>
      <c r="I28" s="1376"/>
      <c r="J28" s="1375"/>
      <c r="K28" s="1375"/>
      <c r="L28" s="1377"/>
    </row>
    <row r="29" spans="2:12" ht="45.75" customHeight="1" x14ac:dyDescent="0.2">
      <c r="B29" s="2490"/>
      <c r="C29" s="2490"/>
      <c r="D29" s="2491"/>
      <c r="E29" s="2491"/>
      <c r="F29" s="2491"/>
      <c r="G29" s="2491"/>
      <c r="H29" s="2491"/>
      <c r="I29" s="2491"/>
      <c r="J29" s="2491"/>
      <c r="K29" s="249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1847</v>
      </c>
      <c r="C31" s="1399"/>
      <c r="D31" s="1374"/>
      <c r="E31" s="1375"/>
      <c r="F31" s="1375"/>
      <c r="G31" s="1376"/>
      <c r="H31" s="1375"/>
      <c r="I31" s="1376"/>
      <c r="J31" s="1375"/>
      <c r="K31" s="1375"/>
      <c r="L31" s="1377"/>
    </row>
    <row r="32" spans="2:12" s="322" customFormat="1" ht="44.25" customHeight="1" x14ac:dyDescent="0.2">
      <c r="B32" s="2490"/>
      <c r="C32" s="2490"/>
      <c r="D32" s="2491"/>
      <c r="E32" s="2491"/>
      <c r="F32" s="2491"/>
      <c r="G32" s="2491"/>
      <c r="H32" s="2491"/>
      <c r="I32" s="2491"/>
      <c r="J32" s="2491"/>
      <c r="K32" s="2491"/>
      <c r="L32" s="1377"/>
    </row>
    <row r="33" spans="1:13" s="322" customFormat="1" ht="4.5" customHeight="1" x14ac:dyDescent="0.2">
      <c r="B33" s="1398"/>
      <c r="C33" s="1398"/>
      <c r="G33" s="1379"/>
      <c r="I33" s="1379"/>
      <c r="L33" s="1377"/>
    </row>
    <row r="34" spans="1:13" s="322" customFormat="1" x14ac:dyDescent="0.2">
      <c r="A34" s="1297"/>
      <c r="B34" s="1413"/>
      <c r="C34" s="1413"/>
      <c r="D34" s="1413"/>
      <c r="E34" s="1413"/>
      <c r="F34" s="1413"/>
      <c r="G34" s="1414"/>
      <c r="H34" s="1413"/>
      <c r="I34" s="1414"/>
      <c r="J34" s="1413"/>
      <c r="K34" s="1413"/>
      <c r="L34" s="1377"/>
    </row>
    <row r="35" spans="1:13" ht="11.85" customHeight="1" x14ac:dyDescent="0.2">
      <c r="B35" s="1415" t="s">
        <v>1848</v>
      </c>
      <c r="C35" s="1415"/>
      <c r="D35" s="322"/>
      <c r="E35" s="322"/>
      <c r="F35" s="322"/>
      <c r="L35" s="1377"/>
    </row>
    <row r="36" spans="1:13" ht="9.6" customHeight="1" x14ac:dyDescent="0.2">
      <c r="B36" s="1300" t="s">
        <v>1954</v>
      </c>
      <c r="C36" s="1300"/>
      <c r="L36" s="1377"/>
    </row>
    <row r="37" spans="1:13" ht="9.6" customHeight="1" x14ac:dyDescent="0.2">
      <c r="B37" s="1300" t="s">
        <v>1955</v>
      </c>
      <c r="C37" s="1300"/>
    </row>
    <row r="38" spans="1:13" ht="11.85" customHeight="1" x14ac:dyDescent="0.2">
      <c r="B38" s="1416" t="s">
        <v>1849</v>
      </c>
      <c r="C38" s="1416"/>
    </row>
    <row r="39" spans="1:13" ht="9.6" customHeight="1" x14ac:dyDescent="0.2">
      <c r="B39" s="1300" t="s">
        <v>1348</v>
      </c>
      <c r="C39" s="1300"/>
      <c r="M39" s="1417"/>
    </row>
    <row r="40" spans="1:13" ht="12.6" customHeight="1" x14ac:dyDescent="0.2">
      <c r="B40" s="1416" t="s">
        <v>1850</v>
      </c>
      <c r="C40" s="1416"/>
      <c r="M40" s="1417"/>
    </row>
    <row r="41" spans="1:13" ht="9.6" customHeight="1" x14ac:dyDescent="0.2">
      <c r="B41" s="1300"/>
      <c r="C41" s="1300"/>
      <c r="M41" s="14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Calumet Public SD 132</v>
      </c>
      <c r="C1" s="2496"/>
      <c r="D1" s="2496"/>
      <c r="E1" s="2496"/>
      <c r="F1" s="2496"/>
      <c r="G1" s="2496"/>
      <c r="H1" s="2496"/>
      <c r="I1" s="2496"/>
      <c r="J1" s="2496"/>
      <c r="K1" s="2496"/>
      <c r="L1" s="1461"/>
    </row>
    <row r="2" spans="1:12" ht="12.75" customHeight="1" x14ac:dyDescent="0.2">
      <c r="B2" s="2497">
        <f>'Single Audit Cover'!E7</f>
        <v>7016132002</v>
      </c>
      <c r="C2" s="2497"/>
      <c r="D2" s="2497"/>
      <c r="E2" s="2497"/>
      <c r="F2" s="2497"/>
      <c r="G2" s="2497"/>
      <c r="H2" s="2497"/>
      <c r="I2" s="2497"/>
      <c r="J2" s="2497"/>
      <c r="K2" s="2497"/>
      <c r="L2" s="1462"/>
    </row>
    <row r="3" spans="1:12" ht="12.75" customHeight="1" x14ac:dyDescent="0.2">
      <c r="B3" s="2492" t="s">
        <v>1347</v>
      </c>
      <c r="C3" s="2492"/>
      <c r="D3" s="2492"/>
      <c r="E3" s="2492"/>
      <c r="F3" s="2492"/>
      <c r="G3" s="2492"/>
      <c r="H3" s="2492"/>
      <c r="I3" s="2492"/>
      <c r="J3" s="2492"/>
      <c r="K3" s="2492"/>
      <c r="L3" s="1373"/>
    </row>
    <row r="4" spans="1:12" ht="12.75" customHeight="1" x14ac:dyDescent="0.2">
      <c r="B4" s="2492" t="str">
        <f>'Single Audit Cover'!A4</f>
        <v>Year Ending June 30, 2018</v>
      </c>
      <c r="C4" s="2492"/>
      <c r="D4" s="2492"/>
      <c r="E4" s="2492"/>
      <c r="F4" s="2492"/>
      <c r="G4" s="2492"/>
      <c r="H4" s="2492"/>
      <c r="I4" s="2492"/>
      <c r="J4" s="2492"/>
      <c r="K4" s="2492"/>
      <c r="L4" s="1373"/>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5"/>
      <c r="C7" s="1375"/>
      <c r="D7" s="1375"/>
      <c r="E7" s="1375"/>
      <c r="F7" s="1375"/>
      <c r="G7" s="1376"/>
      <c r="H7" s="1375"/>
      <c r="I7" s="1376"/>
      <c r="J7" s="1375"/>
      <c r="K7" s="1375"/>
      <c r="L7" s="322"/>
    </row>
    <row r="8" spans="1:12" ht="13.5" customHeight="1" x14ac:dyDescent="0.2">
      <c r="B8" s="1383" t="s">
        <v>1859</v>
      </c>
      <c r="C8" s="1463" t="s">
        <v>1953</v>
      </c>
      <c r="D8" s="1464"/>
      <c r="E8" s="322"/>
      <c r="F8" s="1380" t="s">
        <v>1362</v>
      </c>
      <c r="G8" s="1465"/>
      <c r="H8" s="1466" t="s">
        <v>1374</v>
      </c>
      <c r="I8" s="1465"/>
      <c r="J8" s="1467" t="s">
        <v>1373</v>
      </c>
      <c r="L8" s="322"/>
    </row>
    <row r="9" spans="1:12" ht="13.5" customHeight="1" x14ac:dyDescent="0.2">
      <c r="D9" s="322"/>
      <c r="E9" s="322"/>
      <c r="F9" s="322"/>
      <c r="G9" s="1379"/>
      <c r="H9" s="322"/>
      <c r="I9" s="1468" t="s">
        <v>1359</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79"/>
      <c r="H11" s="322"/>
      <c r="I11" s="1379"/>
      <c r="J11" s="322"/>
      <c r="K11" s="1428"/>
      <c r="L11" s="322"/>
    </row>
    <row r="12" spans="1:12" ht="13.5" customHeight="1" x14ac:dyDescent="0.2">
      <c r="B12" s="1380" t="s">
        <v>1372</v>
      </c>
      <c r="C12" s="1380"/>
      <c r="D12" s="304"/>
      <c r="E12" s="322"/>
      <c r="F12" s="2476"/>
      <c r="G12" s="2476"/>
      <c r="H12" s="2476"/>
      <c r="I12" s="2476"/>
      <c r="J12" s="2476"/>
      <c r="K12" s="2476"/>
      <c r="L12" s="322"/>
    </row>
    <row r="13" spans="1:12" ht="9.6" customHeight="1" x14ac:dyDescent="0.2">
      <c r="B13" s="1257"/>
      <c r="C13" s="1257"/>
      <c r="D13" s="304"/>
      <c r="E13" s="322"/>
      <c r="F13" s="322"/>
      <c r="G13" s="1379"/>
      <c r="H13" s="322"/>
      <c r="I13" s="1379"/>
      <c r="J13" s="322"/>
      <c r="K13" s="1428"/>
      <c r="L13" s="322"/>
    </row>
    <row r="14" spans="1:12" ht="13.5" customHeight="1" x14ac:dyDescent="0.2">
      <c r="B14" s="1383" t="s">
        <v>1371</v>
      </c>
      <c r="C14" s="1383"/>
      <c r="D14" s="2499"/>
      <c r="E14" s="2499"/>
      <c r="F14" s="2499"/>
      <c r="H14" s="1471" t="s">
        <v>1370</v>
      </c>
      <c r="I14" s="2500"/>
      <c r="J14" s="2500"/>
      <c r="K14" s="2500"/>
      <c r="L14" s="322"/>
    </row>
    <row r="15" spans="1:12" ht="9.4" customHeight="1" x14ac:dyDescent="0.2">
      <c r="B15" s="1383"/>
      <c r="C15" s="1383"/>
      <c r="D15" s="1369"/>
      <c r="E15" s="1260"/>
      <c r="F15" s="1260"/>
      <c r="G15" s="1286"/>
      <c r="H15" s="1260"/>
      <c r="I15" s="1472"/>
      <c r="J15" s="1294"/>
      <c r="K15" s="1291"/>
      <c r="L15" s="322"/>
    </row>
    <row r="16" spans="1:12" ht="13.5" customHeight="1" x14ac:dyDescent="0.2">
      <c r="B16" s="1383" t="s">
        <v>1369</v>
      </c>
      <c r="C16" s="1383"/>
      <c r="D16" s="2500"/>
      <c r="E16" s="2500"/>
      <c r="F16" s="2500"/>
      <c r="G16" s="2500"/>
      <c r="H16" s="2500"/>
      <c r="I16" s="2500"/>
      <c r="J16" s="2500"/>
      <c r="K16" s="2500"/>
      <c r="L16" s="322"/>
    </row>
    <row r="17" spans="2:12" ht="13.5" customHeight="1" x14ac:dyDescent="0.2">
      <c r="B17" s="1383" t="s">
        <v>1368</v>
      </c>
      <c r="C17" s="1383"/>
      <c r="D17" s="2501"/>
      <c r="E17" s="2501"/>
      <c r="F17" s="2501"/>
      <c r="G17" s="2501"/>
      <c r="H17" s="2501"/>
      <c r="I17" s="2501"/>
      <c r="J17" s="2501"/>
      <c r="K17" s="2501"/>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1367</v>
      </c>
      <c r="C19" s="1473"/>
      <c r="D19" s="328"/>
      <c r="E19" s="328"/>
      <c r="F19" s="328"/>
      <c r="G19" s="1474"/>
      <c r="H19" s="328"/>
      <c r="I19" s="1474"/>
      <c r="J19" s="322"/>
      <c r="K19" s="322"/>
      <c r="L19" s="322"/>
    </row>
    <row r="20" spans="2:12" ht="35.25" customHeight="1" x14ac:dyDescent="0.2">
      <c r="B20" s="2491"/>
      <c r="C20" s="2491"/>
      <c r="D20" s="2491"/>
      <c r="E20" s="2491"/>
      <c r="F20" s="2491"/>
      <c r="G20" s="2491"/>
      <c r="H20" s="2491"/>
      <c r="I20" s="2491"/>
      <c r="J20" s="2491"/>
      <c r="K20" s="2491"/>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1860</v>
      </c>
      <c r="C22" s="1473"/>
      <c r="D22" s="322"/>
      <c r="E22" s="322"/>
      <c r="F22" s="322"/>
      <c r="G22" s="1379"/>
      <c r="H22" s="322"/>
      <c r="I22" s="1379"/>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1861</v>
      </c>
      <c r="C25" s="1473"/>
      <c r="D25" s="322"/>
      <c r="E25" s="322"/>
      <c r="F25" s="322"/>
      <c r="G25" s="1379"/>
      <c r="H25" s="322"/>
      <c r="I25" s="1379"/>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1862</v>
      </c>
      <c r="C28" s="1473"/>
      <c r="D28" s="322"/>
      <c r="E28" s="322"/>
      <c r="F28" s="322"/>
      <c r="G28" s="1379"/>
      <c r="H28" s="322"/>
      <c r="I28" s="1379"/>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1366</v>
      </c>
      <c r="C31" s="1473"/>
      <c r="D31" s="322"/>
      <c r="E31" s="322"/>
      <c r="F31" s="322"/>
      <c r="G31" s="1379"/>
      <c r="H31" s="322"/>
      <c r="I31" s="1379"/>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0" t="s">
        <v>1365</v>
      </c>
      <c r="C34" s="1380"/>
      <c r="D34" s="322"/>
      <c r="E34" s="322"/>
      <c r="F34" s="322"/>
      <c r="G34" s="1379"/>
      <c r="H34" s="322"/>
      <c r="I34" s="1379"/>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0" t="s">
        <v>1364</v>
      </c>
      <c r="C37" s="1380"/>
      <c r="D37" s="322"/>
      <c r="E37" s="322"/>
      <c r="F37" s="322"/>
      <c r="G37" s="1379"/>
      <c r="H37" s="322"/>
      <c r="I37" s="1379"/>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1863</v>
      </c>
      <c r="C40" s="1399"/>
      <c r="D40" s="1374"/>
      <c r="E40" s="1375"/>
      <c r="F40" s="1375"/>
      <c r="G40" s="1376"/>
      <c r="H40" s="1375"/>
      <c r="I40" s="1376"/>
      <c r="J40" s="1375"/>
      <c r="K40" s="1375"/>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8"/>
      <c r="C42" s="1398"/>
      <c r="G42" s="1379"/>
      <c r="I42" s="1379"/>
    </row>
    <row r="43" spans="2:12" s="322" customFormat="1" ht="13.5" customHeight="1" x14ac:dyDescent="0.2">
      <c r="B43" s="1478" t="s">
        <v>1353</v>
      </c>
      <c r="C43" s="1479"/>
      <c r="D43" s="1400"/>
      <c r="E43" s="1400"/>
      <c r="F43" s="1400"/>
      <c r="G43" s="1401"/>
      <c r="H43" s="1400"/>
      <c r="I43" s="1401"/>
      <c r="J43" s="1400"/>
      <c r="K43" s="1402"/>
      <c r="L43" s="1480"/>
    </row>
    <row r="44" spans="2:12" s="322" customFormat="1" ht="13.5" customHeight="1" x14ac:dyDescent="0.2">
      <c r="B44" s="1403" t="s">
        <v>1352</v>
      </c>
      <c r="C44" s="1404"/>
      <c r="D44" s="1481"/>
      <c r="E44" s="1405"/>
      <c r="F44" s="1409" t="s">
        <v>1351</v>
      </c>
      <c r="G44" s="1407"/>
      <c r="H44" s="1406"/>
      <c r="I44" s="1407"/>
      <c r="J44" s="1482"/>
      <c r="K44" s="1483"/>
      <c r="L44" s="1480"/>
    </row>
    <row r="45" spans="2:12" s="322" customFormat="1" ht="13.5" customHeight="1" x14ac:dyDescent="0.2">
      <c r="B45" s="1403" t="s">
        <v>1350</v>
      </c>
      <c r="C45" s="1404"/>
      <c r="D45" s="1482"/>
      <c r="E45" s="1406"/>
      <c r="F45" s="1409" t="s">
        <v>1349</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1864</v>
      </c>
      <c r="C48" s="1415"/>
      <c r="D48" s="322"/>
      <c r="E48" s="322"/>
      <c r="F48" s="322"/>
    </row>
    <row r="49" spans="2:3" s="317" customFormat="1" ht="10.5" customHeight="1" x14ac:dyDescent="0.2">
      <c r="B49" s="1416" t="s">
        <v>1865</v>
      </c>
      <c r="C49" s="1416"/>
    </row>
    <row r="50" spans="2:3" s="317" customFormat="1" ht="11.1" customHeight="1" x14ac:dyDescent="0.2">
      <c r="B50" s="1416" t="s">
        <v>1866</v>
      </c>
      <c r="C50" s="1416"/>
    </row>
    <row r="51" spans="2:3" s="317" customFormat="1" ht="11.1" customHeight="1" x14ac:dyDescent="0.2">
      <c r="B51" s="1416" t="s">
        <v>1867</v>
      </c>
      <c r="C51" s="1416"/>
    </row>
    <row r="52" spans="2:3" s="317" customFormat="1" ht="11.1" customHeight="1" x14ac:dyDescent="0.2">
      <c r="B52" s="1416" t="s">
        <v>1868</v>
      </c>
      <c r="C52" s="14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Calumet Public SD 132</v>
      </c>
      <c r="C1" s="2469"/>
      <c r="D1" s="2469"/>
      <c r="E1" s="1487"/>
    </row>
    <row r="2" spans="2:5" s="1282" customFormat="1" ht="12.75" customHeight="1" x14ac:dyDescent="0.2">
      <c r="B2" s="2471">
        <f>'Single Audit Cover'!E7</f>
        <v>7016132002</v>
      </c>
      <c r="C2" s="2471"/>
      <c r="D2" s="2471"/>
      <c r="E2" s="1488"/>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89"/>
    </row>
    <row r="5" spans="2:5" s="1282" customFormat="1" ht="40.15" customHeight="1" x14ac:dyDescent="0.2">
      <c r="B5" s="1490" t="s">
        <v>1870</v>
      </c>
      <c r="C5" s="328"/>
      <c r="D5" s="328"/>
      <c r="E5" s="328"/>
    </row>
    <row r="6" spans="2:5" s="1282" customFormat="1" ht="13.5" customHeight="1" x14ac:dyDescent="0.2">
      <c r="B6" s="1491" t="s">
        <v>1382</v>
      </c>
      <c r="C6" s="1491" t="s">
        <v>1381</v>
      </c>
      <c r="D6" s="1491" t="s">
        <v>1871</v>
      </c>
    </row>
    <row r="7" spans="2:5" ht="13.5" customHeight="1" x14ac:dyDescent="0.2">
      <c r="B7" s="1492"/>
      <c r="C7" s="324"/>
      <c r="D7" s="324"/>
      <c r="E7" s="324"/>
    </row>
    <row r="8" spans="2:5" ht="13.5" customHeight="1" x14ac:dyDescent="0.2">
      <c r="B8" s="1492"/>
      <c r="C8" s="324"/>
      <c r="D8" s="324"/>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7" t="s">
        <v>1380</v>
      </c>
      <c r="C44" s="322"/>
    </row>
    <row r="45" spans="2:5" ht="12.2" customHeight="1" x14ac:dyDescent="0.2">
      <c r="B45" s="1501" t="s">
        <v>1872</v>
      </c>
    </row>
    <row r="46" spans="2:5" ht="12.2" customHeight="1" x14ac:dyDescent="0.2">
      <c r="B46" s="1501" t="s">
        <v>1873</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300"/>
    </row>
    <row r="69" spans="2:2" x14ac:dyDescent="0.2">
      <c r="B69" s="1300"/>
    </row>
    <row r="70" spans="2:2" x14ac:dyDescent="0.2">
      <c r="B70" s="1416"/>
    </row>
    <row r="71" spans="2:2" x14ac:dyDescent="0.2">
      <c r="B71" s="1416"/>
    </row>
    <row r="72" spans="2:2" x14ac:dyDescent="0.2">
      <c r="B72" s="1416"/>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94378841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2.9609E-2</v>
      </c>
      <c r="E10" s="356" t="s">
        <v>1062</v>
      </c>
      <c r="F10" s="355">
        <v>3.692E-3</v>
      </c>
      <c r="G10" s="356" t="s">
        <v>1062</v>
      </c>
      <c r="H10" s="355">
        <v>3.0130000000000001E-3</v>
      </c>
      <c r="I10" s="356" t="s">
        <v>1063</v>
      </c>
      <c r="J10" s="1750">
        <f>ROUND(D10+F10+H10,5)</f>
        <v>3.6310000000000002E-2</v>
      </c>
      <c r="K10" s="222"/>
      <c r="L10" s="355">
        <v>1.1E-5</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14294121</v>
      </c>
      <c r="E16" s="356"/>
      <c r="F16" s="1751">
        <f>SUM('Acct Summary 7-8'!C17,'Acct Summary 7-8'!D17,'Acct Summary 7-8'!F17)</f>
        <v>12803050</v>
      </c>
      <c r="G16" s="356"/>
      <c r="H16" s="1751">
        <f>SUM(D16-F16)</f>
        <v>1491071</v>
      </c>
      <c r="I16" s="222"/>
      <c r="J16" s="1751">
        <f>SUM('Acct Summary 7-8'!C81,'Acct Summary 7-8'!D81,'Acct Summary 7-8'!F81,'Acct Summary 7-8'!I81)</f>
        <v>13517136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3">
        <f>IF(B31="X",(J7*0.069),IF(B32="X",(J7*0.138),"Enter x in a.or b."))</f>
        <v>6512140.0290000001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3179000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Calumet Public SD 132</v>
      </c>
      <c r="E7" s="391"/>
      <c r="G7" s="252"/>
      <c r="H7" s="387"/>
      <c r="I7" s="387"/>
      <c r="J7" s="387"/>
      <c r="K7" s="387"/>
      <c r="L7" s="329"/>
      <c r="M7" s="329"/>
      <c r="N7" s="329"/>
      <c r="O7" s="329"/>
      <c r="P7" s="329"/>
    </row>
    <row r="8" spans="1:18" ht="12.75" x14ac:dyDescent="0.2">
      <c r="A8" s="329"/>
      <c r="B8" s="329"/>
      <c r="C8" s="389" t="s">
        <v>1187</v>
      </c>
      <c r="D8" s="392">
        <f>COVER!A13</f>
        <v>7016132002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13517136</v>
      </c>
      <c r="I12" s="404"/>
      <c r="J12" s="404"/>
      <c r="K12" s="405">
        <f>TRUNC((H12/H13*100000),5)/100000</f>
        <v>0.9456430374</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14294121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12803050</v>
      </c>
      <c r="I17" s="404"/>
      <c r="J17" s="416"/>
      <c r="K17" s="405">
        <f>TRUNC((H17/H18*100000),5)/100000</f>
        <v>0.89568641539999994</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14294121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13522419</v>
      </c>
      <c r="I24" s="422"/>
      <c r="J24" s="422"/>
      <c r="K24" s="423">
        <f>TRUNC(((H24/H25*100000)/100000),2)</f>
        <v>380.22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35564.027779999997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2912861.3591999998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3179000</v>
      </c>
      <c r="I32" s="420"/>
      <c r="J32" s="420"/>
      <c r="K32" s="423">
        <f>TRUNC(100-((((H32/H33*100))*100)/100),2)</f>
        <v>51.18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6512140.0290000001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7"/>
      <c r="D3" s="1578"/>
      <c r="E3" s="1578"/>
      <c r="F3" s="1578"/>
      <c r="G3" s="1578"/>
      <c r="H3" s="1578"/>
      <c r="I3" s="1578"/>
      <c r="J3" s="1578"/>
      <c r="K3" s="1578"/>
      <c r="L3" s="1578"/>
      <c r="M3" s="1579"/>
      <c r="N3" s="1580"/>
    </row>
    <row r="4" spans="1:14" ht="13.5" customHeight="1" x14ac:dyDescent="0.2">
      <c r="A4" s="463" t="s">
        <v>1750</v>
      </c>
      <c r="B4" s="464"/>
      <c r="C4" s="465">
        <v>11431623</v>
      </c>
      <c r="D4" s="466">
        <v>778564</v>
      </c>
      <c r="E4" s="466">
        <v>2598478</v>
      </c>
      <c r="F4" s="466">
        <v>1122709</v>
      </c>
      <c r="G4" s="466">
        <v>910921</v>
      </c>
      <c r="H4" s="466">
        <v>910535</v>
      </c>
      <c r="I4" s="466">
        <v>189523</v>
      </c>
      <c r="J4" s="467">
        <v>616220</v>
      </c>
      <c r="K4" s="466">
        <v>645552</v>
      </c>
      <c r="L4" s="466">
        <v>28025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11431623</v>
      </c>
      <c r="D13" s="1755">
        <f t="shared" ref="D13:L13" si="0">SUM(D4:D12)</f>
        <v>778564</v>
      </c>
      <c r="E13" s="1755">
        <f t="shared" si="0"/>
        <v>2598478</v>
      </c>
      <c r="F13" s="1755">
        <f t="shared" si="0"/>
        <v>1122709</v>
      </c>
      <c r="G13" s="1755">
        <f t="shared" si="0"/>
        <v>910921</v>
      </c>
      <c r="H13" s="1755">
        <f t="shared" si="0"/>
        <v>910535</v>
      </c>
      <c r="I13" s="1755">
        <f t="shared" si="0"/>
        <v>189523</v>
      </c>
      <c r="J13" s="1755">
        <f t="shared" si="0"/>
        <v>616220</v>
      </c>
      <c r="K13" s="1755">
        <f t="shared" si="0"/>
        <v>645552</v>
      </c>
      <c r="L13" s="1755">
        <f t="shared" si="0"/>
        <v>28025</v>
      </c>
      <c r="M13" s="468"/>
      <c r="N13" s="469"/>
    </row>
    <row r="14" spans="1:14" ht="18" customHeight="1" thickTop="1" x14ac:dyDescent="0.2">
      <c r="A14" s="2126" t="s">
        <v>149</v>
      </c>
      <c r="B14" s="2127"/>
      <c r="C14" s="1581"/>
      <c r="D14" s="1582"/>
      <c r="E14" s="1582"/>
      <c r="F14" s="1582"/>
      <c r="G14" s="1582"/>
      <c r="H14" s="1582"/>
      <c r="I14" s="1582"/>
      <c r="J14" s="1582"/>
      <c r="K14" s="1582"/>
      <c r="L14" s="1582"/>
      <c r="M14" s="1583"/>
      <c r="N14" s="158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47297</v>
      </c>
      <c r="N16" s="484"/>
    </row>
    <row r="17" spans="1:14" s="485" customFormat="1" ht="12.75" customHeight="1" x14ac:dyDescent="0.2">
      <c r="A17" s="482" t="s">
        <v>1470</v>
      </c>
      <c r="B17" s="483">
        <v>230</v>
      </c>
      <c r="C17" s="477"/>
      <c r="D17" s="477"/>
      <c r="E17" s="477"/>
      <c r="F17" s="477"/>
      <c r="G17" s="477"/>
      <c r="H17" s="477"/>
      <c r="I17" s="477"/>
      <c r="J17" s="477"/>
      <c r="K17" s="477"/>
      <c r="L17" s="477"/>
      <c r="M17" s="467">
        <v>25369844</v>
      </c>
      <c r="N17" s="484"/>
    </row>
    <row r="18" spans="1:14" s="485" customFormat="1" ht="12.75" customHeight="1" x14ac:dyDescent="0.2">
      <c r="A18" s="482" t="s">
        <v>1471</v>
      </c>
      <c r="B18" s="483">
        <v>240</v>
      </c>
      <c r="C18" s="477"/>
      <c r="D18" s="477"/>
      <c r="E18" s="477"/>
      <c r="F18" s="477"/>
      <c r="G18" s="477"/>
      <c r="H18" s="477"/>
      <c r="I18" s="477"/>
      <c r="J18" s="477"/>
      <c r="K18" s="477"/>
      <c r="L18" s="477"/>
      <c r="M18" s="467">
        <v>1262926</v>
      </c>
      <c r="N18" s="484"/>
    </row>
    <row r="19" spans="1:14" s="485" customFormat="1" ht="12.75" customHeight="1" x14ac:dyDescent="0.2">
      <c r="A19" s="482" t="s">
        <v>1472</v>
      </c>
      <c r="B19" s="483">
        <v>250</v>
      </c>
      <c r="C19" s="477"/>
      <c r="D19" s="477"/>
      <c r="E19" s="477"/>
      <c r="F19" s="477"/>
      <c r="G19" s="477"/>
      <c r="H19" s="477"/>
      <c r="I19" s="477"/>
      <c r="J19" s="477"/>
      <c r="K19" s="477"/>
      <c r="L19" s="477"/>
      <c r="M19" s="467">
        <v>1449250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2598478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580522</v>
      </c>
    </row>
    <row r="23" spans="1:14" ht="13.5" customHeight="1" thickBot="1" x14ac:dyDescent="0.25">
      <c r="A23" s="1754" t="s">
        <v>664</v>
      </c>
      <c r="B23" s="1759"/>
      <c r="C23" s="468"/>
      <c r="D23" s="468"/>
      <c r="E23" s="468"/>
      <c r="F23" s="468"/>
      <c r="G23" s="468"/>
      <c r="H23" s="468"/>
      <c r="I23" s="468"/>
      <c r="J23" s="468"/>
      <c r="K23" s="468"/>
      <c r="L23" s="468"/>
      <c r="M23" s="1706">
        <f>SUM(M15:M22)</f>
        <v>28129317</v>
      </c>
      <c r="N23" s="1706">
        <f>SUM(N21:N22)</f>
        <v>3179000</v>
      </c>
    </row>
    <row r="24" spans="1:14" ht="18" customHeight="1" thickTop="1" x14ac:dyDescent="0.2">
      <c r="A24" s="2128" t="s">
        <v>619</v>
      </c>
      <c r="B24" s="2129"/>
      <c r="C24" s="1586"/>
      <c r="D24" s="1583"/>
      <c r="E24" s="1583"/>
      <c r="F24" s="1583"/>
      <c r="G24" s="1583"/>
      <c r="H24" s="1583"/>
      <c r="I24" s="1583"/>
      <c r="J24" s="1583"/>
      <c r="K24" s="1583"/>
      <c r="L24" s="1583"/>
      <c r="M24" s="1582"/>
      <c r="N24" s="158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5283</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28025</v>
      </c>
      <c r="M33" s="468"/>
      <c r="N33" s="469"/>
    </row>
    <row r="34" spans="1:14" ht="13.5" customHeight="1" thickBot="1" x14ac:dyDescent="0.25">
      <c r="A34" s="1756" t="s">
        <v>675</v>
      </c>
      <c r="B34" s="1757"/>
      <c r="C34" s="1758">
        <f>SUM(C25:C33)</f>
        <v>5283</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28025</v>
      </c>
      <c r="M34" s="468"/>
      <c r="N34" s="480"/>
    </row>
    <row r="35" spans="1:14" ht="18" customHeight="1" thickTop="1" x14ac:dyDescent="0.2">
      <c r="A35" s="2130" t="s">
        <v>550</v>
      </c>
      <c r="B35" s="2131"/>
      <c r="C35" s="1588"/>
      <c r="D35" s="1589"/>
      <c r="E35" s="1589"/>
      <c r="F35" s="1589"/>
      <c r="G35" s="1589"/>
      <c r="H35" s="1589"/>
      <c r="I35" s="1589"/>
      <c r="J35" s="1589"/>
      <c r="K35" s="1589"/>
      <c r="L35" s="1589"/>
      <c r="M35" s="1583"/>
      <c r="N35" s="1587"/>
    </row>
    <row r="36" spans="1:14" x14ac:dyDescent="0.2">
      <c r="A36" s="494" t="s">
        <v>1</v>
      </c>
      <c r="B36" s="470">
        <v>511</v>
      </c>
      <c r="C36" s="477"/>
      <c r="D36" s="477"/>
      <c r="E36" s="477"/>
      <c r="F36" s="477"/>
      <c r="G36" s="477"/>
      <c r="H36" s="477"/>
      <c r="I36" s="477"/>
      <c r="J36" s="477"/>
      <c r="K36" s="477"/>
      <c r="L36" s="468"/>
      <c r="M36" s="468"/>
      <c r="N36" s="495">
        <f>'Short-Term Long-Term Debt 24'!I49</f>
        <v>3179000</v>
      </c>
    </row>
    <row r="37" spans="1:14" ht="13.5" thickBot="1" x14ac:dyDescent="0.25">
      <c r="A37" s="1754" t="s">
        <v>674</v>
      </c>
      <c r="B37" s="1759"/>
      <c r="C37" s="477"/>
      <c r="D37" s="477"/>
      <c r="E37" s="477"/>
      <c r="F37" s="477"/>
      <c r="G37" s="477"/>
      <c r="H37" s="477"/>
      <c r="I37" s="477"/>
      <c r="J37" s="477"/>
      <c r="K37" s="477"/>
      <c r="L37" s="480"/>
      <c r="M37" s="468"/>
      <c r="N37" s="1706">
        <f>SUM(N36:N36)</f>
        <v>3179000</v>
      </c>
    </row>
    <row r="38" spans="1:14" s="329" customFormat="1" ht="13.5" customHeight="1" thickTop="1" x14ac:dyDescent="0.2">
      <c r="A38" s="496" t="s">
        <v>440</v>
      </c>
      <c r="B38" s="483">
        <v>714</v>
      </c>
      <c r="C38" s="466">
        <v>247446</v>
      </c>
      <c r="D38" s="466">
        <v>778564</v>
      </c>
      <c r="E38" s="466">
        <v>2598478</v>
      </c>
      <c r="F38" s="466">
        <v>1122709</v>
      </c>
      <c r="G38" s="466">
        <v>910921</v>
      </c>
      <c r="H38" s="466">
        <v>910535</v>
      </c>
      <c r="I38" s="466">
        <v>189523</v>
      </c>
      <c r="J38" s="467">
        <v>616220</v>
      </c>
      <c r="K38" s="466">
        <v>645552</v>
      </c>
      <c r="L38" s="481"/>
      <c r="M38" s="497"/>
      <c r="N38" s="497"/>
    </row>
    <row r="39" spans="1:14" s="329" customFormat="1" ht="13.5" customHeight="1" x14ac:dyDescent="0.2">
      <c r="A39" s="496" t="s">
        <v>360</v>
      </c>
      <c r="B39" s="483">
        <v>730</v>
      </c>
      <c r="C39" s="466">
        <v>11178894</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28129317</v>
      </c>
      <c r="N40" s="497"/>
    </row>
    <row r="41" spans="1:14" ht="13.5" customHeight="1" thickBot="1" x14ac:dyDescent="0.25">
      <c r="A41" s="1754" t="s">
        <v>676</v>
      </c>
      <c r="B41" s="1724"/>
      <c r="C41" s="1706">
        <f>(SUM(C34,C37,C38,C39))</f>
        <v>11431623</v>
      </c>
      <c r="D41" s="1706">
        <f t="shared" ref="D41:L41" si="2">SUM(D34,D37,D38:D39)</f>
        <v>778564</v>
      </c>
      <c r="E41" s="1706">
        <f t="shared" si="2"/>
        <v>2598478</v>
      </c>
      <c r="F41" s="1706">
        <f t="shared" si="2"/>
        <v>1122709</v>
      </c>
      <c r="G41" s="1706">
        <f t="shared" si="2"/>
        <v>910921</v>
      </c>
      <c r="H41" s="1706">
        <f t="shared" si="2"/>
        <v>910535</v>
      </c>
      <c r="I41" s="1706">
        <f t="shared" si="2"/>
        <v>189523</v>
      </c>
      <c r="J41" s="1706">
        <f t="shared" si="2"/>
        <v>616220</v>
      </c>
      <c r="K41" s="1706">
        <f t="shared" si="2"/>
        <v>645552</v>
      </c>
      <c r="L41" s="1706">
        <f t="shared" si="2"/>
        <v>28025</v>
      </c>
      <c r="M41" s="1706">
        <f>SUM(M40)</f>
        <v>28129317</v>
      </c>
      <c r="N41" s="1706">
        <f>SUM(N37)</f>
        <v>3179000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4" activePane="bottomLeft" state="frozenSplit"/>
      <selection activeCell="A47" sqref="A47"/>
      <selection pane="bottomLeft" activeCell="C27" sqref="C2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1"/>
      <c r="D3" s="1592"/>
      <c r="E3" s="1592"/>
      <c r="F3" s="1592"/>
      <c r="G3" s="1592"/>
      <c r="H3" s="1592"/>
      <c r="I3" s="1592"/>
      <c r="J3" s="1592"/>
      <c r="K3" s="1593"/>
      <c r="L3" s="506"/>
    </row>
    <row r="4" spans="1:13" ht="15.75" customHeight="1" x14ac:dyDescent="0.2">
      <c r="A4" s="1950" t="s">
        <v>1579</v>
      </c>
      <c r="B4" s="1951">
        <v>1000</v>
      </c>
      <c r="C4" s="1760">
        <f>'Revenues 9-14'!C109</f>
        <v>2871737</v>
      </c>
      <c r="D4" s="1760">
        <f>'Revenues 9-14'!D109</f>
        <v>460654</v>
      </c>
      <c r="E4" s="1760">
        <f>'Revenues 9-14'!E109</f>
        <v>571370</v>
      </c>
      <c r="F4" s="1760">
        <f>'Revenues 9-14'!F109</f>
        <v>304061</v>
      </c>
      <c r="G4" s="1760">
        <f>'Revenues 9-14'!G109</f>
        <v>511824</v>
      </c>
      <c r="H4" s="1760">
        <f>'Revenues 9-14'!H109</f>
        <v>9134</v>
      </c>
      <c r="I4" s="1760">
        <f>'Revenues 9-14'!I109</f>
        <v>4213</v>
      </c>
      <c r="J4" s="1760">
        <f>'Revenues 9-14'!J109</f>
        <v>476538</v>
      </c>
      <c r="K4" s="1760">
        <f>'Revenues 9-14'!K109</f>
        <v>24561</v>
      </c>
      <c r="L4" s="347"/>
    </row>
    <row r="5" spans="1:13" ht="15.75" customHeight="1" x14ac:dyDescent="0.2">
      <c r="A5" s="1594" t="s">
        <v>1580</v>
      </c>
      <c r="B5" s="1595">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4" t="s">
        <v>1581</v>
      </c>
      <c r="B6" s="1596">
        <v>3000</v>
      </c>
      <c r="C6" s="1761">
        <f>'Revenues 9-14'!C173</f>
        <v>7686502</v>
      </c>
      <c r="D6" s="1761">
        <f>'Revenues 9-14'!D173</f>
        <v>855644</v>
      </c>
      <c r="E6" s="1761">
        <f>'Revenues 9-14'!E173</f>
        <v>0</v>
      </c>
      <c r="F6" s="1761">
        <f>'Revenues 9-14'!F173</f>
        <v>766456</v>
      </c>
      <c r="G6" s="1761">
        <f>'Revenues 9-14'!G173</f>
        <v>0</v>
      </c>
      <c r="H6" s="1761">
        <f>'Revenues 9-14'!H173</f>
        <v>187448</v>
      </c>
      <c r="I6" s="1761">
        <f>'Revenues 9-14'!I173</f>
        <v>0</v>
      </c>
      <c r="J6" s="1761">
        <f>'Revenues 9-14'!J173</f>
        <v>275000</v>
      </c>
      <c r="K6" s="1761">
        <f>'Revenues 9-14'!K173</f>
        <v>5000</v>
      </c>
      <c r="L6" s="347"/>
      <c r="M6" s="513"/>
    </row>
    <row r="7" spans="1:13" ht="15.75" customHeight="1" x14ac:dyDescent="0.2">
      <c r="A7" s="1594" t="s">
        <v>1582</v>
      </c>
      <c r="B7" s="1596">
        <v>4000</v>
      </c>
      <c r="C7" s="1761">
        <f>'Revenues 9-14'!C274</f>
        <v>1344854</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11903093</v>
      </c>
      <c r="D8" s="1706">
        <f t="shared" ref="D8:K8" si="0">SUM(D4:D7)</f>
        <v>1316298</v>
      </c>
      <c r="E8" s="1706">
        <f t="shared" si="0"/>
        <v>571370</v>
      </c>
      <c r="F8" s="1706">
        <f t="shared" si="0"/>
        <v>1070517</v>
      </c>
      <c r="G8" s="1706">
        <f t="shared" si="0"/>
        <v>511824</v>
      </c>
      <c r="H8" s="1706">
        <f t="shared" si="0"/>
        <v>196582</v>
      </c>
      <c r="I8" s="1706">
        <f t="shared" si="0"/>
        <v>4213</v>
      </c>
      <c r="J8" s="1706">
        <f t="shared" si="0"/>
        <v>751538</v>
      </c>
      <c r="K8" s="1706">
        <f t="shared" si="0"/>
        <v>29561</v>
      </c>
      <c r="L8" s="347"/>
    </row>
    <row r="9" spans="1:13" ht="15.75" thickTop="1" x14ac:dyDescent="0.2">
      <c r="A9" s="514" t="s">
        <v>1752</v>
      </c>
      <c r="B9" s="515">
        <v>3998</v>
      </c>
      <c r="C9" s="481">
        <v>2957484</v>
      </c>
      <c r="D9" s="516"/>
      <c r="E9" s="481"/>
      <c r="F9" s="481"/>
      <c r="G9" s="517"/>
      <c r="H9" s="481"/>
      <c r="I9" s="509" t="s">
        <v>1231</v>
      </c>
      <c r="J9" s="478"/>
      <c r="K9" s="481"/>
      <c r="L9" s="347"/>
    </row>
    <row r="10" spans="1:13" s="519" customFormat="1" ht="13.5" thickBot="1" x14ac:dyDescent="0.25">
      <c r="A10" s="1754" t="s">
        <v>1235</v>
      </c>
      <c r="B10" s="1727"/>
      <c r="C10" s="1706">
        <f>SUM(C8:C9)</f>
        <v>14860577</v>
      </c>
      <c r="D10" s="1706">
        <f t="shared" ref="D10:K10" si="1">SUM(D8:D9)</f>
        <v>1316298</v>
      </c>
      <c r="E10" s="1706">
        <f t="shared" si="1"/>
        <v>571370</v>
      </c>
      <c r="F10" s="1706">
        <f t="shared" si="1"/>
        <v>1070517</v>
      </c>
      <c r="G10" s="1706">
        <f t="shared" si="1"/>
        <v>511824</v>
      </c>
      <c r="H10" s="1706">
        <f t="shared" si="1"/>
        <v>196582</v>
      </c>
      <c r="I10" s="1706">
        <f t="shared" si="1"/>
        <v>4213</v>
      </c>
      <c r="J10" s="1706">
        <f t="shared" si="1"/>
        <v>751538</v>
      </c>
      <c r="K10" s="1706">
        <f t="shared" si="1"/>
        <v>29561</v>
      </c>
      <c r="L10" s="518"/>
    </row>
    <row r="11" spans="1:13" s="519" customFormat="1" ht="16.7" customHeight="1" thickTop="1" x14ac:dyDescent="0.2">
      <c r="A11" s="2126" t="s">
        <v>1238</v>
      </c>
      <c r="B11" s="2127"/>
      <c r="C11" s="1588"/>
      <c r="D11" s="1589"/>
      <c r="E11" s="1589"/>
      <c r="F11" s="1589"/>
      <c r="G11" s="1589"/>
      <c r="H11" s="1589"/>
      <c r="I11" s="1589"/>
      <c r="J11" s="1589"/>
      <c r="K11" s="1590"/>
      <c r="L11" s="518"/>
    </row>
    <row r="12" spans="1:13" ht="15.75" customHeight="1" x14ac:dyDescent="0.2">
      <c r="A12" s="1594" t="s">
        <v>476</v>
      </c>
      <c r="B12" s="1596">
        <v>1000</v>
      </c>
      <c r="C12" s="1760">
        <f>'Expenditures 15-22'!K33</f>
        <v>5350268</v>
      </c>
      <c r="D12" s="520" t="s">
        <v>1231</v>
      </c>
      <c r="E12" s="468" t="s">
        <v>1231</v>
      </c>
      <c r="F12" s="468" t="s">
        <v>1231</v>
      </c>
      <c r="G12" s="1760">
        <f>'Expenditures 15-22'!K229</f>
        <v>136171</v>
      </c>
      <c r="H12" s="521"/>
      <c r="I12" s="468" t="s">
        <v>1231</v>
      </c>
      <c r="J12" s="468" t="s">
        <v>1231</v>
      </c>
      <c r="K12" s="521" t="s">
        <v>1231</v>
      </c>
      <c r="L12" s="347"/>
    </row>
    <row r="13" spans="1:13" ht="15.75" customHeight="1" x14ac:dyDescent="0.2">
      <c r="A13" s="1594" t="s">
        <v>477</v>
      </c>
      <c r="B13" s="1596">
        <v>2000</v>
      </c>
      <c r="C13" s="1761">
        <f>'Expenditures 15-22'!K74</f>
        <v>4041478</v>
      </c>
      <c r="D13" s="1761">
        <f>'Expenditures 15-22'!K129</f>
        <v>947191</v>
      </c>
      <c r="E13" s="469" t="s">
        <v>1231</v>
      </c>
      <c r="F13" s="1761">
        <f>'Expenditures 15-22'!K184</f>
        <v>961209</v>
      </c>
      <c r="G13" s="1761">
        <f>'Expenditures 15-22'!K279</f>
        <v>177861</v>
      </c>
      <c r="H13" s="1761">
        <f>'Expenditures 15-22'!K303</f>
        <v>0</v>
      </c>
      <c r="I13" s="468" t="s">
        <v>1231</v>
      </c>
      <c r="J13" s="1761">
        <f>'Expenditures 15-22'!K330</f>
        <v>316583</v>
      </c>
      <c r="K13" s="1765">
        <f>'Expenditures 15-22'!K352</f>
        <v>17800</v>
      </c>
      <c r="L13" s="347"/>
    </row>
    <row r="14" spans="1:13" ht="15.75" customHeight="1" x14ac:dyDescent="0.2">
      <c r="A14" s="1594" t="s">
        <v>469</v>
      </c>
      <c r="B14" s="1596">
        <v>3000</v>
      </c>
      <c r="C14" s="1761">
        <f>'Expenditures 15-22'!K75</f>
        <v>20953</v>
      </c>
      <c r="D14" s="1761">
        <f>'Expenditures 15-22'!K130</f>
        <v>0</v>
      </c>
      <c r="E14" s="520" t="s">
        <v>1231</v>
      </c>
      <c r="F14" s="1761">
        <f>'Expenditures 15-22'!K185</f>
        <v>0</v>
      </c>
      <c r="G14" s="1761">
        <f>'Expenditures 15-22'!K280</f>
        <v>799</v>
      </c>
      <c r="H14" s="512"/>
      <c r="I14" s="468" t="s">
        <v>1231</v>
      </c>
      <c r="J14" s="468" t="s">
        <v>1231</v>
      </c>
      <c r="K14" s="512" t="s">
        <v>1231</v>
      </c>
      <c r="L14" s="347"/>
    </row>
    <row r="15" spans="1:13" ht="15.75" customHeight="1" x14ac:dyDescent="0.2">
      <c r="A15" s="1594" t="s">
        <v>109</v>
      </c>
      <c r="B15" s="1596">
        <v>4000</v>
      </c>
      <c r="C15" s="1761">
        <f>'Expenditures 15-22'!K102</f>
        <v>1481951</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4" t="s">
        <v>470</v>
      </c>
      <c r="B16" s="1596">
        <v>5000</v>
      </c>
      <c r="C16" s="1761">
        <f>'Expenditures 15-22'!K112</f>
        <v>0</v>
      </c>
      <c r="D16" s="1761">
        <f>'Expenditures 15-22'!K149</f>
        <v>0</v>
      </c>
      <c r="E16" s="1761">
        <f>'Expenditures 15-22'!K172</f>
        <v>661529</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10894650</v>
      </c>
      <c r="D17" s="1706">
        <f t="shared" si="2"/>
        <v>947191</v>
      </c>
      <c r="E17" s="1706">
        <f t="shared" si="2"/>
        <v>661529</v>
      </c>
      <c r="F17" s="1706">
        <f t="shared" si="2"/>
        <v>961209</v>
      </c>
      <c r="G17" s="1706">
        <f t="shared" si="2"/>
        <v>314831</v>
      </c>
      <c r="H17" s="1706">
        <f t="shared" si="2"/>
        <v>0</v>
      </c>
      <c r="I17" s="468"/>
      <c r="J17" s="1706">
        <f>SUM(J12:J16)</f>
        <v>316583</v>
      </c>
      <c r="K17" s="1706">
        <f>SUM(K12:K16)</f>
        <v>17800</v>
      </c>
      <c r="L17" s="347"/>
    </row>
    <row r="18" spans="1:12" ht="15" customHeight="1" thickTop="1" x14ac:dyDescent="0.2">
      <c r="A18" s="1762" t="s">
        <v>1753</v>
      </c>
      <c r="B18" s="1763">
        <v>4180</v>
      </c>
      <c r="C18" s="1760">
        <f t="shared" ref="C18:H18" si="3">C9</f>
        <v>2957484</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13852134</v>
      </c>
      <c r="D19" s="1706">
        <f t="shared" si="4"/>
        <v>947191</v>
      </c>
      <c r="E19" s="1706">
        <f t="shared" si="4"/>
        <v>661529</v>
      </c>
      <c r="F19" s="1706">
        <f t="shared" si="4"/>
        <v>961209</v>
      </c>
      <c r="G19" s="1706">
        <f t="shared" si="4"/>
        <v>314831</v>
      </c>
      <c r="H19" s="1706">
        <f t="shared" si="4"/>
        <v>0</v>
      </c>
      <c r="I19" s="468"/>
      <c r="J19" s="1706">
        <f>SUM(J17:J18)</f>
        <v>316583</v>
      </c>
      <c r="K19" s="1706">
        <f>SUM(K17:K18)</f>
        <v>17800</v>
      </c>
      <c r="L19" s="347"/>
    </row>
    <row r="20" spans="1:12" ht="16.5" thickTop="1" thickBot="1" x14ac:dyDescent="0.25">
      <c r="A20" s="2142" t="s">
        <v>1754</v>
      </c>
      <c r="B20" s="2143"/>
      <c r="C20" s="1764">
        <f>C8-C17</f>
        <v>1008443</v>
      </c>
      <c r="D20" s="1764">
        <f t="shared" ref="D20:K20" si="5">D8-D17</f>
        <v>369107</v>
      </c>
      <c r="E20" s="1764">
        <f t="shared" si="5"/>
        <v>-90159</v>
      </c>
      <c r="F20" s="1764">
        <f t="shared" si="5"/>
        <v>109308</v>
      </c>
      <c r="G20" s="1764">
        <f t="shared" si="5"/>
        <v>196993</v>
      </c>
      <c r="H20" s="1764">
        <f t="shared" si="5"/>
        <v>196582</v>
      </c>
      <c r="I20" s="1764">
        <f t="shared" si="5"/>
        <v>4213</v>
      </c>
      <c r="J20" s="1764">
        <f t="shared" si="5"/>
        <v>434955</v>
      </c>
      <c r="K20" s="1764">
        <f t="shared" si="5"/>
        <v>11761</v>
      </c>
      <c r="L20" s="347"/>
    </row>
    <row r="21" spans="1:12" ht="16.7" customHeight="1" thickTop="1" x14ac:dyDescent="0.2">
      <c r="A21" s="2154" t="s">
        <v>616</v>
      </c>
      <c r="B21" s="2155"/>
      <c r="C21" s="1588"/>
      <c r="D21" s="1589"/>
      <c r="E21" s="1589"/>
      <c r="F21" s="1589"/>
      <c r="G21" s="1589"/>
      <c r="H21" s="1589"/>
      <c r="I21" s="1589"/>
      <c r="J21" s="1589"/>
      <c r="K21" s="1590"/>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07" t="s">
        <v>1755</v>
      </c>
      <c r="B24" s="525">
        <v>7110</v>
      </c>
      <c r="C24" s="467"/>
      <c r="D24" s="477"/>
      <c r="E24" s="477"/>
      <c r="F24" s="477"/>
      <c r="G24" s="477"/>
      <c r="H24" s="477"/>
      <c r="I24" s="477"/>
      <c r="J24" s="477"/>
      <c r="K24" s="477"/>
      <c r="L24" s="524"/>
    </row>
    <row r="25" spans="1:12" s="485" customFormat="1" ht="13.5" customHeight="1" x14ac:dyDescent="0.2">
      <c r="A25" s="1507" t="s">
        <v>1756</v>
      </c>
      <c r="B25" s="525">
        <v>7110</v>
      </c>
      <c r="C25" s="467"/>
      <c r="D25" s="467"/>
      <c r="E25" s="467"/>
      <c r="F25" s="467"/>
      <c r="G25" s="467"/>
      <c r="H25" s="467"/>
      <c r="I25" s="477"/>
      <c r="J25" s="467"/>
      <c r="K25" s="467"/>
      <c r="L25" s="524"/>
    </row>
    <row r="26" spans="1:12" s="485" customFormat="1" ht="13.5" customHeight="1" x14ac:dyDescent="0.2">
      <c r="A26" s="1507" t="s">
        <v>193</v>
      </c>
      <c r="B26" s="483">
        <v>7120</v>
      </c>
      <c r="C26" s="467"/>
      <c r="D26" s="467"/>
      <c r="E26" s="467"/>
      <c r="F26" s="467"/>
      <c r="G26" s="467"/>
      <c r="H26" s="467"/>
      <c r="I26" s="477"/>
      <c r="J26" s="467"/>
      <c r="K26" s="467"/>
      <c r="L26" s="524"/>
    </row>
    <row r="27" spans="1:12" s="485" customFormat="1" ht="13.5" customHeight="1" x14ac:dyDescent="0.2">
      <c r="A27" s="1507" t="s">
        <v>194</v>
      </c>
      <c r="B27" s="483">
        <v>7130</v>
      </c>
      <c r="C27" s="467"/>
      <c r="D27" s="467">
        <v>1850000</v>
      </c>
      <c r="E27" s="526"/>
      <c r="F27" s="467"/>
      <c r="G27" s="480"/>
      <c r="H27" s="480"/>
      <c r="I27" s="480"/>
      <c r="J27" s="480"/>
      <c r="K27" s="480"/>
      <c r="L27" s="524"/>
    </row>
    <row r="28" spans="1:12" s="485" customFormat="1" ht="13.5" customHeight="1" x14ac:dyDescent="0.2">
      <c r="A28" s="1507" t="s">
        <v>1465</v>
      </c>
      <c r="B28" s="483">
        <v>7140</v>
      </c>
      <c r="C28" s="467">
        <v>1850000</v>
      </c>
      <c r="D28" s="467"/>
      <c r="E28" s="467"/>
      <c r="F28" s="467"/>
      <c r="G28" s="467"/>
      <c r="H28" s="467"/>
      <c r="I28" s="467"/>
      <c r="J28" s="467"/>
      <c r="K28" s="467"/>
      <c r="L28" s="524"/>
    </row>
    <row r="29" spans="1:12" s="485" customFormat="1" ht="13.5" customHeight="1" x14ac:dyDescent="0.2">
      <c r="A29" s="1507" t="s">
        <v>312</v>
      </c>
      <c r="B29" s="483">
        <v>7150</v>
      </c>
      <c r="C29" s="475"/>
      <c r="D29" s="467"/>
      <c r="E29" s="475"/>
      <c r="F29" s="475"/>
      <c r="G29" s="475"/>
      <c r="H29" s="475"/>
      <c r="I29" s="475"/>
      <c r="J29" s="475"/>
      <c r="K29" s="475"/>
      <c r="L29" s="524"/>
    </row>
    <row r="30" spans="1:12" s="485" customFormat="1" ht="26.25" x14ac:dyDescent="0.2">
      <c r="A30" s="1507" t="s">
        <v>1897</v>
      </c>
      <c r="B30" s="527">
        <v>7160</v>
      </c>
      <c r="C30" s="477"/>
      <c r="D30" s="467"/>
      <c r="E30" s="477"/>
      <c r="F30" s="477"/>
      <c r="G30" s="477"/>
      <c r="H30" s="477"/>
      <c r="I30" s="477"/>
      <c r="J30" s="477"/>
      <c r="K30" s="477"/>
      <c r="L30" s="524"/>
    </row>
    <row r="31" spans="1:12" s="485" customFormat="1" ht="26.25" x14ac:dyDescent="0.2">
      <c r="A31" s="1507"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07" t="s">
        <v>432</v>
      </c>
      <c r="B33" s="525">
        <v>7210</v>
      </c>
      <c r="C33" s="467"/>
      <c r="D33" s="467"/>
      <c r="E33" s="467"/>
      <c r="F33" s="467"/>
      <c r="G33" s="477"/>
      <c r="H33" s="467"/>
      <c r="I33" s="467"/>
      <c r="J33" s="467"/>
      <c r="K33" s="467"/>
      <c r="L33" s="524"/>
    </row>
    <row r="34" spans="1:12" s="485" customFormat="1" x14ac:dyDescent="0.2">
      <c r="A34" s="1507" t="s">
        <v>1058</v>
      </c>
      <c r="B34" s="525">
        <v>7220</v>
      </c>
      <c r="C34" s="467"/>
      <c r="D34" s="467"/>
      <c r="E34" s="467"/>
      <c r="F34" s="467"/>
      <c r="G34" s="477"/>
      <c r="H34" s="478"/>
      <c r="I34" s="478"/>
      <c r="J34" s="478"/>
      <c r="K34" s="478"/>
      <c r="L34" s="524"/>
    </row>
    <row r="35" spans="1:12" s="485" customFormat="1" x14ac:dyDescent="0.2">
      <c r="A35" s="1507" t="s">
        <v>1047</v>
      </c>
      <c r="B35" s="525">
        <v>7230</v>
      </c>
      <c r="C35" s="467"/>
      <c r="D35" s="467"/>
      <c r="E35" s="467"/>
      <c r="F35" s="467"/>
      <c r="G35" s="480"/>
      <c r="H35" s="467"/>
      <c r="I35" s="467"/>
      <c r="J35" s="467"/>
      <c r="K35" s="467"/>
      <c r="L35" s="524"/>
    </row>
    <row r="36" spans="1:12" s="485" customFormat="1" ht="15" x14ac:dyDescent="0.2">
      <c r="A36" s="1507" t="s">
        <v>1757</v>
      </c>
      <c r="B36" s="525">
        <v>7300</v>
      </c>
      <c r="C36" s="467">
        <v>7500</v>
      </c>
      <c r="D36" s="467"/>
      <c r="E36" s="467"/>
      <c r="F36" s="467"/>
      <c r="G36" s="467"/>
      <c r="H36" s="467"/>
      <c r="I36" s="475"/>
      <c r="J36" s="467"/>
      <c r="K36" s="467"/>
      <c r="L36" s="524"/>
    </row>
    <row r="37" spans="1:12" s="485" customFormat="1" x14ac:dyDescent="0.2">
      <c r="A37" s="1507" t="s">
        <v>461</v>
      </c>
      <c r="B37" s="525">
        <v>7400</v>
      </c>
      <c r="C37" s="475"/>
      <c r="D37" s="475"/>
      <c r="E37" s="1761">
        <f>SUM(C54:D57,H54:H57)</f>
        <v>0</v>
      </c>
      <c r="F37" s="475"/>
      <c r="G37" s="475"/>
      <c r="H37" s="475"/>
      <c r="I37" s="477"/>
      <c r="J37" s="475"/>
      <c r="K37" s="475"/>
      <c r="L37" s="524"/>
    </row>
    <row r="38" spans="1:12" s="485" customFormat="1" x14ac:dyDescent="0.2">
      <c r="A38" s="1507" t="s">
        <v>462</v>
      </c>
      <c r="B38" s="525">
        <v>7500</v>
      </c>
      <c r="C38" s="477"/>
      <c r="D38" s="477"/>
      <c r="E38" s="1761">
        <f>SUM(C58:D61,H58:H61)</f>
        <v>0</v>
      </c>
      <c r="F38" s="477"/>
      <c r="G38" s="477"/>
      <c r="H38" s="477"/>
      <c r="I38" s="477"/>
      <c r="J38" s="477"/>
      <c r="K38" s="477"/>
      <c r="L38" s="524"/>
    </row>
    <row r="39" spans="1:12" s="485" customFormat="1" x14ac:dyDescent="0.2">
      <c r="A39" s="1507" t="s">
        <v>463</v>
      </c>
      <c r="B39" s="525">
        <v>7600</v>
      </c>
      <c r="C39" s="477"/>
      <c r="D39" s="477"/>
      <c r="E39" s="1761">
        <f>SUM(C62:D65)</f>
        <v>0</v>
      </c>
      <c r="F39" s="477"/>
      <c r="G39" s="477"/>
      <c r="H39" s="477"/>
      <c r="I39" s="477"/>
      <c r="J39" s="477"/>
      <c r="K39" s="477"/>
      <c r="L39" s="524"/>
    </row>
    <row r="40" spans="1:12" s="485" customFormat="1" ht="13.5" customHeight="1" x14ac:dyDescent="0.2">
      <c r="A40" s="1507" t="s">
        <v>663</v>
      </c>
      <c r="B40" s="483">
        <v>7700</v>
      </c>
      <c r="C40" s="477"/>
      <c r="D40" s="477"/>
      <c r="E40" s="1761">
        <f>SUM(C66:D69)</f>
        <v>0</v>
      </c>
      <c r="F40" s="477"/>
      <c r="G40" s="477"/>
      <c r="H40" s="480"/>
      <c r="I40" s="477"/>
      <c r="J40" s="477"/>
      <c r="K40" s="477"/>
      <c r="L40" s="524"/>
    </row>
    <row r="41" spans="1:12" s="485" customFormat="1" ht="13.5" customHeight="1" x14ac:dyDescent="0.2">
      <c r="A41" s="1507" t="s">
        <v>661</v>
      </c>
      <c r="B41" s="483">
        <v>7800</v>
      </c>
      <c r="C41" s="480"/>
      <c r="D41" s="480"/>
      <c r="E41" s="526"/>
      <c r="F41" s="480"/>
      <c r="G41" s="480"/>
      <c r="H41" s="1761">
        <f>SUM(C70:D73)</f>
        <v>0</v>
      </c>
      <c r="I41" s="477"/>
      <c r="J41" s="477"/>
      <c r="K41" s="480"/>
      <c r="L41" s="524"/>
    </row>
    <row r="42" spans="1:12" s="485" customFormat="1" ht="13.5" customHeight="1" x14ac:dyDescent="0.2">
      <c r="A42" s="1507" t="s">
        <v>662</v>
      </c>
      <c r="B42" s="483">
        <v>7900</v>
      </c>
      <c r="C42" s="467"/>
      <c r="D42" s="467"/>
      <c r="E42" s="467"/>
      <c r="F42" s="467"/>
      <c r="G42" s="467"/>
      <c r="H42" s="467"/>
      <c r="I42" s="480"/>
      <c r="J42" s="480"/>
      <c r="K42" s="467"/>
      <c r="L42" s="524"/>
    </row>
    <row r="43" spans="1:12" s="485" customFormat="1" ht="13.5" customHeight="1" x14ac:dyDescent="0.2">
      <c r="A43" s="1507"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1">
        <f>SUM(C24:C43)</f>
        <v>1857500</v>
      </c>
      <c r="D44" s="1721">
        <f t="shared" ref="D44:K44" si="6">SUM(D24:D43)</f>
        <v>1850000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08" t="s">
        <v>1758</v>
      </c>
      <c r="B47" s="483">
        <v>8110</v>
      </c>
      <c r="C47" s="477"/>
      <c r="D47" s="477"/>
      <c r="E47" s="477"/>
      <c r="F47" s="477"/>
      <c r="G47" s="477"/>
      <c r="H47" s="477"/>
      <c r="I47" s="1761">
        <f>SUM(C24,C25:H25,J25:K25)</f>
        <v>0</v>
      </c>
      <c r="J47" s="477"/>
      <c r="K47" s="477"/>
      <c r="L47" s="529"/>
    </row>
    <row r="48" spans="1:12" s="485" customFormat="1" ht="15" x14ac:dyDescent="0.2">
      <c r="A48" s="1508" t="s">
        <v>1759</v>
      </c>
      <c r="B48" s="483">
        <v>8120</v>
      </c>
      <c r="C48" s="480"/>
      <c r="D48" s="480"/>
      <c r="E48" s="477"/>
      <c r="F48" s="480"/>
      <c r="G48" s="477"/>
      <c r="H48" s="477"/>
      <c r="I48" s="1761">
        <f>SUM(C26:H26,J26,K26)</f>
        <v>0</v>
      </c>
      <c r="J48" s="477"/>
      <c r="K48" s="477"/>
      <c r="L48" s="529"/>
    </row>
    <row r="49" spans="1:12" s="485" customFormat="1" x14ac:dyDescent="0.2">
      <c r="A49" s="1508" t="s">
        <v>194</v>
      </c>
      <c r="B49" s="483">
        <v>8130</v>
      </c>
      <c r="C49" s="467"/>
      <c r="D49" s="467">
        <v>1850000</v>
      </c>
      <c r="E49" s="480"/>
      <c r="F49" s="467"/>
      <c r="G49" s="480"/>
      <c r="H49" s="480"/>
      <c r="I49" s="477"/>
      <c r="J49" s="480"/>
      <c r="K49" s="477"/>
      <c r="L49" s="524"/>
    </row>
    <row r="50" spans="1:12" s="485" customFormat="1" x14ac:dyDescent="0.2">
      <c r="A50" s="1508" t="s">
        <v>1465</v>
      </c>
      <c r="B50" s="483">
        <v>8140</v>
      </c>
      <c r="C50" s="467"/>
      <c r="D50" s="467"/>
      <c r="E50" s="467"/>
      <c r="F50" s="467"/>
      <c r="G50" s="467"/>
      <c r="H50" s="467"/>
      <c r="I50" s="477"/>
      <c r="J50" s="467">
        <v>1850000</v>
      </c>
      <c r="K50" s="477"/>
      <c r="L50" s="524"/>
    </row>
    <row r="51" spans="1:12" s="485" customFormat="1" x14ac:dyDescent="0.2">
      <c r="A51" s="1508" t="s">
        <v>312</v>
      </c>
      <c r="B51" s="483">
        <v>8150</v>
      </c>
      <c r="C51" s="475"/>
      <c r="D51" s="475"/>
      <c r="E51" s="475"/>
      <c r="F51" s="475"/>
      <c r="G51" s="475"/>
      <c r="H51" s="1761">
        <f>SUM(D29)</f>
        <v>0</v>
      </c>
      <c r="I51" s="477"/>
      <c r="J51" s="475"/>
      <c r="K51" s="480"/>
      <c r="L51" s="524"/>
    </row>
    <row r="52" spans="1:12" s="485" customFormat="1" ht="26.25" x14ac:dyDescent="0.2">
      <c r="A52" s="1508" t="s">
        <v>1900</v>
      </c>
      <c r="B52" s="483">
        <v>8160</v>
      </c>
      <c r="C52" s="477"/>
      <c r="D52" s="477"/>
      <c r="E52" s="477"/>
      <c r="F52" s="477"/>
      <c r="G52" s="477"/>
      <c r="H52" s="477"/>
      <c r="I52" s="477"/>
      <c r="J52" s="477"/>
      <c r="K52" s="1761">
        <f>D30</f>
        <v>0</v>
      </c>
      <c r="L52" s="524"/>
    </row>
    <row r="53" spans="1:12" s="485" customFormat="1" ht="26.25" x14ac:dyDescent="0.2">
      <c r="A53" s="1508" t="s">
        <v>1899</v>
      </c>
      <c r="B53" s="483">
        <v>8170</v>
      </c>
      <c r="C53" s="480"/>
      <c r="D53" s="480"/>
      <c r="E53" s="477"/>
      <c r="F53" s="477"/>
      <c r="G53" s="477"/>
      <c r="H53" s="480"/>
      <c r="I53" s="477"/>
      <c r="J53" s="477"/>
      <c r="K53" s="1761">
        <f>E31</f>
        <v>0</v>
      </c>
      <c r="L53" s="524"/>
    </row>
    <row r="54" spans="1:12" s="485" customFormat="1" ht="13.5" thickBot="1" x14ac:dyDescent="0.25">
      <c r="A54" s="1508" t="s">
        <v>716</v>
      </c>
      <c r="B54" s="483">
        <v>8410</v>
      </c>
      <c r="C54" s="530"/>
      <c r="D54" s="530"/>
      <c r="E54" s="477"/>
      <c r="F54" s="477"/>
      <c r="G54" s="477"/>
      <c r="H54" s="530"/>
      <c r="I54" s="477"/>
      <c r="J54" s="477"/>
      <c r="K54" s="475"/>
      <c r="L54" s="524"/>
    </row>
    <row r="55" spans="1:12" s="485" customFormat="1" ht="14.25" thickTop="1" thickBot="1" x14ac:dyDescent="0.25">
      <c r="A55" s="1509" t="s">
        <v>717</v>
      </c>
      <c r="B55" s="483">
        <v>8420</v>
      </c>
      <c r="C55" s="531"/>
      <c r="D55" s="531"/>
      <c r="E55" s="477"/>
      <c r="F55" s="477"/>
      <c r="G55" s="477"/>
      <c r="H55" s="530"/>
      <c r="I55" s="477"/>
      <c r="J55" s="477"/>
      <c r="K55" s="477"/>
      <c r="L55" s="524"/>
    </row>
    <row r="56" spans="1:12" s="485" customFormat="1" ht="14.25" thickTop="1" thickBot="1" x14ac:dyDescent="0.25">
      <c r="A56" s="1508" t="s">
        <v>602</v>
      </c>
      <c r="B56" s="483">
        <v>8430</v>
      </c>
      <c r="C56" s="531"/>
      <c r="D56" s="531"/>
      <c r="E56" s="477"/>
      <c r="F56" s="477"/>
      <c r="G56" s="477"/>
      <c r="H56" s="530"/>
      <c r="I56" s="477"/>
      <c r="J56" s="477"/>
      <c r="K56" s="477"/>
      <c r="L56" s="524"/>
    </row>
    <row r="57" spans="1:12" s="485" customFormat="1" ht="14.25" thickTop="1" thickBot="1" x14ac:dyDescent="0.25">
      <c r="A57" s="1509" t="s">
        <v>599</v>
      </c>
      <c r="B57" s="483">
        <v>8440</v>
      </c>
      <c r="C57" s="531"/>
      <c r="D57" s="531"/>
      <c r="E57" s="477"/>
      <c r="F57" s="477"/>
      <c r="G57" s="477"/>
      <c r="H57" s="530"/>
      <c r="I57" s="477"/>
      <c r="J57" s="477"/>
      <c r="K57" s="477"/>
      <c r="L57" s="524"/>
    </row>
    <row r="58" spans="1:12" s="485" customFormat="1" ht="14.25" thickTop="1" thickBot="1" x14ac:dyDescent="0.25">
      <c r="A58" s="1508" t="s">
        <v>600</v>
      </c>
      <c r="B58" s="483">
        <v>8510</v>
      </c>
      <c r="C58" s="531"/>
      <c r="D58" s="531"/>
      <c r="E58" s="477"/>
      <c r="F58" s="477"/>
      <c r="G58" s="477"/>
      <c r="H58" s="530"/>
      <c r="I58" s="477"/>
      <c r="J58" s="477"/>
      <c r="K58" s="477"/>
      <c r="L58" s="524"/>
    </row>
    <row r="59" spans="1:12" s="485" customFormat="1" ht="14.25" thickTop="1" thickBot="1" x14ac:dyDescent="0.25">
      <c r="A59" s="1510" t="s">
        <v>718</v>
      </c>
      <c r="B59" s="483">
        <v>8520</v>
      </c>
      <c r="C59" s="531"/>
      <c r="D59" s="531"/>
      <c r="E59" s="477"/>
      <c r="F59" s="477"/>
      <c r="G59" s="477"/>
      <c r="H59" s="530"/>
      <c r="I59" s="477"/>
      <c r="J59" s="477"/>
      <c r="K59" s="477"/>
      <c r="L59" s="524"/>
    </row>
    <row r="60" spans="1:12" s="485" customFormat="1" ht="14.25" thickTop="1" thickBot="1" x14ac:dyDescent="0.25">
      <c r="A60" s="1508" t="s">
        <v>601</v>
      </c>
      <c r="B60" s="483">
        <v>8530</v>
      </c>
      <c r="C60" s="531"/>
      <c r="D60" s="531"/>
      <c r="E60" s="477"/>
      <c r="F60" s="477"/>
      <c r="G60" s="477"/>
      <c r="H60" s="530"/>
      <c r="I60" s="477"/>
      <c r="J60" s="477"/>
      <c r="K60" s="477"/>
      <c r="L60" s="524"/>
    </row>
    <row r="61" spans="1:12" s="485" customFormat="1" ht="14.25" thickTop="1" thickBot="1" x14ac:dyDescent="0.25">
      <c r="A61" s="1509" t="s">
        <v>767</v>
      </c>
      <c r="B61" s="483">
        <v>8540</v>
      </c>
      <c r="C61" s="531"/>
      <c r="D61" s="531"/>
      <c r="E61" s="477"/>
      <c r="F61" s="477"/>
      <c r="G61" s="477"/>
      <c r="H61" s="530"/>
      <c r="I61" s="477"/>
      <c r="J61" s="477"/>
      <c r="K61" s="477"/>
      <c r="L61" s="524"/>
    </row>
    <row r="62" spans="1:12" s="485" customFormat="1" ht="13.5" customHeight="1" thickTop="1" thickBot="1" x14ac:dyDescent="0.25">
      <c r="A62" s="1508" t="s">
        <v>768</v>
      </c>
      <c r="B62" s="483">
        <v>8610</v>
      </c>
      <c r="C62" s="531"/>
      <c r="D62" s="531"/>
      <c r="E62" s="477"/>
      <c r="F62" s="477"/>
      <c r="G62" s="477"/>
      <c r="H62" s="477"/>
      <c r="I62" s="477"/>
      <c r="J62" s="477"/>
      <c r="K62" s="477"/>
      <c r="L62" s="524"/>
    </row>
    <row r="63" spans="1:12" s="485" customFormat="1" ht="14.25" thickTop="1" thickBot="1" x14ac:dyDescent="0.25">
      <c r="A63" s="1509" t="s">
        <v>719</v>
      </c>
      <c r="B63" s="483">
        <v>8620</v>
      </c>
      <c r="C63" s="531"/>
      <c r="D63" s="531"/>
      <c r="E63" s="477"/>
      <c r="F63" s="477"/>
      <c r="G63" s="477"/>
      <c r="H63" s="477"/>
      <c r="I63" s="477"/>
      <c r="J63" s="477"/>
      <c r="K63" s="477"/>
      <c r="L63" s="524"/>
    </row>
    <row r="64" spans="1:12" s="485" customFormat="1" ht="13.5" customHeight="1" thickTop="1" thickBot="1" x14ac:dyDescent="0.25">
      <c r="A64" s="1508" t="s">
        <v>769</v>
      </c>
      <c r="B64" s="483">
        <v>8630</v>
      </c>
      <c r="C64" s="531"/>
      <c r="D64" s="531"/>
      <c r="E64" s="477"/>
      <c r="F64" s="477"/>
      <c r="G64" s="477"/>
      <c r="H64" s="477"/>
      <c r="I64" s="477"/>
      <c r="J64" s="477"/>
      <c r="K64" s="477"/>
      <c r="L64" s="524"/>
    </row>
    <row r="65" spans="1:12" s="485" customFormat="1" ht="14.25" thickTop="1" thickBot="1" x14ac:dyDescent="0.25">
      <c r="A65" s="1509" t="s">
        <v>770</v>
      </c>
      <c r="B65" s="483">
        <v>8640</v>
      </c>
      <c r="C65" s="531"/>
      <c r="D65" s="531"/>
      <c r="E65" s="477"/>
      <c r="F65" s="477"/>
      <c r="G65" s="477"/>
      <c r="H65" s="477"/>
      <c r="I65" s="477"/>
      <c r="J65" s="477"/>
      <c r="K65" s="477"/>
      <c r="L65" s="524"/>
    </row>
    <row r="66" spans="1:12" s="485" customFormat="1" ht="14.25" thickTop="1" thickBot="1" x14ac:dyDescent="0.25">
      <c r="A66" s="1508" t="s">
        <v>771</v>
      </c>
      <c r="B66" s="483">
        <v>8710</v>
      </c>
      <c r="C66" s="531"/>
      <c r="D66" s="531"/>
      <c r="E66" s="477"/>
      <c r="F66" s="477"/>
      <c r="G66" s="477"/>
      <c r="H66" s="477"/>
      <c r="I66" s="477"/>
      <c r="J66" s="477"/>
      <c r="K66" s="477"/>
      <c r="L66" s="524"/>
    </row>
    <row r="67" spans="1:12" s="485" customFormat="1" ht="14.25" thickTop="1" thickBot="1" x14ac:dyDescent="0.25">
      <c r="A67" s="1509" t="s">
        <v>720</v>
      </c>
      <c r="B67" s="483">
        <v>8720</v>
      </c>
      <c r="C67" s="531"/>
      <c r="D67" s="531"/>
      <c r="E67" s="477"/>
      <c r="F67" s="477"/>
      <c r="G67" s="477"/>
      <c r="H67" s="477"/>
      <c r="I67" s="477"/>
      <c r="J67" s="477"/>
      <c r="K67" s="477"/>
      <c r="L67" s="524"/>
    </row>
    <row r="68" spans="1:12" s="485" customFormat="1" ht="14.25" thickTop="1" thickBot="1" x14ac:dyDescent="0.25">
      <c r="A68" s="1510" t="s">
        <v>772</v>
      </c>
      <c r="B68" s="483">
        <v>8730</v>
      </c>
      <c r="C68" s="531"/>
      <c r="D68" s="531"/>
      <c r="E68" s="477"/>
      <c r="F68" s="477"/>
      <c r="G68" s="477"/>
      <c r="H68" s="477"/>
      <c r="I68" s="477"/>
      <c r="J68" s="477"/>
      <c r="K68" s="477"/>
      <c r="L68" s="524"/>
    </row>
    <row r="69" spans="1:12" s="485" customFormat="1" ht="14.25" thickTop="1" thickBot="1" x14ac:dyDescent="0.25">
      <c r="A69" s="1509" t="s">
        <v>773</v>
      </c>
      <c r="B69" s="483">
        <v>8740</v>
      </c>
      <c r="C69" s="531"/>
      <c r="D69" s="531"/>
      <c r="E69" s="477"/>
      <c r="F69" s="477"/>
      <c r="G69" s="477"/>
      <c r="H69" s="477"/>
      <c r="I69" s="477"/>
      <c r="J69" s="477"/>
      <c r="K69" s="477"/>
      <c r="L69" s="524"/>
    </row>
    <row r="70" spans="1:12" s="485" customFormat="1" ht="14.25" thickTop="1" thickBot="1" x14ac:dyDescent="0.25">
      <c r="A70" s="1508" t="s">
        <v>774</v>
      </c>
      <c r="B70" s="483">
        <v>8810</v>
      </c>
      <c r="C70" s="531"/>
      <c r="D70" s="531"/>
      <c r="E70" s="477"/>
      <c r="F70" s="477"/>
      <c r="G70" s="477"/>
      <c r="H70" s="477"/>
      <c r="I70" s="477"/>
      <c r="J70" s="477"/>
      <c r="K70" s="477"/>
      <c r="L70" s="524"/>
    </row>
    <row r="71" spans="1:12" s="485" customFormat="1" ht="14.25" thickTop="1" thickBot="1" x14ac:dyDescent="0.25">
      <c r="A71" s="1508" t="s">
        <v>778</v>
      </c>
      <c r="B71" s="483">
        <v>8820</v>
      </c>
      <c r="C71" s="531"/>
      <c r="D71" s="531"/>
      <c r="E71" s="477"/>
      <c r="F71" s="477"/>
      <c r="G71" s="477"/>
      <c r="H71" s="477"/>
      <c r="I71" s="477"/>
      <c r="J71" s="477"/>
      <c r="K71" s="477"/>
      <c r="L71" s="524"/>
    </row>
    <row r="72" spans="1:12" s="485" customFormat="1" ht="14.25" thickTop="1" thickBot="1" x14ac:dyDescent="0.25">
      <c r="A72" s="1508" t="s">
        <v>775</v>
      </c>
      <c r="B72" s="483">
        <v>8830</v>
      </c>
      <c r="C72" s="531"/>
      <c r="D72" s="531"/>
      <c r="E72" s="477"/>
      <c r="F72" s="477"/>
      <c r="G72" s="477"/>
      <c r="H72" s="477"/>
      <c r="I72" s="477"/>
      <c r="J72" s="477"/>
      <c r="K72" s="477"/>
      <c r="L72" s="524"/>
    </row>
    <row r="73" spans="1:12" s="485" customFormat="1" ht="14.25" thickTop="1" thickBot="1" x14ac:dyDescent="0.25">
      <c r="A73" s="1508" t="s">
        <v>776</v>
      </c>
      <c r="B73" s="483">
        <v>8840</v>
      </c>
      <c r="C73" s="531"/>
      <c r="D73" s="531"/>
      <c r="E73" s="477"/>
      <c r="F73" s="477"/>
      <c r="G73" s="477"/>
      <c r="H73" s="477"/>
      <c r="I73" s="477"/>
      <c r="J73" s="477"/>
      <c r="K73" s="480"/>
      <c r="L73" s="524"/>
    </row>
    <row r="74" spans="1:12" s="485" customFormat="1" ht="14.25" thickTop="1" thickBot="1" x14ac:dyDescent="0.25">
      <c r="A74" s="1508" t="s">
        <v>393</v>
      </c>
      <c r="B74" s="483">
        <v>8910</v>
      </c>
      <c r="C74" s="531"/>
      <c r="D74" s="531"/>
      <c r="E74" s="480"/>
      <c r="F74" s="530"/>
      <c r="G74" s="530"/>
      <c r="H74" s="530"/>
      <c r="I74" s="480"/>
      <c r="J74" s="480"/>
      <c r="K74" s="530"/>
      <c r="L74" s="524"/>
    </row>
    <row r="75" spans="1:12" s="485" customFormat="1" ht="14.25" thickTop="1" thickBot="1" x14ac:dyDescent="0.25">
      <c r="A75" s="1511"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1">
        <f t="shared" ref="C76:K76" si="7">SUM(C47:C75)</f>
        <v>0</v>
      </c>
      <c r="D76" s="1721">
        <f t="shared" si="7"/>
        <v>1850000</v>
      </c>
      <c r="E76" s="1721">
        <f t="shared" si="7"/>
        <v>0</v>
      </c>
      <c r="F76" s="1721">
        <f t="shared" si="7"/>
        <v>0</v>
      </c>
      <c r="G76" s="1721">
        <f t="shared" si="7"/>
        <v>0</v>
      </c>
      <c r="H76" s="1721">
        <f t="shared" si="7"/>
        <v>0</v>
      </c>
      <c r="I76" s="1721">
        <f t="shared" si="7"/>
        <v>0</v>
      </c>
      <c r="J76" s="1721">
        <f t="shared" si="7"/>
        <v>1850000</v>
      </c>
      <c r="K76" s="1721">
        <f t="shared" si="7"/>
        <v>0</v>
      </c>
      <c r="L76" s="524"/>
    </row>
    <row r="77" spans="1:12" ht="14.25" thickTop="1" thickBot="1" x14ac:dyDescent="0.25">
      <c r="A77" s="2134" t="s">
        <v>1239</v>
      </c>
      <c r="B77" s="2135"/>
      <c r="C77" s="1721">
        <f t="shared" ref="C77:K77" si="8">C44-C76</f>
        <v>1857500</v>
      </c>
      <c r="D77" s="1721">
        <f t="shared" si="8"/>
        <v>0</v>
      </c>
      <c r="E77" s="1721">
        <f t="shared" si="8"/>
        <v>0</v>
      </c>
      <c r="F77" s="1721">
        <f t="shared" si="8"/>
        <v>0</v>
      </c>
      <c r="G77" s="1721">
        <f t="shared" si="8"/>
        <v>0</v>
      </c>
      <c r="H77" s="1721">
        <f t="shared" si="8"/>
        <v>0</v>
      </c>
      <c r="I77" s="1721">
        <f t="shared" si="8"/>
        <v>0</v>
      </c>
      <c r="J77" s="1721">
        <f t="shared" si="8"/>
        <v>-1850000</v>
      </c>
      <c r="K77" s="1721">
        <f t="shared" si="8"/>
        <v>0</v>
      </c>
      <c r="L77" s="347"/>
    </row>
    <row r="78" spans="1:12" ht="21.75" customHeight="1" thickTop="1" thickBot="1" x14ac:dyDescent="0.25">
      <c r="A78" s="2138" t="s">
        <v>618</v>
      </c>
      <c r="B78" s="2139"/>
      <c r="C78" s="1720">
        <f t="shared" ref="C78:K78" si="9">C20+C77</f>
        <v>2865943</v>
      </c>
      <c r="D78" s="1720">
        <f t="shared" si="9"/>
        <v>369107</v>
      </c>
      <c r="E78" s="1720">
        <f t="shared" si="9"/>
        <v>-90159</v>
      </c>
      <c r="F78" s="1720">
        <f t="shared" si="9"/>
        <v>109308</v>
      </c>
      <c r="G78" s="1720">
        <f t="shared" si="9"/>
        <v>196993</v>
      </c>
      <c r="H78" s="1720">
        <f t="shared" si="9"/>
        <v>196582</v>
      </c>
      <c r="I78" s="1720">
        <f t="shared" si="9"/>
        <v>4213</v>
      </c>
      <c r="J78" s="1720">
        <f t="shared" si="9"/>
        <v>-1415045</v>
      </c>
      <c r="K78" s="1720">
        <f t="shared" si="9"/>
        <v>11761</v>
      </c>
      <c r="L78" s="533"/>
    </row>
    <row r="79" spans="1:12" ht="13.5" thickTop="1" x14ac:dyDescent="0.2">
      <c r="A79" s="1512" t="s">
        <v>2073</v>
      </c>
      <c r="B79" s="534"/>
      <c r="C79" s="478">
        <v>8560397</v>
      </c>
      <c r="D79" s="535">
        <v>409457</v>
      </c>
      <c r="E79" s="535">
        <v>2688637</v>
      </c>
      <c r="F79" s="535">
        <v>1013401</v>
      </c>
      <c r="G79" s="535">
        <v>713928</v>
      </c>
      <c r="H79" s="535">
        <v>713953</v>
      </c>
      <c r="I79" s="535">
        <v>185310</v>
      </c>
      <c r="J79" s="535">
        <v>2031265</v>
      </c>
      <c r="K79" s="535">
        <v>633791</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6">
        <f>(SUM(C78:C80))</f>
        <v>11426340</v>
      </c>
      <c r="D81" s="1706">
        <f>SUM(D78:D80)</f>
        <v>778564</v>
      </c>
      <c r="E81" s="1706">
        <f t="shared" ref="E81:K81" si="10">SUM(E78:E80)</f>
        <v>2598478</v>
      </c>
      <c r="F81" s="1706">
        <f t="shared" si="10"/>
        <v>1122709</v>
      </c>
      <c r="G81" s="1706">
        <f t="shared" si="10"/>
        <v>910921</v>
      </c>
      <c r="H81" s="1706">
        <f t="shared" si="10"/>
        <v>910535</v>
      </c>
      <c r="I81" s="1706">
        <f t="shared" si="10"/>
        <v>189523</v>
      </c>
      <c r="J81" s="1706">
        <f t="shared" si="10"/>
        <v>616220</v>
      </c>
      <c r="K81" s="1706">
        <f t="shared" si="10"/>
        <v>645552</v>
      </c>
      <c r="L81" s="347"/>
    </row>
    <row r="82" spans="1:12" ht="0.75" customHeight="1" thickTop="1" thickBot="1" x14ac:dyDescent="0.25">
      <c r="A82" s="536" t="s">
        <v>361</v>
      </c>
      <c r="B82" s="537"/>
      <c r="C82" s="538">
        <f>(C81-C79)</f>
        <v>2865943</v>
      </c>
      <c r="D82" s="538">
        <f t="shared" ref="D82:K82" si="11">(D81-D79)</f>
        <v>369107</v>
      </c>
      <c r="E82" s="538">
        <f t="shared" si="11"/>
        <v>-90159</v>
      </c>
      <c r="F82" s="538">
        <f t="shared" si="11"/>
        <v>109308</v>
      </c>
      <c r="G82" s="538">
        <f t="shared" si="11"/>
        <v>196993</v>
      </c>
      <c r="H82" s="538">
        <f t="shared" si="11"/>
        <v>196582</v>
      </c>
      <c r="I82" s="538">
        <f t="shared" si="11"/>
        <v>4213</v>
      </c>
      <c r="J82" s="538">
        <f t="shared" si="11"/>
        <v>-1415045</v>
      </c>
      <c r="K82" s="538">
        <f t="shared" si="11"/>
        <v>11761</v>
      </c>
    </row>
    <row r="83" spans="1:12" ht="14.25" hidden="1" thickTop="1" thickBot="1" x14ac:dyDescent="0.25">
      <c r="A83" s="539" t="s">
        <v>362</v>
      </c>
      <c r="B83" s="464"/>
      <c r="C83" s="540">
        <f>C82/C81</f>
        <v>0.25081898490680304</v>
      </c>
      <c r="D83" s="540">
        <f t="shared" ref="D83:K83" si="12">D82/D81</f>
        <v>0.47408690871912906</v>
      </c>
      <c r="E83" s="540">
        <f t="shared" si="12"/>
        <v>-3.4696849463416661E-2</v>
      </c>
      <c r="F83" s="540">
        <f t="shared" si="12"/>
        <v>9.7360936805530193E-2</v>
      </c>
      <c r="G83" s="540">
        <f t="shared" si="12"/>
        <v>0.21625695312765872</v>
      </c>
      <c r="H83" s="540">
        <f t="shared" si="12"/>
        <v>0.21589724722278661</v>
      </c>
      <c r="I83" s="540">
        <f t="shared" si="12"/>
        <v>2.2229491935015801E-2</v>
      </c>
      <c r="J83" s="540">
        <f t="shared" si="12"/>
        <v>-2.2963308558631659</v>
      </c>
      <c r="K83" s="540">
        <f t="shared" si="12"/>
        <v>1.8218516866185839E-2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66" activePane="bottomLeft" state="frozen"/>
      <selection activeCell="A47" sqref="A47"/>
      <selection pane="bottomLeft" activeCell="C66" sqref="C6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3"/>
      <c r="D4" s="543"/>
      <c r="E4" s="543"/>
      <c r="F4" s="544"/>
      <c r="G4" s="545"/>
      <c r="H4" s="546"/>
      <c r="I4" s="546"/>
      <c r="J4" s="546"/>
      <c r="K4" s="546"/>
    </row>
    <row r="5" spans="1:12" ht="15" x14ac:dyDescent="0.2">
      <c r="A5" s="493" t="s">
        <v>1760</v>
      </c>
      <c r="B5" s="547"/>
      <c r="C5" s="481">
        <v>2551992</v>
      </c>
      <c r="D5" s="481">
        <v>371160</v>
      </c>
      <c r="E5" s="466">
        <v>373849</v>
      </c>
      <c r="F5" s="548">
        <v>294557</v>
      </c>
      <c r="G5" s="466">
        <v>504501</v>
      </c>
      <c r="H5" s="466"/>
      <c r="I5" s="466">
        <v>2730</v>
      </c>
      <c r="J5" s="467">
        <v>459675</v>
      </c>
      <c r="K5" s="466">
        <v>19292</v>
      </c>
    </row>
    <row r="6" spans="1:12" ht="15" x14ac:dyDescent="0.2">
      <c r="A6" s="463" t="s">
        <v>1761</v>
      </c>
      <c r="B6" s="470">
        <v>1130</v>
      </c>
      <c r="C6" s="466"/>
      <c r="D6" s="466"/>
      <c r="E6" s="475"/>
      <c r="F6" s="475"/>
      <c r="G6" s="468"/>
      <c r="H6" s="468"/>
      <c r="I6" s="468"/>
      <c r="J6" s="468"/>
      <c r="K6" s="468"/>
    </row>
    <row r="7" spans="1:12" x14ac:dyDescent="0.2">
      <c r="A7" s="463" t="s">
        <v>112</v>
      </c>
      <c r="B7" s="549">
        <v>1140</v>
      </c>
      <c r="C7" s="466">
        <v>41063</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2593055</v>
      </c>
      <c r="D12" s="1725">
        <f t="shared" si="0"/>
        <v>371160</v>
      </c>
      <c r="E12" s="1725">
        <f t="shared" si="0"/>
        <v>373849</v>
      </c>
      <c r="F12" s="1725">
        <f t="shared" si="0"/>
        <v>294557</v>
      </c>
      <c r="G12" s="1725">
        <f t="shared" si="0"/>
        <v>504501</v>
      </c>
      <c r="H12" s="1725">
        <f t="shared" si="0"/>
        <v>0</v>
      </c>
      <c r="I12" s="1725">
        <f t="shared" si="0"/>
        <v>2730</v>
      </c>
      <c r="J12" s="1725">
        <f t="shared" si="0"/>
        <v>459675</v>
      </c>
      <c r="K12" s="1706">
        <f t="shared" si="0"/>
        <v>19292</v>
      </c>
    </row>
    <row r="13" spans="1:12" ht="15.75" customHeight="1" thickTop="1" x14ac:dyDescent="0.2">
      <c r="A13" s="1610" t="s">
        <v>471</v>
      </c>
      <c r="B13" s="161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104729</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104729</v>
      </c>
      <c r="D18" s="1728">
        <f t="shared" ref="D18:K18" si="1">SUM(D14:D17)</f>
        <v>0</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0" t="s">
        <v>472</v>
      </c>
      <c r="B19" s="1611">
        <v>1300</v>
      </c>
      <c r="C19" s="554"/>
      <c r="D19" s="554"/>
      <c r="E19" s="554"/>
      <c r="F19" s="554"/>
      <c r="G19" s="553"/>
      <c r="H19" s="554"/>
      <c r="I19" s="554"/>
      <c r="J19" s="554"/>
      <c r="K19" s="555"/>
    </row>
    <row r="20" spans="1:11" x14ac:dyDescent="0.2">
      <c r="A20" s="463" t="s">
        <v>1133</v>
      </c>
      <c r="B20" s="470">
        <v>1311</v>
      </c>
      <c r="C20" s="466">
        <v>33267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3" t="s">
        <v>615</v>
      </c>
      <c r="B39" s="556">
        <v>1354</v>
      </c>
      <c r="C39" s="489"/>
      <c r="D39" s="468"/>
      <c r="E39" s="468"/>
      <c r="F39" s="468"/>
      <c r="G39" s="468"/>
      <c r="H39" s="468"/>
      <c r="I39" s="468"/>
      <c r="J39" s="468"/>
      <c r="K39" s="468"/>
    </row>
    <row r="40" spans="1:11" ht="12.75" customHeight="1" thickBot="1" x14ac:dyDescent="0.25">
      <c r="A40" s="1726" t="s">
        <v>559</v>
      </c>
      <c r="B40" s="1727"/>
      <c r="C40" s="1706">
        <f>SUM(C20:C39)</f>
        <v>33267</v>
      </c>
      <c r="D40" s="468"/>
      <c r="E40" s="468"/>
      <c r="F40" s="468"/>
      <c r="G40" s="468"/>
      <c r="H40" s="468"/>
      <c r="I40" s="468"/>
      <c r="J40" s="468"/>
      <c r="K40" s="468"/>
    </row>
    <row r="41" spans="1:11" ht="15.75" customHeight="1" thickTop="1" x14ac:dyDescent="0.2">
      <c r="A41" s="1610" t="s">
        <v>292</v>
      </c>
      <c r="B41" s="1611">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4" t="s">
        <v>62</v>
      </c>
      <c r="B51" s="557">
        <v>1431</v>
      </c>
      <c r="C51" s="468"/>
      <c r="D51" s="468"/>
      <c r="E51" s="468"/>
      <c r="F51" s="466"/>
      <c r="G51" s="468"/>
      <c r="H51" s="468"/>
      <c r="I51" s="468"/>
      <c r="J51" s="468"/>
      <c r="K51" s="468"/>
    </row>
    <row r="52" spans="1:11" ht="12.75" customHeight="1" x14ac:dyDescent="0.2">
      <c r="A52" s="1514" t="s">
        <v>1168</v>
      </c>
      <c r="B52" s="557">
        <v>1432</v>
      </c>
      <c r="C52" s="468"/>
      <c r="D52" s="468"/>
      <c r="E52" s="468"/>
      <c r="F52" s="466"/>
      <c r="G52" s="468"/>
      <c r="H52" s="468"/>
      <c r="I52" s="468"/>
      <c r="J52" s="468"/>
      <c r="K52" s="468"/>
    </row>
    <row r="53" spans="1:11" ht="12.75" customHeight="1" x14ac:dyDescent="0.2">
      <c r="A53" s="1514" t="s">
        <v>63</v>
      </c>
      <c r="B53" s="557">
        <v>1433</v>
      </c>
      <c r="C53" s="468"/>
      <c r="D53" s="468"/>
      <c r="E53" s="468"/>
      <c r="F53" s="466"/>
      <c r="G53" s="468"/>
      <c r="H53" s="468"/>
      <c r="I53" s="468"/>
      <c r="J53" s="468"/>
      <c r="K53" s="468"/>
    </row>
    <row r="54" spans="1:11" ht="12.75" customHeight="1" x14ac:dyDescent="0.2">
      <c r="A54" s="1514" t="s">
        <v>64</v>
      </c>
      <c r="B54" s="557">
        <v>1434</v>
      </c>
      <c r="C54" s="468"/>
      <c r="D54" s="468"/>
      <c r="E54" s="468"/>
      <c r="F54" s="467"/>
      <c r="G54" s="468"/>
      <c r="H54" s="468"/>
      <c r="I54" s="468"/>
      <c r="J54" s="468"/>
      <c r="K54" s="468"/>
    </row>
    <row r="55" spans="1:11" ht="12.75" customHeight="1" x14ac:dyDescent="0.2">
      <c r="A55" s="1514" t="s">
        <v>65</v>
      </c>
      <c r="B55" s="557">
        <v>1441</v>
      </c>
      <c r="C55" s="468"/>
      <c r="D55" s="468"/>
      <c r="E55" s="468"/>
      <c r="F55" s="466"/>
      <c r="G55" s="468"/>
      <c r="H55" s="468"/>
      <c r="I55" s="468"/>
      <c r="J55" s="468"/>
      <c r="K55" s="468"/>
    </row>
    <row r="56" spans="1:11" ht="12.75" customHeight="1" x14ac:dyDescent="0.2">
      <c r="A56" s="1514" t="s">
        <v>1169</v>
      </c>
      <c r="B56" s="557">
        <v>1442</v>
      </c>
      <c r="C56" s="468"/>
      <c r="D56" s="468"/>
      <c r="E56" s="468"/>
      <c r="F56" s="466"/>
      <c r="G56" s="468"/>
      <c r="H56" s="468"/>
      <c r="I56" s="468"/>
      <c r="J56" s="468"/>
      <c r="K56" s="468"/>
    </row>
    <row r="57" spans="1:11" ht="12.75" customHeight="1" x14ac:dyDescent="0.2">
      <c r="A57" s="1514" t="s">
        <v>510</v>
      </c>
      <c r="B57" s="557">
        <v>1443</v>
      </c>
      <c r="C57" s="468"/>
      <c r="D57" s="468"/>
      <c r="E57" s="468"/>
      <c r="F57" s="466"/>
      <c r="G57" s="468"/>
      <c r="H57" s="468"/>
      <c r="I57" s="468"/>
      <c r="J57" s="468"/>
      <c r="K57" s="468"/>
    </row>
    <row r="58" spans="1:11" ht="12.75" customHeight="1" x14ac:dyDescent="0.2">
      <c r="A58" s="1514" t="s">
        <v>67</v>
      </c>
      <c r="B58" s="557">
        <v>1444</v>
      </c>
      <c r="C58" s="468"/>
      <c r="D58" s="468"/>
      <c r="E58" s="468"/>
      <c r="F58" s="466"/>
      <c r="G58" s="468"/>
      <c r="H58" s="468"/>
      <c r="I58" s="468"/>
      <c r="J58" s="468"/>
      <c r="K58" s="468"/>
    </row>
    <row r="59" spans="1:11" ht="12.75" customHeight="1" x14ac:dyDescent="0.2">
      <c r="A59" s="1514" t="s">
        <v>933</v>
      </c>
      <c r="B59" s="557">
        <v>1451</v>
      </c>
      <c r="C59" s="468"/>
      <c r="D59" s="468"/>
      <c r="E59" s="468"/>
      <c r="F59" s="466"/>
      <c r="G59" s="468"/>
      <c r="H59" s="468"/>
      <c r="I59" s="468"/>
      <c r="J59" s="468"/>
      <c r="K59" s="468"/>
    </row>
    <row r="60" spans="1:11" ht="12.75" customHeight="1" x14ac:dyDescent="0.2">
      <c r="A60" s="1514"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5"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62109</v>
      </c>
      <c r="D65" s="466">
        <v>7325</v>
      </c>
      <c r="E65" s="466">
        <v>24216</v>
      </c>
      <c r="F65" s="467">
        <v>9504</v>
      </c>
      <c r="G65" s="466">
        <v>7323</v>
      </c>
      <c r="H65" s="466">
        <v>9134</v>
      </c>
      <c r="I65" s="466">
        <v>1483</v>
      </c>
      <c r="J65" s="467">
        <v>16863</v>
      </c>
      <c r="K65" s="466">
        <v>5269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62109</v>
      </c>
      <c r="D67" s="1706">
        <f t="shared" ref="D67:K67" si="2">SUM(D65:D66)</f>
        <v>7325</v>
      </c>
      <c r="E67" s="1706">
        <f t="shared" si="2"/>
        <v>24216</v>
      </c>
      <c r="F67" s="1706">
        <f t="shared" si="2"/>
        <v>9504</v>
      </c>
      <c r="G67" s="1706">
        <f t="shared" si="2"/>
        <v>7323</v>
      </c>
      <c r="H67" s="1706">
        <f t="shared" si="2"/>
        <v>9134</v>
      </c>
      <c r="I67" s="1706">
        <f t="shared" si="2"/>
        <v>1483</v>
      </c>
      <c r="J67" s="1706">
        <f t="shared" si="2"/>
        <v>16863</v>
      </c>
      <c r="K67" s="1706">
        <f t="shared" si="2"/>
        <v>5269</v>
      </c>
    </row>
    <row r="68" spans="1:11" ht="15.75" customHeight="1" thickTop="1" x14ac:dyDescent="0.2">
      <c r="A68" s="1610" t="s">
        <v>475</v>
      </c>
      <c r="B68" s="1612">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569</v>
      </c>
      <c r="B75" s="1727"/>
      <c r="C75" s="1706">
        <f>SUM(C69:C74)</f>
        <v>0</v>
      </c>
      <c r="D75" s="468"/>
      <c r="E75" s="468"/>
      <c r="F75" s="468"/>
      <c r="G75" s="468"/>
      <c r="H75" s="468"/>
      <c r="I75" s="468"/>
      <c r="J75" s="468"/>
      <c r="K75" s="468"/>
    </row>
    <row r="76" spans="1:11" ht="15.75" customHeight="1" thickTop="1" x14ac:dyDescent="0.2">
      <c r="A76" s="1610" t="s">
        <v>936</v>
      </c>
      <c r="B76" s="1612">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0</v>
      </c>
      <c r="D82" s="1706">
        <f>SUM(D77:D81)</f>
        <v>0</v>
      </c>
      <c r="E82" s="468"/>
      <c r="F82" s="468"/>
      <c r="G82" s="468"/>
      <c r="H82" s="468"/>
      <c r="I82" s="468"/>
      <c r="J82" s="468"/>
      <c r="K82" s="468"/>
    </row>
    <row r="83" spans="1:11" ht="15.75" customHeight="1" thickTop="1" x14ac:dyDescent="0.2">
      <c r="A83" s="1610" t="s">
        <v>260</v>
      </c>
      <c r="B83" s="1612">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0</v>
      </c>
      <c r="D93" s="468"/>
      <c r="E93" s="468"/>
      <c r="F93" s="468"/>
      <c r="G93" s="468"/>
      <c r="H93" s="468"/>
      <c r="I93" s="468"/>
      <c r="J93" s="468"/>
      <c r="K93" s="468"/>
    </row>
    <row r="94" spans="1:11" ht="15.75" customHeight="1" thickTop="1" x14ac:dyDescent="0.2">
      <c r="A94" s="1610" t="s">
        <v>1199</v>
      </c>
      <c r="B94" s="1612">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3"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f>3232+68817</f>
        <v>72049</v>
      </c>
      <c r="D99" s="466">
        <v>668</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v>173305</v>
      </c>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6528</v>
      </c>
      <c r="D107" s="466">
        <v>81501</v>
      </c>
      <c r="E107" s="466"/>
      <c r="F107" s="466"/>
      <c r="G107" s="466"/>
      <c r="H107" s="466"/>
      <c r="I107" s="466"/>
      <c r="J107" s="467"/>
      <c r="K107" s="466"/>
    </row>
    <row r="108" spans="1:12" ht="12.75" customHeight="1" thickBot="1" x14ac:dyDescent="0.25">
      <c r="A108" s="1726" t="s">
        <v>508</v>
      </c>
      <c r="B108" s="1730"/>
      <c r="C108" s="1725">
        <f>SUM(C95:C107)</f>
        <v>78577</v>
      </c>
      <c r="D108" s="1725">
        <f t="shared" ref="D108:K108" si="3">SUM(D95:D107)</f>
        <v>82169</v>
      </c>
      <c r="E108" s="1725">
        <f t="shared" si="3"/>
        <v>173305</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2871737</v>
      </c>
      <c r="D109" s="1733">
        <f t="shared" si="4"/>
        <v>460654</v>
      </c>
      <c r="E109" s="1733">
        <f t="shared" si="4"/>
        <v>571370</v>
      </c>
      <c r="F109" s="1733">
        <f t="shared" si="4"/>
        <v>304061</v>
      </c>
      <c r="G109" s="1733">
        <f t="shared" si="4"/>
        <v>511824</v>
      </c>
      <c r="H109" s="1733">
        <f t="shared" si="4"/>
        <v>9134</v>
      </c>
      <c r="I109" s="1733">
        <f t="shared" si="4"/>
        <v>4213</v>
      </c>
      <c r="J109" s="1733">
        <f t="shared" si="4"/>
        <v>476538</v>
      </c>
      <c r="K109" s="1720">
        <f t="shared" si="4"/>
        <v>24561</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2"/>
      <c r="D116" s="521"/>
      <c r="E116" s="561"/>
      <c r="F116" s="521"/>
      <c r="G116" s="521"/>
      <c r="H116" s="561"/>
      <c r="I116" s="468"/>
      <c r="J116" s="521"/>
      <c r="K116" s="521"/>
    </row>
    <row r="117" spans="1:11" ht="12.75" customHeight="1" x14ac:dyDescent="0.2">
      <c r="A117" s="463" t="s">
        <v>1766</v>
      </c>
      <c r="B117" s="562">
        <v>3001</v>
      </c>
      <c r="C117" s="516">
        <v>7274232</v>
      </c>
      <c r="D117" s="481">
        <v>855644</v>
      </c>
      <c r="E117" s="466"/>
      <c r="F117" s="481">
        <v>100000</v>
      </c>
      <c r="G117" s="481"/>
      <c r="H117" s="466">
        <v>187448</v>
      </c>
      <c r="I117" s="468"/>
      <c r="J117" s="467">
        <v>275000</v>
      </c>
      <c r="K117" s="466">
        <v>5000</v>
      </c>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4" t="s">
        <v>1904</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7274232</v>
      </c>
      <c r="D121" s="1725">
        <f t="shared" si="5"/>
        <v>855644</v>
      </c>
      <c r="E121" s="1725">
        <f t="shared" si="5"/>
        <v>0</v>
      </c>
      <c r="F121" s="1725">
        <f t="shared" si="5"/>
        <v>100000</v>
      </c>
      <c r="G121" s="1725">
        <f t="shared" si="5"/>
        <v>0</v>
      </c>
      <c r="H121" s="1725">
        <f t="shared" si="5"/>
        <v>187448</v>
      </c>
      <c r="I121" s="468"/>
      <c r="J121" s="1725">
        <f>SUM(J117:J120)</f>
        <v>275000</v>
      </c>
      <c r="K121" s="1706">
        <f>SUM(K117:K120)</f>
        <v>5000</v>
      </c>
    </row>
    <row r="122" spans="1:11" ht="15.75" customHeight="1" thickTop="1" x14ac:dyDescent="0.2">
      <c r="A122" s="1610" t="s">
        <v>1570</v>
      </c>
      <c r="B122" s="1615"/>
      <c r="C122" s="565"/>
      <c r="D122" s="509"/>
      <c r="E122" s="468"/>
      <c r="F122" s="566"/>
      <c r="G122" s="468"/>
      <c r="H122" s="468"/>
      <c r="I122" s="468"/>
      <c r="J122" s="468"/>
      <c r="K122" s="468"/>
    </row>
    <row r="123" spans="1:11" ht="15" customHeight="1" x14ac:dyDescent="0.2">
      <c r="A123" s="1616" t="s">
        <v>688</v>
      </c>
      <c r="B123" s="1617"/>
      <c r="C123" s="521"/>
      <c r="D123" s="509"/>
      <c r="E123" s="468"/>
      <c r="F123" s="521"/>
      <c r="G123" s="468"/>
      <c r="H123" s="468"/>
      <c r="I123" s="468"/>
      <c r="J123" s="468"/>
      <c r="K123" s="468"/>
    </row>
    <row r="124" spans="1:11" ht="12.75" customHeight="1" x14ac:dyDescent="0.2">
      <c r="A124" s="463" t="s">
        <v>921</v>
      </c>
      <c r="B124" s="567">
        <v>3100</v>
      </c>
      <c r="C124" s="481">
        <v>6403</v>
      </c>
      <c r="D124" s="561"/>
      <c r="E124" s="468"/>
      <c r="F124" s="548"/>
      <c r="G124" s="468"/>
      <c r="H124" s="468"/>
      <c r="I124" s="468"/>
      <c r="J124" s="468"/>
      <c r="K124" s="468"/>
    </row>
    <row r="125" spans="1:11" ht="12.75" customHeight="1" x14ac:dyDescent="0.2">
      <c r="A125" s="463" t="s">
        <v>1521</v>
      </c>
      <c r="B125" s="562">
        <v>3105</v>
      </c>
      <c r="C125" s="466">
        <v>87118</v>
      </c>
      <c r="D125" s="561"/>
      <c r="E125" s="468"/>
      <c r="F125" s="466"/>
      <c r="G125" s="468"/>
      <c r="H125" s="468"/>
      <c r="I125" s="468"/>
      <c r="J125" s="468"/>
      <c r="K125" s="468"/>
    </row>
    <row r="126" spans="1:11" ht="12.75" customHeight="1" x14ac:dyDescent="0.2">
      <c r="A126" s="463" t="s">
        <v>922</v>
      </c>
      <c r="B126" s="562">
        <v>3110</v>
      </c>
      <c r="C126" s="551">
        <v>88399</v>
      </c>
      <c r="D126" s="466"/>
      <c r="E126" s="468"/>
      <c r="F126" s="466"/>
      <c r="G126" s="468"/>
      <c r="H126" s="468"/>
      <c r="I126" s="468"/>
      <c r="J126" s="468"/>
      <c r="K126" s="468"/>
    </row>
    <row r="127" spans="1:11" ht="12.75" customHeight="1" x14ac:dyDescent="0.2">
      <c r="A127" s="463" t="s">
        <v>107</v>
      </c>
      <c r="B127" s="562">
        <v>3120</v>
      </c>
      <c r="C127" s="466">
        <v>97332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13020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292272</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8" t="s">
        <v>268</v>
      </c>
      <c r="B132" s="1619"/>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18" t="s">
        <v>691</v>
      </c>
      <c r="B141" s="1619"/>
      <c r="C141" s="553"/>
      <c r="D141" s="566"/>
      <c r="E141" s="561"/>
      <c r="F141" s="553"/>
      <c r="G141" s="553"/>
      <c r="H141" s="468"/>
      <c r="I141" s="468"/>
      <c r="J141" s="468"/>
      <c r="K141" s="468"/>
    </row>
    <row r="142" spans="1:11" ht="12.75" customHeight="1" x14ac:dyDescent="0.2">
      <c r="A142" s="463" t="s">
        <v>625</v>
      </c>
      <c r="B142" s="562">
        <v>3305</v>
      </c>
      <c r="C142" s="466">
        <v>34943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34943</v>
      </c>
      <c r="D144" s="468"/>
      <c r="E144" s="509"/>
      <c r="F144" s="468"/>
      <c r="G144" s="1739">
        <f>SUM(G142:G143)</f>
        <v>0</v>
      </c>
      <c r="H144" s="468"/>
      <c r="I144" s="468"/>
      <c r="J144" s="468"/>
      <c r="K144" s="468"/>
    </row>
    <row r="145" spans="1:11" s="202" customFormat="1" ht="12.75" customHeight="1" thickTop="1" x14ac:dyDescent="0.2">
      <c r="A145" s="1516" t="s">
        <v>1116</v>
      </c>
      <c r="B145" s="568">
        <v>3360</v>
      </c>
      <c r="C145" s="569">
        <v>11353</v>
      </c>
      <c r="D145" s="570"/>
      <c r="E145" s="509"/>
      <c r="F145" s="468"/>
      <c r="G145" s="571"/>
      <c r="H145" s="468"/>
      <c r="I145" s="468"/>
      <c r="J145" s="468"/>
      <c r="K145" s="468"/>
    </row>
    <row r="146" spans="1:11" ht="12.75" customHeight="1" thickBot="1" x14ac:dyDescent="0.25">
      <c r="A146" s="1517" t="s">
        <v>979</v>
      </c>
      <c r="B146" s="572">
        <v>3365</v>
      </c>
      <c r="C146" s="573"/>
      <c r="D146" s="532"/>
      <c r="E146" s="561"/>
      <c r="F146" s="468"/>
      <c r="G146" s="532"/>
      <c r="H146" s="468"/>
      <c r="I146" s="468"/>
      <c r="J146" s="468"/>
      <c r="K146" s="468"/>
    </row>
    <row r="147" spans="1:11" ht="12.75" customHeight="1" thickTop="1" thickBot="1" x14ac:dyDescent="0.25">
      <c r="A147" s="1518" t="s">
        <v>140</v>
      </c>
      <c r="B147" s="574">
        <v>3370</v>
      </c>
      <c r="C147" s="573"/>
      <c r="D147" s="573"/>
      <c r="E147" s="509"/>
      <c r="F147" s="468"/>
      <c r="G147" s="468"/>
      <c r="H147" s="468"/>
      <c r="I147" s="468"/>
      <c r="J147" s="468"/>
      <c r="K147" s="468"/>
    </row>
    <row r="148" spans="1:11" ht="12.75" customHeight="1" thickTop="1" thickBot="1" x14ac:dyDescent="0.25">
      <c r="A148" s="1518" t="s">
        <v>791</v>
      </c>
      <c r="B148" s="574">
        <v>3410</v>
      </c>
      <c r="C148" s="575"/>
      <c r="D148" s="576"/>
      <c r="E148" s="577"/>
      <c r="F148" s="530"/>
      <c r="G148" s="530"/>
      <c r="H148" s="530"/>
      <c r="I148" s="530"/>
      <c r="J148" s="530"/>
      <c r="K148" s="530"/>
    </row>
    <row r="149" spans="1:11" ht="12.75" customHeight="1" thickTop="1" thickBot="1" x14ac:dyDescent="0.25">
      <c r="A149" s="1518" t="s">
        <v>70</v>
      </c>
      <c r="B149" s="574">
        <v>3499</v>
      </c>
      <c r="C149" s="575"/>
      <c r="D149" s="576"/>
      <c r="E149" s="532"/>
      <c r="F149" s="532"/>
      <c r="G149" s="532"/>
      <c r="H149" s="532"/>
      <c r="I149" s="532"/>
      <c r="J149" s="532"/>
      <c r="K149" s="532"/>
    </row>
    <row r="150" spans="1:11" ht="15.75" customHeight="1" thickTop="1" x14ac:dyDescent="0.2">
      <c r="A150" s="1618" t="s">
        <v>473</v>
      </c>
      <c r="B150" s="1620"/>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194469</v>
      </c>
      <c r="G151" s="467"/>
      <c r="H151" s="468"/>
      <c r="I151" s="468"/>
      <c r="J151" s="468"/>
      <c r="K151" s="468"/>
    </row>
    <row r="152" spans="1:11" ht="12.75" customHeight="1" x14ac:dyDescent="0.2">
      <c r="A152" s="463" t="s">
        <v>1117</v>
      </c>
      <c r="B152" s="562">
        <v>3510</v>
      </c>
      <c r="C152" s="551"/>
      <c r="D152" s="466"/>
      <c r="E152" s="561"/>
      <c r="F152" s="466">
        <v>471987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666456</v>
      </c>
      <c r="G154" s="1725">
        <f>SUM(G151:G153)</f>
        <v>0</v>
      </c>
      <c r="H154" s="468"/>
      <c r="I154" s="468"/>
      <c r="J154" s="468"/>
      <c r="K154" s="468"/>
    </row>
    <row r="155" spans="1:11" ht="12.75" customHeight="1" thickTop="1" thickBot="1" x14ac:dyDescent="0.25">
      <c r="A155" s="1518" t="s">
        <v>398</v>
      </c>
      <c r="B155" s="574">
        <v>3610</v>
      </c>
      <c r="C155" s="576"/>
      <c r="D155" s="468"/>
      <c r="E155" s="509"/>
      <c r="F155" s="468"/>
      <c r="G155" s="468"/>
      <c r="H155" s="468"/>
      <c r="I155" s="468"/>
      <c r="J155" s="468"/>
      <c r="K155" s="468"/>
    </row>
    <row r="156" spans="1:11" ht="12.75" customHeight="1" thickTop="1" thickBot="1" x14ac:dyDescent="0.25">
      <c r="A156" s="1518" t="s">
        <v>52</v>
      </c>
      <c r="B156" s="574">
        <v>3660</v>
      </c>
      <c r="C156" s="573"/>
      <c r="D156" s="578"/>
      <c r="E156" s="561"/>
      <c r="F156" s="578"/>
      <c r="G156" s="578"/>
      <c r="H156" s="468"/>
      <c r="I156" s="468"/>
      <c r="J156" s="468"/>
      <c r="K156" s="468"/>
    </row>
    <row r="157" spans="1:11" ht="12.75" customHeight="1" thickTop="1" thickBot="1" x14ac:dyDescent="0.25">
      <c r="A157" s="1518" t="s">
        <v>1057</v>
      </c>
      <c r="B157" s="574">
        <v>3695</v>
      </c>
      <c r="C157" s="576"/>
      <c r="D157" s="468"/>
      <c r="E157" s="561"/>
      <c r="F157" s="576"/>
      <c r="G157" s="576"/>
      <c r="H157" s="468"/>
      <c r="I157" s="468"/>
      <c r="J157" s="468"/>
      <c r="K157" s="468"/>
    </row>
    <row r="158" spans="1:11" ht="12.75" customHeight="1" thickTop="1" thickBot="1" x14ac:dyDescent="0.25">
      <c r="A158" s="1518" t="s">
        <v>1111</v>
      </c>
      <c r="B158" s="574">
        <v>3705</v>
      </c>
      <c r="C158" s="576"/>
      <c r="D158" s="578"/>
      <c r="E158" s="561"/>
      <c r="F158" s="576"/>
      <c r="G158" s="576"/>
      <c r="H158" s="468"/>
      <c r="I158" s="468"/>
      <c r="J158" s="468"/>
      <c r="K158" s="468"/>
    </row>
    <row r="159" spans="1:11" ht="12.75" customHeight="1" thickTop="1" thickBot="1" x14ac:dyDescent="0.25">
      <c r="A159" s="1518" t="s">
        <v>39</v>
      </c>
      <c r="B159" s="574">
        <v>3715</v>
      </c>
      <c r="C159" s="576"/>
      <c r="D159" s="468"/>
      <c r="E159" s="561"/>
      <c r="F159" s="576"/>
      <c r="G159" s="576"/>
      <c r="H159" s="468"/>
      <c r="I159" s="468"/>
      <c r="J159" s="468"/>
      <c r="K159" s="468"/>
    </row>
    <row r="160" spans="1:11" ht="12.75" customHeight="1" thickTop="1" thickBot="1" x14ac:dyDescent="0.25">
      <c r="A160" s="1518" t="s">
        <v>40</v>
      </c>
      <c r="B160" s="574">
        <v>3720</v>
      </c>
      <c r="C160" s="576"/>
      <c r="D160" s="468"/>
      <c r="E160" s="561"/>
      <c r="F160" s="576"/>
      <c r="G160" s="576"/>
      <c r="H160" s="468"/>
      <c r="I160" s="468"/>
      <c r="J160" s="468"/>
      <c r="K160" s="468"/>
    </row>
    <row r="161" spans="1:11" ht="12.75" customHeight="1" thickTop="1" thickBot="1" x14ac:dyDescent="0.25">
      <c r="A161" s="1518" t="s">
        <v>415</v>
      </c>
      <c r="B161" s="574">
        <v>3725</v>
      </c>
      <c r="C161" s="531"/>
      <c r="D161" s="468"/>
      <c r="E161" s="561"/>
      <c r="F161" s="531"/>
      <c r="G161" s="531"/>
      <c r="H161" s="468"/>
      <c r="I161" s="468"/>
      <c r="J161" s="468"/>
      <c r="K161" s="468"/>
    </row>
    <row r="162" spans="1:11" ht="12.75" customHeight="1" thickTop="1" thickBot="1" x14ac:dyDescent="0.25">
      <c r="A162" s="1518" t="s">
        <v>416</v>
      </c>
      <c r="B162" s="574">
        <v>3726</v>
      </c>
      <c r="C162" s="531"/>
      <c r="D162" s="468"/>
      <c r="E162" s="561"/>
      <c r="F162" s="531"/>
      <c r="G162" s="531"/>
      <c r="H162" s="468"/>
      <c r="I162" s="468"/>
      <c r="J162" s="468"/>
      <c r="K162" s="468"/>
    </row>
    <row r="163" spans="1:11" ht="12.75" customHeight="1" thickTop="1" thickBot="1" x14ac:dyDescent="0.25">
      <c r="A163" s="1518" t="s">
        <v>41</v>
      </c>
      <c r="B163" s="574">
        <v>3766</v>
      </c>
      <c r="C163" s="576"/>
      <c r="D163" s="578"/>
      <c r="E163" s="561"/>
      <c r="F163" s="576"/>
      <c r="G163" s="531"/>
      <c r="H163" s="468"/>
      <c r="I163" s="468"/>
      <c r="J163" s="468"/>
      <c r="K163" s="468"/>
    </row>
    <row r="164" spans="1:11" ht="12.75" customHeight="1" thickTop="1" thickBot="1" x14ac:dyDescent="0.25">
      <c r="A164" s="1518" t="s">
        <v>1042</v>
      </c>
      <c r="B164" s="574">
        <v>3767</v>
      </c>
      <c r="C164" s="576"/>
      <c r="D164" s="531"/>
      <c r="E164" s="561"/>
      <c r="F164" s="531"/>
      <c r="G164" s="531"/>
      <c r="H164" s="468"/>
      <c r="I164" s="468"/>
      <c r="J164" s="468"/>
      <c r="K164" s="468"/>
    </row>
    <row r="165" spans="1:11" ht="12.75" customHeight="1" thickTop="1" thickBot="1" x14ac:dyDescent="0.25">
      <c r="A165" s="1518" t="s">
        <v>1043</v>
      </c>
      <c r="B165" s="574">
        <v>3775</v>
      </c>
      <c r="C165" s="576"/>
      <c r="D165" s="573"/>
      <c r="E165" s="530"/>
      <c r="F165" s="573"/>
      <c r="G165" s="532"/>
      <c r="H165" s="530"/>
      <c r="I165" s="468"/>
      <c r="J165" s="468"/>
      <c r="K165" s="530"/>
    </row>
    <row r="166" spans="1:11" ht="12.75" customHeight="1" thickTop="1" thickBot="1" x14ac:dyDescent="0.25">
      <c r="A166" s="1518" t="s">
        <v>1524</v>
      </c>
      <c r="B166" s="574">
        <v>3780</v>
      </c>
      <c r="C166" s="531"/>
      <c r="D166" s="530"/>
      <c r="E166" s="531"/>
      <c r="F166" s="531"/>
      <c r="G166" s="531"/>
      <c r="H166" s="531"/>
      <c r="I166" s="468"/>
      <c r="J166" s="468"/>
      <c r="K166" s="531"/>
    </row>
    <row r="167" spans="1:11" ht="12.75" customHeight="1" thickTop="1" thickBot="1" x14ac:dyDescent="0.25">
      <c r="A167" s="1518" t="s">
        <v>913</v>
      </c>
      <c r="B167" s="574">
        <v>3815</v>
      </c>
      <c r="C167" s="576"/>
      <c r="D167" s="468"/>
      <c r="E167" s="561"/>
      <c r="F167" s="576"/>
      <c r="G167" s="468"/>
      <c r="H167" s="468"/>
      <c r="I167" s="468"/>
      <c r="J167" s="468"/>
      <c r="K167" s="468"/>
    </row>
    <row r="168" spans="1:11" ht="12.75" customHeight="1" thickTop="1" thickBot="1" x14ac:dyDescent="0.25">
      <c r="A168" s="1518" t="s">
        <v>417</v>
      </c>
      <c r="B168" s="574">
        <v>3825</v>
      </c>
      <c r="C168" s="576"/>
      <c r="D168" s="468"/>
      <c r="E168" s="561"/>
      <c r="F168" s="576"/>
      <c r="G168" s="468"/>
      <c r="H168" s="468"/>
      <c r="I168" s="468"/>
      <c r="J168" s="468"/>
      <c r="K168" s="468"/>
    </row>
    <row r="169" spans="1:11" ht="12.75" customHeight="1" thickTop="1" thickBot="1" x14ac:dyDescent="0.25">
      <c r="A169" s="1518" t="s">
        <v>366</v>
      </c>
      <c r="B169" s="574">
        <v>3920</v>
      </c>
      <c r="C169" s="566"/>
      <c r="D169" s="578"/>
      <c r="E169" s="468"/>
      <c r="F169" s="566"/>
      <c r="G169" s="468"/>
      <c r="H169" s="530"/>
      <c r="I169" s="468"/>
      <c r="J169" s="468"/>
      <c r="K169" s="468"/>
    </row>
    <row r="170" spans="1:11" ht="12.75" customHeight="1" thickTop="1" thickBot="1" x14ac:dyDescent="0.25">
      <c r="A170" s="1518" t="s">
        <v>367</v>
      </c>
      <c r="B170" s="574">
        <v>3925</v>
      </c>
      <c r="C170" s="521"/>
      <c r="D170" s="576"/>
      <c r="E170" s="521"/>
      <c r="F170" s="521"/>
      <c r="G170" s="468"/>
      <c r="H170" s="531"/>
      <c r="I170" s="468"/>
      <c r="J170" s="468"/>
      <c r="K170" s="530"/>
    </row>
    <row r="171" spans="1:11" ht="14.25" thickTop="1" thickBot="1" x14ac:dyDescent="0.25">
      <c r="A171" s="1518" t="s">
        <v>72</v>
      </c>
      <c r="B171" s="574">
        <v>3999</v>
      </c>
      <c r="C171" s="579">
        <v>73702</v>
      </c>
      <c r="D171" s="580"/>
      <c r="E171" s="580"/>
      <c r="F171" s="580"/>
      <c r="G171" s="581"/>
      <c r="H171" s="582"/>
      <c r="I171" s="581"/>
      <c r="J171" s="581"/>
      <c r="K171" s="582"/>
    </row>
    <row r="172" spans="1:11" ht="12.75" customHeight="1" thickTop="1" thickBot="1" x14ac:dyDescent="0.25">
      <c r="A172" s="2160" t="s">
        <v>418</v>
      </c>
      <c r="B172" s="2161"/>
      <c r="C172" s="1740">
        <f t="shared" ref="C172:K172" si="6">SUM(C131,C140,C144,C145:C149,C154,C155:C170,C171)</f>
        <v>412270</v>
      </c>
      <c r="D172" s="1740">
        <f t="shared" si="6"/>
        <v>0</v>
      </c>
      <c r="E172" s="1740">
        <f t="shared" si="6"/>
        <v>0</v>
      </c>
      <c r="F172" s="1740">
        <f t="shared" si="6"/>
        <v>666456</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7686502</v>
      </c>
      <c r="D173" s="1733">
        <f>SUM(D121,D172)</f>
        <v>855644</v>
      </c>
      <c r="E173" s="1733">
        <f>SUM(E121,E172)</f>
        <v>0</v>
      </c>
      <c r="F173" s="1733">
        <f t="shared" ref="F173:K173" si="7">SUM(F121,F172)</f>
        <v>766456</v>
      </c>
      <c r="G173" s="1733">
        <f t="shared" si="7"/>
        <v>0</v>
      </c>
      <c r="H173" s="1733">
        <f t="shared" si="7"/>
        <v>187448</v>
      </c>
      <c r="I173" s="1733">
        <f t="shared" si="7"/>
        <v>0</v>
      </c>
      <c r="J173" s="1733">
        <f t="shared" si="7"/>
        <v>275000</v>
      </c>
      <c r="K173" s="1720">
        <f t="shared" si="7"/>
        <v>5000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1" t="s">
        <v>1692</v>
      </c>
      <c r="B186" s="1622"/>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18" t="s">
        <v>475</v>
      </c>
      <c r="B192" s="1623"/>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421143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173316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42118</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636577</v>
      </c>
      <c r="D201" s="468"/>
      <c r="E201" s="468"/>
      <c r="F201" s="468"/>
      <c r="G201" s="1706">
        <f>SUM(G193:G200)</f>
        <v>0</v>
      </c>
      <c r="H201" s="468"/>
      <c r="I201" s="468"/>
      <c r="J201" s="468"/>
      <c r="K201" s="468"/>
    </row>
    <row r="202" spans="1:11" ht="15.75" customHeight="1" thickTop="1" x14ac:dyDescent="0.2">
      <c r="A202" s="1618" t="s">
        <v>1200</v>
      </c>
      <c r="B202" s="1623"/>
      <c r="C202" s="553"/>
      <c r="D202" s="468"/>
      <c r="E202" s="468"/>
      <c r="F202" s="468"/>
      <c r="G202" s="468"/>
      <c r="H202" s="468"/>
      <c r="I202" s="468"/>
      <c r="J202" s="468"/>
      <c r="K202" s="468"/>
    </row>
    <row r="203" spans="1:11" ht="12.75" customHeight="1" x14ac:dyDescent="0.2">
      <c r="A203" s="463" t="s">
        <v>974</v>
      </c>
      <c r="B203" s="470">
        <v>4300</v>
      </c>
      <c r="C203" s="466">
        <v>592777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592777</v>
      </c>
      <c r="D211" s="1725">
        <f>SUM(D203:D210)</f>
        <v>0</v>
      </c>
      <c r="E211" s="468"/>
      <c r="F211" s="1725">
        <f>SUM(F203:F210)</f>
        <v>0</v>
      </c>
      <c r="G211" s="1725">
        <f>SUM(G203:G210)</f>
        <v>0</v>
      </c>
      <c r="H211" s="468"/>
      <c r="I211" s="468"/>
      <c r="J211" s="468"/>
      <c r="K211" s="468"/>
    </row>
    <row r="212" spans="1:11" ht="15.75" customHeight="1" thickTop="1" x14ac:dyDescent="0.2">
      <c r="A212" s="1618" t="s">
        <v>1201</v>
      </c>
      <c r="B212" s="1623"/>
      <c r="C212" s="553"/>
      <c r="D212" s="553"/>
      <c r="E212" s="468"/>
      <c r="F212" s="553"/>
      <c r="G212" s="553"/>
      <c r="H212" s="468"/>
      <c r="I212" s="468"/>
      <c r="J212" s="468"/>
      <c r="K212" s="468"/>
    </row>
    <row r="213" spans="1:11" ht="12.75" customHeight="1" x14ac:dyDescent="0.2">
      <c r="A213" s="463" t="s">
        <v>783</v>
      </c>
      <c r="B213" s="470">
        <v>4400</v>
      </c>
      <c r="C213" s="551">
        <v>12225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12225</v>
      </c>
      <c r="D216" s="1725">
        <f>SUM(D213:D215)</f>
        <v>0</v>
      </c>
      <c r="E216" s="468" t="s">
        <v>1231</v>
      </c>
      <c r="F216" s="1725">
        <f>SUM(F213:F215)</f>
        <v>0</v>
      </c>
      <c r="G216" s="1725">
        <f>SUM(G213:G215)</f>
        <v>0</v>
      </c>
      <c r="H216" s="468"/>
      <c r="I216" s="468"/>
      <c r="J216" s="468"/>
      <c r="K216" s="468"/>
    </row>
    <row r="217" spans="1:11" ht="15.75" customHeight="1" thickTop="1" x14ac:dyDescent="0.2">
      <c r="A217" s="1618" t="s">
        <v>1154</v>
      </c>
      <c r="B217" s="1623"/>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9"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0</v>
      </c>
      <c r="D224" s="1725">
        <f>SUM(D218:D223)</f>
        <v>0</v>
      </c>
      <c r="E224" s="468"/>
      <c r="F224" s="1725">
        <f>SUM(F218:F223)</f>
        <v>0</v>
      </c>
      <c r="G224" s="1725">
        <f>SUM(G218:G223)</f>
        <v>0</v>
      </c>
      <c r="H224" s="468"/>
      <c r="I224" s="468"/>
      <c r="J224" s="468"/>
      <c r="K224" s="468"/>
    </row>
    <row r="225" spans="1:11" ht="15.75" customHeight="1" thickTop="1" x14ac:dyDescent="0.2">
      <c r="A225" s="1618" t="s">
        <v>1155</v>
      </c>
      <c r="B225" s="1623"/>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0" t="s">
        <v>1493</v>
      </c>
      <c r="B260" s="588">
        <v>4901</v>
      </c>
      <c r="C260" s="589"/>
      <c r="D260" s="469"/>
      <c r="E260" s="468"/>
      <c r="F260" s="468"/>
      <c r="G260" s="468"/>
      <c r="H260" s="468"/>
      <c r="I260" s="468"/>
      <c r="J260" s="468"/>
      <c r="K260" s="468"/>
    </row>
    <row r="261" spans="1:11" ht="12.75" customHeight="1" thickTop="1" thickBot="1" x14ac:dyDescent="0.25">
      <c r="A261" s="1521"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8009</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64081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16860</v>
      </c>
      <c r="D270" s="576"/>
      <c r="E270" s="468"/>
      <c r="F270" s="576"/>
      <c r="G270" s="576"/>
      <c r="H270" s="468"/>
      <c r="I270" s="468"/>
      <c r="J270" s="468"/>
      <c r="K270" s="468"/>
    </row>
    <row r="271" spans="1:11" ht="12.75" customHeight="1" thickTop="1" thickBot="1" x14ac:dyDescent="0.25">
      <c r="A271" s="463" t="s">
        <v>395</v>
      </c>
      <c r="B271" s="470">
        <v>4992</v>
      </c>
      <c r="C271" s="575">
        <v>14325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1344854</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1344854</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11903093</v>
      </c>
      <c r="D275" s="1733">
        <f t="shared" si="12"/>
        <v>1316298</v>
      </c>
      <c r="E275" s="1733">
        <f t="shared" si="12"/>
        <v>571370</v>
      </c>
      <c r="F275" s="1733">
        <f t="shared" si="12"/>
        <v>1070517</v>
      </c>
      <c r="G275" s="1733">
        <f t="shared" si="12"/>
        <v>511824</v>
      </c>
      <c r="H275" s="1733">
        <f t="shared" si="12"/>
        <v>196582</v>
      </c>
      <c r="I275" s="1733">
        <f t="shared" si="12"/>
        <v>4213</v>
      </c>
      <c r="J275" s="1733">
        <f t="shared" si="12"/>
        <v>751538</v>
      </c>
      <c r="K275" s="1720">
        <f t="shared" si="12"/>
        <v>29561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9"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66"/>
      <c r="D3" s="1566"/>
      <c r="E3" s="1566"/>
      <c r="F3" s="1566"/>
      <c r="G3" s="1566"/>
      <c r="H3" s="1566"/>
      <c r="I3" s="1566"/>
      <c r="J3" s="1566"/>
      <c r="K3" s="1567"/>
      <c r="L3" s="1568"/>
      <c r="M3" s="610"/>
      <c r="N3" s="610"/>
    </row>
    <row r="4" spans="1:14" s="259" customFormat="1" ht="15.75" customHeight="1" x14ac:dyDescent="0.2">
      <c r="A4" s="1624" t="s">
        <v>46</v>
      </c>
      <c r="B4" s="1625" t="s">
        <v>591</v>
      </c>
      <c r="C4" s="611"/>
      <c r="D4" s="611"/>
      <c r="E4" s="611"/>
      <c r="F4" s="611"/>
      <c r="G4" s="611"/>
      <c r="H4" s="611"/>
      <c r="I4" s="612"/>
      <c r="J4" s="611"/>
      <c r="K4" s="613"/>
      <c r="L4" s="611"/>
      <c r="M4" s="614"/>
      <c r="N4" s="614"/>
    </row>
    <row r="5" spans="1:14" x14ac:dyDescent="0.2">
      <c r="A5" s="1522" t="s">
        <v>1018</v>
      </c>
      <c r="B5" s="615">
        <v>1100</v>
      </c>
      <c r="C5" s="466">
        <v>3080561</v>
      </c>
      <c r="D5" s="466">
        <v>807904</v>
      </c>
      <c r="E5" s="466">
        <v>79759</v>
      </c>
      <c r="F5" s="466">
        <v>174858</v>
      </c>
      <c r="G5" s="466">
        <v>22181</v>
      </c>
      <c r="H5" s="466">
        <v>385</v>
      </c>
      <c r="I5" s="467">
        <v>6213</v>
      </c>
      <c r="J5" s="467"/>
      <c r="K5" s="1689">
        <f>SUM(C5:J5)</f>
        <v>4171861</v>
      </c>
      <c r="L5" s="466">
        <v>4952255</v>
      </c>
    </row>
    <row r="6" spans="1:14" x14ac:dyDescent="0.2">
      <c r="A6" s="1522" t="s">
        <v>1508</v>
      </c>
      <c r="B6" s="615" t="s">
        <v>1506</v>
      </c>
      <c r="C6" s="477"/>
      <c r="D6" s="477"/>
      <c r="E6" s="466"/>
      <c r="F6" s="477"/>
      <c r="G6" s="477"/>
      <c r="H6" s="477"/>
      <c r="I6" s="477"/>
      <c r="J6" s="477"/>
      <c r="K6" s="1689">
        <f>SUM(C6,E6)</f>
        <v>0</v>
      </c>
      <c r="L6" s="466"/>
    </row>
    <row r="7" spans="1:14" x14ac:dyDescent="0.2">
      <c r="A7" s="1522" t="s">
        <v>165</v>
      </c>
      <c r="B7" s="615" t="s">
        <v>1024</v>
      </c>
      <c r="C7" s="467"/>
      <c r="D7" s="467"/>
      <c r="E7" s="467"/>
      <c r="F7" s="467"/>
      <c r="G7" s="467"/>
      <c r="H7" s="467"/>
      <c r="I7" s="467"/>
      <c r="J7" s="467"/>
      <c r="K7" s="1689">
        <f t="shared" ref="K7:K32" si="0">SUM(C7:J7)</f>
        <v>0</v>
      </c>
      <c r="L7" s="466"/>
    </row>
    <row r="8" spans="1:14" x14ac:dyDescent="0.2">
      <c r="A8" s="1522" t="s">
        <v>166</v>
      </c>
      <c r="B8" s="615">
        <v>1200</v>
      </c>
      <c r="C8" s="466">
        <v>726361</v>
      </c>
      <c r="D8" s="466">
        <v>5143</v>
      </c>
      <c r="E8" s="466">
        <v>153</v>
      </c>
      <c r="F8" s="466">
        <v>1411</v>
      </c>
      <c r="G8" s="466"/>
      <c r="H8" s="466"/>
      <c r="I8" s="467"/>
      <c r="J8" s="467"/>
      <c r="K8" s="1689">
        <f t="shared" si="0"/>
        <v>733068</v>
      </c>
      <c r="L8" s="466">
        <v>786100</v>
      </c>
    </row>
    <row r="9" spans="1:14" x14ac:dyDescent="0.2">
      <c r="A9" s="1522" t="s">
        <v>745</v>
      </c>
      <c r="B9" s="615" t="s">
        <v>1025</v>
      </c>
      <c r="C9" s="467"/>
      <c r="D9" s="467"/>
      <c r="E9" s="467"/>
      <c r="F9" s="467"/>
      <c r="G9" s="467"/>
      <c r="H9" s="467"/>
      <c r="I9" s="467"/>
      <c r="J9" s="467"/>
      <c r="K9" s="1689">
        <f t="shared" si="0"/>
        <v>0</v>
      </c>
      <c r="L9" s="466"/>
    </row>
    <row r="10" spans="1:14" x14ac:dyDescent="0.2">
      <c r="A10" s="1522" t="s">
        <v>746</v>
      </c>
      <c r="B10" s="615">
        <v>1250</v>
      </c>
      <c r="C10" s="466"/>
      <c r="D10" s="466"/>
      <c r="E10" s="466"/>
      <c r="F10" s="466"/>
      <c r="G10" s="466"/>
      <c r="H10" s="466"/>
      <c r="I10" s="467"/>
      <c r="J10" s="467"/>
      <c r="K10" s="1689">
        <f t="shared" si="0"/>
        <v>0</v>
      </c>
      <c r="L10" s="466"/>
    </row>
    <row r="11" spans="1:14" x14ac:dyDescent="0.2">
      <c r="A11" s="1522" t="s">
        <v>1192</v>
      </c>
      <c r="B11" s="615" t="s">
        <v>163</v>
      </c>
      <c r="C11" s="467"/>
      <c r="D11" s="467"/>
      <c r="E11" s="467"/>
      <c r="F11" s="467"/>
      <c r="G11" s="467"/>
      <c r="H11" s="467"/>
      <c r="I11" s="467"/>
      <c r="J11" s="467"/>
      <c r="K11" s="1689">
        <f t="shared" si="0"/>
        <v>0</v>
      </c>
      <c r="L11" s="466"/>
    </row>
    <row r="12" spans="1:14" x14ac:dyDescent="0.2">
      <c r="A12" s="1522" t="s">
        <v>1019</v>
      </c>
      <c r="B12" s="615">
        <v>1300</v>
      </c>
      <c r="C12" s="466"/>
      <c r="D12" s="466"/>
      <c r="E12" s="466"/>
      <c r="F12" s="466"/>
      <c r="G12" s="466"/>
      <c r="H12" s="466"/>
      <c r="I12" s="467"/>
      <c r="J12" s="467"/>
      <c r="K12" s="1689">
        <f t="shared" si="0"/>
        <v>0</v>
      </c>
      <c r="L12" s="466"/>
    </row>
    <row r="13" spans="1:14" x14ac:dyDescent="0.2">
      <c r="A13" s="1522" t="s">
        <v>747</v>
      </c>
      <c r="B13" s="615">
        <v>1400</v>
      </c>
      <c r="C13" s="466"/>
      <c r="D13" s="466"/>
      <c r="E13" s="466"/>
      <c r="F13" s="466"/>
      <c r="G13" s="466"/>
      <c r="H13" s="466"/>
      <c r="I13" s="467"/>
      <c r="J13" s="467"/>
      <c r="K13" s="1689">
        <f t="shared" si="0"/>
        <v>0</v>
      </c>
      <c r="L13" s="466"/>
    </row>
    <row r="14" spans="1:14" x14ac:dyDescent="0.2">
      <c r="A14" s="1522" t="s">
        <v>1020</v>
      </c>
      <c r="B14" s="615">
        <v>1500</v>
      </c>
      <c r="C14" s="466"/>
      <c r="D14" s="466"/>
      <c r="E14" s="466"/>
      <c r="F14" s="466"/>
      <c r="G14" s="466"/>
      <c r="H14" s="466"/>
      <c r="I14" s="467"/>
      <c r="J14" s="467"/>
      <c r="K14" s="1689">
        <f t="shared" si="0"/>
        <v>0</v>
      </c>
      <c r="L14" s="466"/>
    </row>
    <row r="15" spans="1:14" x14ac:dyDescent="0.2">
      <c r="A15" s="1522" t="s">
        <v>1021</v>
      </c>
      <c r="B15" s="615">
        <v>1600</v>
      </c>
      <c r="C15" s="466">
        <v>155841</v>
      </c>
      <c r="D15" s="466">
        <v>1692</v>
      </c>
      <c r="E15" s="466"/>
      <c r="F15" s="466"/>
      <c r="G15" s="466"/>
      <c r="H15" s="466"/>
      <c r="I15" s="467"/>
      <c r="J15" s="467"/>
      <c r="K15" s="1689">
        <f t="shared" si="0"/>
        <v>157533</v>
      </c>
      <c r="L15" s="466">
        <v>167000</v>
      </c>
    </row>
    <row r="16" spans="1:14" x14ac:dyDescent="0.2">
      <c r="A16" s="1522" t="s">
        <v>1044</v>
      </c>
      <c r="B16" s="615" t="s">
        <v>444</v>
      </c>
      <c r="C16" s="466"/>
      <c r="D16" s="466"/>
      <c r="E16" s="466"/>
      <c r="F16" s="466"/>
      <c r="G16" s="466"/>
      <c r="H16" s="466"/>
      <c r="I16" s="467"/>
      <c r="J16" s="467"/>
      <c r="K16" s="1689">
        <f t="shared" si="0"/>
        <v>0</v>
      </c>
      <c r="L16" s="466"/>
    </row>
    <row r="17" spans="1:12" x14ac:dyDescent="0.2">
      <c r="A17" s="1522" t="s">
        <v>748</v>
      </c>
      <c r="B17" s="615" t="s">
        <v>164</v>
      </c>
      <c r="C17" s="467"/>
      <c r="D17" s="467"/>
      <c r="E17" s="467"/>
      <c r="F17" s="467"/>
      <c r="G17" s="467"/>
      <c r="H17" s="467"/>
      <c r="I17" s="467"/>
      <c r="J17" s="467"/>
      <c r="K17" s="1689">
        <f t="shared" si="0"/>
        <v>0</v>
      </c>
      <c r="L17" s="466"/>
    </row>
    <row r="18" spans="1:12" x14ac:dyDescent="0.2">
      <c r="A18" s="1522" t="s">
        <v>1148</v>
      </c>
      <c r="B18" s="615">
        <v>1800</v>
      </c>
      <c r="C18" s="466">
        <v>282651</v>
      </c>
      <c r="D18" s="466">
        <v>3388</v>
      </c>
      <c r="E18" s="466">
        <v>249</v>
      </c>
      <c r="F18" s="466">
        <v>1518</v>
      </c>
      <c r="G18" s="466"/>
      <c r="H18" s="466"/>
      <c r="I18" s="467"/>
      <c r="J18" s="467"/>
      <c r="K18" s="1689">
        <f t="shared" si="0"/>
        <v>287806</v>
      </c>
      <c r="L18" s="466">
        <v>265075</v>
      </c>
    </row>
    <row r="19" spans="1:12" x14ac:dyDescent="0.2">
      <c r="A19" s="1522" t="s">
        <v>136</v>
      </c>
      <c r="B19" s="615">
        <v>1900</v>
      </c>
      <c r="C19" s="466"/>
      <c r="D19" s="466"/>
      <c r="E19" s="466"/>
      <c r="F19" s="466"/>
      <c r="G19" s="466"/>
      <c r="H19" s="466"/>
      <c r="I19" s="467"/>
      <c r="J19" s="467"/>
      <c r="K19" s="1689">
        <f t="shared" si="0"/>
        <v>0</v>
      </c>
      <c r="L19" s="466"/>
    </row>
    <row r="20" spans="1:12" x14ac:dyDescent="0.2">
      <c r="A20" s="1523" t="s">
        <v>762</v>
      </c>
      <c r="B20" s="603" t="s">
        <v>749</v>
      </c>
      <c r="C20" s="477"/>
      <c r="D20" s="477"/>
      <c r="E20" s="477"/>
      <c r="F20" s="477"/>
      <c r="G20" s="477"/>
      <c r="H20" s="474"/>
      <c r="I20" s="617"/>
      <c r="J20" s="475"/>
      <c r="K20" s="1689">
        <f t="shared" si="0"/>
        <v>0</v>
      </c>
      <c r="L20" s="471"/>
    </row>
    <row r="21" spans="1:12" x14ac:dyDescent="0.2">
      <c r="A21" s="1523" t="s">
        <v>763</v>
      </c>
      <c r="B21" s="603" t="s">
        <v>750</v>
      </c>
      <c r="C21" s="477"/>
      <c r="D21" s="477"/>
      <c r="E21" s="477"/>
      <c r="F21" s="477"/>
      <c r="G21" s="477"/>
      <c r="H21" s="474"/>
      <c r="I21" s="617"/>
      <c r="J21" s="477"/>
      <c r="K21" s="1689">
        <f t="shared" si="0"/>
        <v>0</v>
      </c>
      <c r="L21" s="471"/>
    </row>
    <row r="22" spans="1:12" x14ac:dyDescent="0.2">
      <c r="A22" s="1523" t="s">
        <v>764</v>
      </c>
      <c r="B22" s="603" t="s">
        <v>751</v>
      </c>
      <c r="C22" s="477"/>
      <c r="D22" s="477"/>
      <c r="E22" s="477"/>
      <c r="F22" s="477"/>
      <c r="G22" s="477"/>
      <c r="H22" s="474"/>
      <c r="I22" s="617"/>
      <c r="J22" s="477"/>
      <c r="K22" s="1689">
        <f t="shared" si="0"/>
        <v>0</v>
      </c>
      <c r="L22" s="471"/>
    </row>
    <row r="23" spans="1:12" x14ac:dyDescent="0.2">
      <c r="A23" s="1523" t="s">
        <v>765</v>
      </c>
      <c r="B23" s="603" t="s">
        <v>752</v>
      </c>
      <c r="C23" s="477"/>
      <c r="D23" s="477"/>
      <c r="E23" s="477"/>
      <c r="F23" s="477"/>
      <c r="G23" s="477"/>
      <c r="H23" s="474"/>
      <c r="I23" s="617"/>
      <c r="J23" s="477"/>
      <c r="K23" s="1689">
        <f t="shared" si="0"/>
        <v>0</v>
      </c>
      <c r="L23" s="471"/>
    </row>
    <row r="24" spans="1:12" ht="12.75" customHeight="1" x14ac:dyDescent="0.2">
      <c r="A24" s="1523" t="s">
        <v>766</v>
      </c>
      <c r="B24" s="603" t="s">
        <v>753</v>
      </c>
      <c r="C24" s="477"/>
      <c r="D24" s="477"/>
      <c r="E24" s="477"/>
      <c r="F24" s="477"/>
      <c r="G24" s="477"/>
      <c r="H24" s="474"/>
      <c r="I24" s="617"/>
      <c r="J24" s="477"/>
      <c r="K24" s="1689">
        <f t="shared" si="0"/>
        <v>0</v>
      </c>
      <c r="L24" s="471"/>
    </row>
    <row r="25" spans="1:12" ht="12.75" customHeight="1" x14ac:dyDescent="0.2">
      <c r="A25" s="1523" t="s">
        <v>835</v>
      </c>
      <c r="B25" s="603" t="s">
        <v>754</v>
      </c>
      <c r="C25" s="477"/>
      <c r="D25" s="477"/>
      <c r="E25" s="477"/>
      <c r="F25" s="477"/>
      <c r="G25" s="477"/>
      <c r="H25" s="474"/>
      <c r="I25" s="617"/>
      <c r="J25" s="477"/>
      <c r="K25" s="1689">
        <f t="shared" si="0"/>
        <v>0</v>
      </c>
      <c r="L25" s="471"/>
    </row>
    <row r="26" spans="1:12" x14ac:dyDescent="0.2">
      <c r="A26" s="1523" t="s">
        <v>643</v>
      </c>
      <c r="B26" s="603" t="s">
        <v>755</v>
      </c>
      <c r="C26" s="477"/>
      <c r="D26" s="477"/>
      <c r="E26" s="477"/>
      <c r="F26" s="477"/>
      <c r="G26" s="477"/>
      <c r="H26" s="474"/>
      <c r="I26" s="617"/>
      <c r="J26" s="477"/>
      <c r="K26" s="1689">
        <f t="shared" si="0"/>
        <v>0</v>
      </c>
      <c r="L26" s="471"/>
    </row>
    <row r="27" spans="1:12" x14ac:dyDescent="0.2">
      <c r="A27" s="1523" t="s">
        <v>644</v>
      </c>
      <c r="B27" s="603" t="s">
        <v>756</v>
      </c>
      <c r="C27" s="477"/>
      <c r="D27" s="477"/>
      <c r="E27" s="477"/>
      <c r="F27" s="477"/>
      <c r="G27" s="477"/>
      <c r="H27" s="474"/>
      <c r="I27" s="617"/>
      <c r="J27" s="477"/>
      <c r="K27" s="1689">
        <f t="shared" si="0"/>
        <v>0</v>
      </c>
      <c r="L27" s="471"/>
    </row>
    <row r="28" spans="1:12" x14ac:dyDescent="0.2">
      <c r="A28" s="1523" t="s">
        <v>152</v>
      </c>
      <c r="B28" s="603" t="s">
        <v>757</v>
      </c>
      <c r="C28" s="477"/>
      <c r="D28" s="477"/>
      <c r="E28" s="477"/>
      <c r="F28" s="477"/>
      <c r="G28" s="477"/>
      <c r="H28" s="474"/>
      <c r="I28" s="617"/>
      <c r="J28" s="477"/>
      <c r="K28" s="1689">
        <f t="shared" si="0"/>
        <v>0</v>
      </c>
      <c r="L28" s="471"/>
    </row>
    <row r="29" spans="1:12" x14ac:dyDescent="0.2">
      <c r="A29" s="1523" t="s">
        <v>153</v>
      </c>
      <c r="B29" s="603" t="s">
        <v>758</v>
      </c>
      <c r="C29" s="477"/>
      <c r="D29" s="477"/>
      <c r="E29" s="477"/>
      <c r="F29" s="477"/>
      <c r="G29" s="477"/>
      <c r="H29" s="474"/>
      <c r="I29" s="617"/>
      <c r="J29" s="477"/>
      <c r="K29" s="1689">
        <f t="shared" si="0"/>
        <v>0</v>
      </c>
      <c r="L29" s="471"/>
    </row>
    <row r="30" spans="1:12" x14ac:dyDescent="0.2">
      <c r="A30" s="1523" t="s">
        <v>154</v>
      </c>
      <c r="B30" s="603" t="s">
        <v>759</v>
      </c>
      <c r="C30" s="477"/>
      <c r="D30" s="477"/>
      <c r="E30" s="477"/>
      <c r="F30" s="477"/>
      <c r="G30" s="477"/>
      <c r="H30" s="474"/>
      <c r="I30" s="617"/>
      <c r="J30" s="477"/>
      <c r="K30" s="1689">
        <f t="shared" si="0"/>
        <v>0</v>
      </c>
      <c r="L30" s="471"/>
    </row>
    <row r="31" spans="1:12" x14ac:dyDescent="0.2">
      <c r="A31" s="1523" t="s">
        <v>155</v>
      </c>
      <c r="B31" s="603" t="s">
        <v>760</v>
      </c>
      <c r="C31" s="477"/>
      <c r="D31" s="477"/>
      <c r="E31" s="477"/>
      <c r="F31" s="477"/>
      <c r="G31" s="477"/>
      <c r="H31" s="474"/>
      <c r="I31" s="617"/>
      <c r="J31" s="477"/>
      <c r="K31" s="1689">
        <f t="shared" si="0"/>
        <v>0</v>
      </c>
      <c r="L31" s="471"/>
    </row>
    <row r="32" spans="1:12" x14ac:dyDescent="0.2">
      <c r="A32" s="1524" t="s">
        <v>1191</v>
      </c>
      <c r="B32" s="615" t="s">
        <v>761</v>
      </c>
      <c r="C32" s="477"/>
      <c r="D32" s="477"/>
      <c r="E32" s="477"/>
      <c r="F32" s="477"/>
      <c r="G32" s="477"/>
      <c r="H32" s="474"/>
      <c r="I32" s="617"/>
      <c r="J32" s="480"/>
      <c r="K32" s="1689">
        <f t="shared" si="0"/>
        <v>0</v>
      </c>
      <c r="L32" s="471"/>
    </row>
    <row r="33" spans="1:14" ht="12.75" customHeight="1" thickBot="1" x14ac:dyDescent="0.25">
      <c r="A33" s="1686" t="s">
        <v>1767</v>
      </c>
      <c r="B33" s="1687" t="s">
        <v>591</v>
      </c>
      <c r="C33" s="1688">
        <f>SUM(C5:C32)</f>
        <v>4245414</v>
      </c>
      <c r="D33" s="1688">
        <f t="shared" ref="D33:L33" si="1">SUM(D5:D32)</f>
        <v>818127</v>
      </c>
      <c r="E33" s="1688">
        <f t="shared" si="1"/>
        <v>80161</v>
      </c>
      <c r="F33" s="1688">
        <f t="shared" si="1"/>
        <v>177787</v>
      </c>
      <c r="G33" s="1688">
        <f t="shared" si="1"/>
        <v>22181</v>
      </c>
      <c r="H33" s="1688">
        <f t="shared" si="1"/>
        <v>385</v>
      </c>
      <c r="I33" s="1688">
        <f t="shared" si="1"/>
        <v>6213</v>
      </c>
      <c r="J33" s="1688">
        <f t="shared" si="1"/>
        <v>0</v>
      </c>
      <c r="K33" s="1688">
        <f t="shared" si="1"/>
        <v>5350268</v>
      </c>
      <c r="L33" s="1688">
        <f t="shared" si="1"/>
        <v>6170430</v>
      </c>
    </row>
    <row r="34" spans="1:14" s="621" customFormat="1" ht="15.75" customHeight="1" thickTop="1" x14ac:dyDescent="0.2">
      <c r="A34" s="1626" t="s">
        <v>48</v>
      </c>
      <c r="B34" s="1627"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2" t="s">
        <v>1150</v>
      </c>
      <c r="B36" s="615">
        <v>2110</v>
      </c>
      <c r="C36" s="481">
        <v>91440</v>
      </c>
      <c r="D36" s="481">
        <v>1101</v>
      </c>
      <c r="E36" s="481">
        <v>56429</v>
      </c>
      <c r="F36" s="481">
        <v>731</v>
      </c>
      <c r="G36" s="481"/>
      <c r="H36" s="481"/>
      <c r="I36" s="467"/>
      <c r="J36" s="467"/>
      <c r="K36" s="1689">
        <f t="shared" ref="K36:K41" si="2">SUM(C36:J36)</f>
        <v>149701</v>
      </c>
      <c r="L36" s="466">
        <v>162090</v>
      </c>
    </row>
    <row r="37" spans="1:14" x14ac:dyDescent="0.2">
      <c r="A37" s="1522" t="s">
        <v>1151</v>
      </c>
      <c r="B37" s="615">
        <v>2120</v>
      </c>
      <c r="C37" s="466"/>
      <c r="D37" s="466"/>
      <c r="E37" s="466"/>
      <c r="F37" s="466"/>
      <c r="G37" s="466"/>
      <c r="H37" s="466"/>
      <c r="I37" s="467"/>
      <c r="J37" s="467"/>
      <c r="K37" s="1689">
        <f t="shared" si="2"/>
        <v>0</v>
      </c>
      <c r="L37" s="466"/>
    </row>
    <row r="38" spans="1:14" x14ac:dyDescent="0.2">
      <c r="A38" s="1522" t="s">
        <v>207</v>
      </c>
      <c r="B38" s="615">
        <v>2130</v>
      </c>
      <c r="C38" s="466">
        <v>117801</v>
      </c>
      <c r="D38" s="466"/>
      <c r="E38" s="466">
        <v>31374</v>
      </c>
      <c r="F38" s="466">
        <v>2794</v>
      </c>
      <c r="G38" s="466"/>
      <c r="H38" s="466">
        <v>372</v>
      </c>
      <c r="I38" s="467"/>
      <c r="J38" s="467"/>
      <c r="K38" s="1689">
        <f t="shared" si="2"/>
        <v>152341</v>
      </c>
      <c r="L38" s="466">
        <v>164300</v>
      </c>
    </row>
    <row r="39" spans="1:14" x14ac:dyDescent="0.2">
      <c r="A39" s="1522" t="s">
        <v>208</v>
      </c>
      <c r="B39" s="615">
        <v>2140</v>
      </c>
      <c r="C39" s="466"/>
      <c r="D39" s="466"/>
      <c r="E39" s="466">
        <v>21400</v>
      </c>
      <c r="F39" s="466"/>
      <c r="G39" s="466"/>
      <c r="H39" s="466"/>
      <c r="I39" s="467"/>
      <c r="J39" s="467"/>
      <c r="K39" s="1689">
        <f t="shared" si="2"/>
        <v>21400</v>
      </c>
      <c r="L39" s="466">
        <v>31650</v>
      </c>
    </row>
    <row r="40" spans="1:14" x14ac:dyDescent="0.2">
      <c r="A40" s="1522" t="s">
        <v>209</v>
      </c>
      <c r="B40" s="615">
        <v>2150</v>
      </c>
      <c r="C40" s="466">
        <v>111425</v>
      </c>
      <c r="D40" s="466">
        <v>1388</v>
      </c>
      <c r="E40" s="466">
        <v>88340</v>
      </c>
      <c r="F40" s="466"/>
      <c r="G40" s="466"/>
      <c r="H40" s="466"/>
      <c r="I40" s="467"/>
      <c r="J40" s="467"/>
      <c r="K40" s="1689">
        <f t="shared" si="2"/>
        <v>201153</v>
      </c>
      <c r="L40" s="466">
        <v>206632</v>
      </c>
    </row>
    <row r="41" spans="1:14" x14ac:dyDescent="0.2">
      <c r="A41" s="1522" t="s">
        <v>1768</v>
      </c>
      <c r="B41" s="615">
        <v>2190</v>
      </c>
      <c r="C41" s="466"/>
      <c r="D41" s="466"/>
      <c r="E41" s="466"/>
      <c r="F41" s="466"/>
      <c r="G41" s="466"/>
      <c r="H41" s="466"/>
      <c r="I41" s="467"/>
      <c r="J41" s="467"/>
      <c r="K41" s="1689">
        <f t="shared" si="2"/>
        <v>0</v>
      </c>
      <c r="L41" s="466"/>
    </row>
    <row r="42" spans="1:14" ht="12.75" customHeight="1" thickBot="1" x14ac:dyDescent="0.25">
      <c r="A42" s="1686" t="s">
        <v>581</v>
      </c>
      <c r="B42" s="1687" t="s">
        <v>740</v>
      </c>
      <c r="C42" s="1688">
        <f>SUM(C36:C41)</f>
        <v>320666</v>
      </c>
      <c r="D42" s="1688">
        <f t="shared" ref="D42:L42" si="3">SUM(D36:D41)</f>
        <v>2489</v>
      </c>
      <c r="E42" s="1688">
        <f t="shared" si="3"/>
        <v>197543</v>
      </c>
      <c r="F42" s="1688">
        <f t="shared" si="3"/>
        <v>3525</v>
      </c>
      <c r="G42" s="1688">
        <f t="shared" si="3"/>
        <v>0</v>
      </c>
      <c r="H42" s="1688">
        <f t="shared" si="3"/>
        <v>372</v>
      </c>
      <c r="I42" s="1688">
        <f t="shared" si="3"/>
        <v>0</v>
      </c>
      <c r="J42" s="1688">
        <f t="shared" si="3"/>
        <v>0</v>
      </c>
      <c r="K42" s="1688">
        <f t="shared" si="3"/>
        <v>524595</v>
      </c>
      <c r="L42" s="1688">
        <f t="shared" si="3"/>
        <v>564672</v>
      </c>
    </row>
    <row r="43" spans="1:14" ht="15.75" customHeight="1" thickTop="1" x14ac:dyDescent="0.2">
      <c r="A43" s="625" t="s">
        <v>613</v>
      </c>
      <c r="B43" s="626"/>
      <c r="C43" s="627"/>
      <c r="D43" s="627"/>
      <c r="E43" s="627"/>
      <c r="F43" s="627"/>
      <c r="G43" s="627"/>
      <c r="H43" s="627"/>
      <c r="I43" s="617"/>
      <c r="J43" s="617"/>
      <c r="K43" s="627"/>
      <c r="L43" s="627"/>
    </row>
    <row r="44" spans="1:14" x14ac:dyDescent="0.2">
      <c r="A44" s="1522" t="s">
        <v>868</v>
      </c>
      <c r="B44" s="615">
        <v>2210</v>
      </c>
      <c r="C44" s="481">
        <v>114704</v>
      </c>
      <c r="D44" s="481"/>
      <c r="E44" s="481">
        <v>165662</v>
      </c>
      <c r="F44" s="481">
        <v>21797</v>
      </c>
      <c r="G44" s="481"/>
      <c r="H44" s="481"/>
      <c r="I44" s="467"/>
      <c r="J44" s="467"/>
      <c r="K44" s="1690">
        <f>SUM(C44:J44)</f>
        <v>302163</v>
      </c>
      <c r="L44" s="481">
        <v>376000</v>
      </c>
    </row>
    <row r="45" spans="1:14" x14ac:dyDescent="0.2">
      <c r="A45" s="1522" t="s">
        <v>869</v>
      </c>
      <c r="B45" s="615">
        <v>2220</v>
      </c>
      <c r="C45" s="466">
        <v>112834</v>
      </c>
      <c r="D45" s="466">
        <v>930</v>
      </c>
      <c r="E45" s="466">
        <v>208782</v>
      </c>
      <c r="F45" s="466">
        <v>127325</v>
      </c>
      <c r="G45" s="466">
        <v>45974</v>
      </c>
      <c r="H45" s="466"/>
      <c r="I45" s="467">
        <v>292122</v>
      </c>
      <c r="J45" s="467"/>
      <c r="K45" s="1690">
        <f>SUM(C45:J45)</f>
        <v>787967</v>
      </c>
      <c r="L45" s="466">
        <v>911400</v>
      </c>
    </row>
    <row r="46" spans="1:14" x14ac:dyDescent="0.2">
      <c r="A46" s="1522" t="s">
        <v>870</v>
      </c>
      <c r="B46" s="615">
        <v>2230</v>
      </c>
      <c r="C46" s="466"/>
      <c r="D46" s="466"/>
      <c r="E46" s="466">
        <v>19737</v>
      </c>
      <c r="F46" s="466"/>
      <c r="G46" s="466"/>
      <c r="H46" s="466"/>
      <c r="I46" s="467"/>
      <c r="J46" s="467"/>
      <c r="K46" s="1690">
        <f>SUM(C46:J46)</f>
        <v>19737</v>
      </c>
      <c r="L46" s="466">
        <v>29000</v>
      </c>
    </row>
    <row r="47" spans="1:14" ht="12.75" customHeight="1" thickBot="1" x14ac:dyDescent="0.25">
      <c r="A47" s="1686" t="s">
        <v>582</v>
      </c>
      <c r="B47" s="1687" t="s">
        <v>32</v>
      </c>
      <c r="C47" s="1688">
        <f>SUM(C44:C46)</f>
        <v>227538</v>
      </c>
      <c r="D47" s="1688">
        <f t="shared" ref="D47:K47" si="4">SUM(D44:D46)</f>
        <v>930</v>
      </c>
      <c r="E47" s="1688">
        <f t="shared" si="4"/>
        <v>394181</v>
      </c>
      <c r="F47" s="1688">
        <f t="shared" si="4"/>
        <v>149122</v>
      </c>
      <c r="G47" s="1688">
        <f t="shared" si="4"/>
        <v>45974</v>
      </c>
      <c r="H47" s="1688">
        <f t="shared" si="4"/>
        <v>0</v>
      </c>
      <c r="I47" s="1688">
        <f t="shared" si="4"/>
        <v>292122</v>
      </c>
      <c r="J47" s="1688">
        <f t="shared" si="4"/>
        <v>0</v>
      </c>
      <c r="K47" s="1688">
        <f t="shared" si="4"/>
        <v>1109867</v>
      </c>
      <c r="L47" s="1688">
        <f>SUM(L44:L46)</f>
        <v>1316400</v>
      </c>
    </row>
    <row r="48" spans="1:14" ht="15.75" customHeight="1" thickTop="1" x14ac:dyDescent="0.2">
      <c r="A48" s="625" t="s">
        <v>631</v>
      </c>
      <c r="B48" s="626"/>
      <c r="C48" s="627"/>
      <c r="D48" s="627"/>
      <c r="E48" s="627"/>
      <c r="F48" s="627"/>
      <c r="G48" s="627"/>
      <c r="H48" s="627"/>
      <c r="I48" s="617"/>
      <c r="J48" s="617"/>
      <c r="K48" s="627"/>
      <c r="L48" s="627"/>
    </row>
    <row r="49" spans="1:14" x14ac:dyDescent="0.2">
      <c r="A49" s="1522" t="s">
        <v>871</v>
      </c>
      <c r="B49" s="615">
        <v>2310</v>
      </c>
      <c r="C49" s="481"/>
      <c r="D49" s="481">
        <v>31000</v>
      </c>
      <c r="E49" s="481">
        <v>57842</v>
      </c>
      <c r="F49" s="481">
        <v>7328</v>
      </c>
      <c r="G49" s="481"/>
      <c r="H49" s="481">
        <v>15236</v>
      </c>
      <c r="I49" s="467"/>
      <c r="J49" s="467"/>
      <c r="K49" s="1690">
        <f>SUM(C49:J49)</f>
        <v>111406</v>
      </c>
      <c r="L49" s="481">
        <v>120600</v>
      </c>
    </row>
    <row r="50" spans="1:14" x14ac:dyDescent="0.2">
      <c r="A50" s="1522" t="s">
        <v>872</v>
      </c>
      <c r="B50" s="615">
        <v>2320</v>
      </c>
      <c r="C50" s="466">
        <v>265952</v>
      </c>
      <c r="D50" s="466">
        <v>34958</v>
      </c>
      <c r="E50" s="466">
        <v>4791</v>
      </c>
      <c r="F50" s="466">
        <v>9013</v>
      </c>
      <c r="G50" s="466"/>
      <c r="H50" s="466">
        <v>400</v>
      </c>
      <c r="I50" s="467"/>
      <c r="J50" s="467"/>
      <c r="K50" s="1690">
        <f>SUM(C50:J50)</f>
        <v>315114</v>
      </c>
      <c r="L50" s="466">
        <v>349100</v>
      </c>
    </row>
    <row r="51" spans="1:14" x14ac:dyDescent="0.2">
      <c r="A51" s="1522" t="s">
        <v>44</v>
      </c>
      <c r="B51" s="615">
        <v>2330</v>
      </c>
      <c r="C51" s="466">
        <v>150002</v>
      </c>
      <c r="D51" s="466">
        <v>2091</v>
      </c>
      <c r="E51" s="466">
        <v>6500</v>
      </c>
      <c r="F51" s="466"/>
      <c r="G51" s="466"/>
      <c r="H51" s="466"/>
      <c r="I51" s="467"/>
      <c r="J51" s="467"/>
      <c r="K51" s="1690">
        <f>SUM(C51:J51)</f>
        <v>158593</v>
      </c>
      <c r="L51" s="466">
        <v>151030</v>
      </c>
    </row>
    <row r="52" spans="1:14" ht="22.5" x14ac:dyDescent="0.2">
      <c r="A52" s="1523" t="s">
        <v>316</v>
      </c>
      <c r="B52" s="628" t="s">
        <v>384</v>
      </c>
      <c r="C52" s="474"/>
      <c r="D52" s="474"/>
      <c r="E52" s="474"/>
      <c r="F52" s="474"/>
      <c r="G52" s="474"/>
      <c r="H52" s="474"/>
      <c r="I52" s="474"/>
      <c r="J52" s="474"/>
      <c r="K52" s="1690">
        <f>SUM(C52:J52)</f>
        <v>0</v>
      </c>
      <c r="L52" s="474"/>
    </row>
    <row r="53" spans="1:14" ht="12.75" customHeight="1" thickBot="1" x14ac:dyDescent="0.25">
      <c r="A53" s="1686" t="s">
        <v>741</v>
      </c>
      <c r="B53" s="1687" t="s">
        <v>33</v>
      </c>
      <c r="C53" s="1688">
        <f>SUM(C49:C52)</f>
        <v>415954</v>
      </c>
      <c r="D53" s="1688">
        <f t="shared" ref="D53:L53" si="5">SUM(D49:D52)</f>
        <v>68049</v>
      </c>
      <c r="E53" s="1688">
        <f t="shared" si="5"/>
        <v>69133</v>
      </c>
      <c r="F53" s="1688">
        <f t="shared" si="5"/>
        <v>16341</v>
      </c>
      <c r="G53" s="1688">
        <f t="shared" si="5"/>
        <v>0</v>
      </c>
      <c r="H53" s="1688">
        <f t="shared" si="5"/>
        <v>15636</v>
      </c>
      <c r="I53" s="1688">
        <f t="shared" si="5"/>
        <v>0</v>
      </c>
      <c r="J53" s="1688">
        <f t="shared" si="5"/>
        <v>0</v>
      </c>
      <c r="K53" s="1688">
        <f t="shared" si="5"/>
        <v>585113</v>
      </c>
      <c r="L53" s="1688">
        <f t="shared" si="5"/>
        <v>620730</v>
      </c>
    </row>
    <row r="54" spans="1:14" ht="15.75" customHeight="1" thickTop="1" x14ac:dyDescent="0.2">
      <c r="A54" s="625" t="s">
        <v>632</v>
      </c>
      <c r="B54" s="626"/>
      <c r="C54" s="627"/>
      <c r="D54" s="627"/>
      <c r="E54" s="627"/>
      <c r="F54" s="627"/>
      <c r="G54" s="627"/>
      <c r="H54" s="627"/>
      <c r="I54" s="617"/>
      <c r="J54" s="617"/>
      <c r="K54" s="627"/>
      <c r="L54" s="627"/>
    </row>
    <row r="55" spans="1:14" x14ac:dyDescent="0.2">
      <c r="A55" s="1522" t="s">
        <v>1127</v>
      </c>
      <c r="B55" s="615">
        <v>2410</v>
      </c>
      <c r="C55" s="481">
        <v>306072</v>
      </c>
      <c r="D55" s="481">
        <v>5383</v>
      </c>
      <c r="E55" s="481">
        <v>1815</v>
      </c>
      <c r="F55" s="481">
        <v>43</v>
      </c>
      <c r="G55" s="481"/>
      <c r="H55" s="481"/>
      <c r="I55" s="467"/>
      <c r="J55" s="467"/>
      <c r="K55" s="1690">
        <f>SUM(C55:J55)</f>
        <v>313313</v>
      </c>
      <c r="L55" s="481">
        <v>312680</v>
      </c>
    </row>
    <row r="56" spans="1:14" ht="12.75" customHeight="1" x14ac:dyDescent="0.2">
      <c r="A56" s="1526"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306072</v>
      </c>
      <c r="D57" s="1692">
        <f t="shared" ref="D57:K57" si="6">SUM(D55:D56)</f>
        <v>5383</v>
      </c>
      <c r="E57" s="1692">
        <f t="shared" si="6"/>
        <v>1815</v>
      </c>
      <c r="F57" s="1692">
        <f t="shared" si="6"/>
        <v>43</v>
      </c>
      <c r="G57" s="1692">
        <f t="shared" si="6"/>
        <v>0</v>
      </c>
      <c r="H57" s="1692">
        <f t="shared" si="6"/>
        <v>0</v>
      </c>
      <c r="I57" s="1692">
        <f t="shared" si="6"/>
        <v>0</v>
      </c>
      <c r="J57" s="1692">
        <f t="shared" si="6"/>
        <v>0</v>
      </c>
      <c r="K57" s="1692">
        <f t="shared" si="6"/>
        <v>313313</v>
      </c>
      <c r="L57" s="1688">
        <f>SUM(L55:L56)</f>
        <v>312680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2" t="s">
        <v>1128</v>
      </c>
      <c r="B59" s="615">
        <v>2510</v>
      </c>
      <c r="C59" s="481"/>
      <c r="D59" s="481"/>
      <c r="E59" s="481"/>
      <c r="F59" s="481"/>
      <c r="G59" s="481"/>
      <c r="H59" s="481"/>
      <c r="I59" s="467"/>
      <c r="J59" s="467"/>
      <c r="K59" s="1690">
        <f t="shared" ref="K59:K64" si="7">SUM(C59:J59)</f>
        <v>0</v>
      </c>
      <c r="L59" s="481"/>
      <c r="M59" s="610"/>
      <c r="N59" s="610"/>
    </row>
    <row r="60" spans="1:14" s="343" customFormat="1" x14ac:dyDescent="0.2">
      <c r="A60" s="1522" t="s">
        <v>483</v>
      </c>
      <c r="B60" s="615">
        <v>2520</v>
      </c>
      <c r="C60" s="466">
        <v>199047</v>
      </c>
      <c r="D60" s="466"/>
      <c r="E60" s="466">
        <v>183996</v>
      </c>
      <c r="F60" s="466">
        <v>8375</v>
      </c>
      <c r="G60" s="466"/>
      <c r="H60" s="466"/>
      <c r="I60" s="467"/>
      <c r="J60" s="467"/>
      <c r="K60" s="1690">
        <f t="shared" si="7"/>
        <v>391418</v>
      </c>
      <c r="L60" s="466">
        <v>419957</v>
      </c>
      <c r="M60" s="610"/>
      <c r="N60" s="610"/>
    </row>
    <row r="61" spans="1:14" s="343" customFormat="1" x14ac:dyDescent="0.2">
      <c r="A61" s="1522" t="s">
        <v>206</v>
      </c>
      <c r="B61" s="615">
        <v>2540</v>
      </c>
      <c r="C61" s="466"/>
      <c r="D61" s="466"/>
      <c r="E61" s="466"/>
      <c r="F61" s="466"/>
      <c r="G61" s="466"/>
      <c r="H61" s="466"/>
      <c r="I61" s="467"/>
      <c r="J61" s="467"/>
      <c r="K61" s="1690">
        <f t="shared" si="7"/>
        <v>0</v>
      </c>
      <c r="L61" s="466"/>
      <c r="M61" s="610"/>
      <c r="N61" s="610"/>
    </row>
    <row r="62" spans="1:14" s="343" customFormat="1" x14ac:dyDescent="0.2">
      <c r="A62" s="1522" t="s">
        <v>1010</v>
      </c>
      <c r="B62" s="615">
        <v>2550</v>
      </c>
      <c r="C62" s="466"/>
      <c r="D62" s="466"/>
      <c r="E62" s="466">
        <v>15000</v>
      </c>
      <c r="F62" s="466"/>
      <c r="G62" s="466"/>
      <c r="H62" s="466"/>
      <c r="I62" s="467"/>
      <c r="J62" s="467"/>
      <c r="K62" s="1690">
        <f t="shared" si="7"/>
        <v>15000</v>
      </c>
      <c r="L62" s="466">
        <v>15000</v>
      </c>
      <c r="M62" s="610"/>
      <c r="N62" s="610"/>
    </row>
    <row r="63" spans="1:14" s="610" customFormat="1" x14ac:dyDescent="0.2">
      <c r="A63" s="1522" t="s">
        <v>102</v>
      </c>
      <c r="B63" s="615">
        <v>2560</v>
      </c>
      <c r="C63" s="466">
        <v>113631</v>
      </c>
      <c r="D63" s="466"/>
      <c r="E63" s="466">
        <v>514030</v>
      </c>
      <c r="F63" s="466">
        <v>40172</v>
      </c>
      <c r="G63" s="466"/>
      <c r="H63" s="466">
        <v>5793</v>
      </c>
      <c r="I63" s="467"/>
      <c r="J63" s="467"/>
      <c r="K63" s="1690">
        <f t="shared" si="7"/>
        <v>673626</v>
      </c>
      <c r="L63" s="466">
        <v>795400</v>
      </c>
    </row>
    <row r="64" spans="1:14" s="610" customFormat="1" x14ac:dyDescent="0.2">
      <c r="A64" s="1527" t="s">
        <v>103</v>
      </c>
      <c r="B64" s="631">
        <v>2570</v>
      </c>
      <c r="C64" s="481"/>
      <c r="D64" s="481"/>
      <c r="E64" s="481"/>
      <c r="F64" s="481">
        <v>70</v>
      </c>
      <c r="G64" s="481"/>
      <c r="H64" s="481"/>
      <c r="I64" s="467"/>
      <c r="J64" s="467"/>
      <c r="K64" s="1690">
        <f t="shared" si="7"/>
        <v>70</v>
      </c>
      <c r="L64" s="481">
        <v>7272</v>
      </c>
    </row>
    <row r="65" spans="1:14" s="343" customFormat="1" ht="12.75" customHeight="1" thickBot="1" x14ac:dyDescent="0.25">
      <c r="A65" s="1686" t="s">
        <v>743</v>
      </c>
      <c r="B65" s="1687" t="s">
        <v>35</v>
      </c>
      <c r="C65" s="1688">
        <f>SUM(C59:C64)</f>
        <v>312678</v>
      </c>
      <c r="D65" s="1688">
        <f t="shared" ref="D65:L65" si="8">SUM(D59:D64)</f>
        <v>0</v>
      </c>
      <c r="E65" s="1688">
        <f t="shared" si="8"/>
        <v>713026</v>
      </c>
      <c r="F65" s="1688">
        <f t="shared" si="8"/>
        <v>48617</v>
      </c>
      <c r="G65" s="1688">
        <f t="shared" si="8"/>
        <v>0</v>
      </c>
      <c r="H65" s="1688">
        <f t="shared" si="8"/>
        <v>5793</v>
      </c>
      <c r="I65" s="1688">
        <f t="shared" si="8"/>
        <v>0</v>
      </c>
      <c r="J65" s="1688">
        <f t="shared" si="8"/>
        <v>0</v>
      </c>
      <c r="K65" s="1688">
        <f t="shared" si="8"/>
        <v>1080114</v>
      </c>
      <c r="L65" s="1688">
        <f t="shared" si="8"/>
        <v>1237629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2" t="s">
        <v>1120</v>
      </c>
      <c r="B67" s="615">
        <v>2610</v>
      </c>
      <c r="C67" s="466"/>
      <c r="D67" s="466"/>
      <c r="E67" s="466"/>
      <c r="F67" s="466"/>
      <c r="G67" s="466"/>
      <c r="H67" s="466"/>
      <c r="I67" s="467"/>
      <c r="J67" s="467"/>
      <c r="K67" s="1690">
        <f>SUM(C67:J67)</f>
        <v>0</v>
      </c>
      <c r="L67" s="481"/>
      <c r="M67" s="610"/>
      <c r="N67" s="610"/>
    </row>
    <row r="68" spans="1:14" s="343" customFormat="1" x14ac:dyDescent="0.2">
      <c r="A68" s="1522" t="s">
        <v>628</v>
      </c>
      <c r="B68" s="615">
        <v>2620</v>
      </c>
      <c r="C68" s="466"/>
      <c r="D68" s="466"/>
      <c r="E68" s="466"/>
      <c r="F68" s="466"/>
      <c r="G68" s="466"/>
      <c r="H68" s="466"/>
      <c r="I68" s="467"/>
      <c r="J68" s="467"/>
      <c r="K68" s="1690">
        <f>SUM(C68:J68)</f>
        <v>0</v>
      </c>
      <c r="L68" s="466"/>
      <c r="M68" s="610"/>
      <c r="N68" s="610"/>
    </row>
    <row r="69" spans="1:14" s="343" customFormat="1" x14ac:dyDescent="0.2">
      <c r="A69" s="1522" t="s">
        <v>1121</v>
      </c>
      <c r="B69" s="615">
        <v>2630</v>
      </c>
      <c r="C69" s="466"/>
      <c r="D69" s="466"/>
      <c r="E69" s="466"/>
      <c r="F69" s="466"/>
      <c r="G69" s="466"/>
      <c r="H69" s="466"/>
      <c r="I69" s="467"/>
      <c r="J69" s="467"/>
      <c r="K69" s="1690">
        <f>SUM(C69:J69)</f>
        <v>0</v>
      </c>
      <c r="L69" s="466">
        <v>1050</v>
      </c>
      <c r="M69" s="610"/>
      <c r="N69" s="610"/>
    </row>
    <row r="70" spans="1:14" s="343" customFormat="1" x14ac:dyDescent="0.2">
      <c r="A70" s="1522" t="s">
        <v>423</v>
      </c>
      <c r="B70" s="615">
        <v>2640</v>
      </c>
      <c r="C70" s="466">
        <v>214077</v>
      </c>
      <c r="D70" s="466"/>
      <c r="E70" s="466">
        <v>11605</v>
      </c>
      <c r="F70" s="466">
        <v>7724</v>
      </c>
      <c r="G70" s="466"/>
      <c r="H70" s="466"/>
      <c r="I70" s="467"/>
      <c r="J70" s="467"/>
      <c r="K70" s="1690">
        <f>SUM(C70:J70)</f>
        <v>233406</v>
      </c>
      <c r="L70" s="466">
        <v>252580</v>
      </c>
      <c r="M70" s="610"/>
      <c r="N70" s="610"/>
    </row>
    <row r="71" spans="1:14" s="343" customFormat="1" x14ac:dyDescent="0.2">
      <c r="A71" s="1522" t="s">
        <v>424</v>
      </c>
      <c r="B71" s="615">
        <v>2660</v>
      </c>
      <c r="C71" s="466">
        <v>62120</v>
      </c>
      <c r="D71" s="466"/>
      <c r="E71" s="466"/>
      <c r="F71" s="466"/>
      <c r="G71" s="466"/>
      <c r="H71" s="466"/>
      <c r="I71" s="467"/>
      <c r="J71" s="467"/>
      <c r="K71" s="1690">
        <f>SUM(C71:J71)</f>
        <v>62120</v>
      </c>
      <c r="L71" s="466">
        <v>64000</v>
      </c>
      <c r="M71" s="610"/>
      <c r="N71" s="610"/>
    </row>
    <row r="72" spans="1:14" s="343" customFormat="1" ht="12.75" customHeight="1" thickBot="1" x14ac:dyDescent="0.25">
      <c r="A72" s="1686" t="s">
        <v>37</v>
      </c>
      <c r="B72" s="1693" t="s">
        <v>36</v>
      </c>
      <c r="C72" s="1688">
        <f>SUM(C67:C71)</f>
        <v>276197</v>
      </c>
      <c r="D72" s="1688">
        <f t="shared" ref="D72:K72" si="9">SUM(D67:D71)</f>
        <v>0</v>
      </c>
      <c r="E72" s="1688">
        <f t="shared" si="9"/>
        <v>11605</v>
      </c>
      <c r="F72" s="1688">
        <f t="shared" si="9"/>
        <v>7724</v>
      </c>
      <c r="G72" s="1688">
        <f t="shared" si="9"/>
        <v>0</v>
      </c>
      <c r="H72" s="1688">
        <f t="shared" si="9"/>
        <v>0</v>
      </c>
      <c r="I72" s="1688">
        <f t="shared" si="9"/>
        <v>0</v>
      </c>
      <c r="J72" s="1688">
        <f t="shared" si="9"/>
        <v>0</v>
      </c>
      <c r="K72" s="1688">
        <f t="shared" si="9"/>
        <v>295526</v>
      </c>
      <c r="L72" s="1688">
        <f>SUM(L67:L71)</f>
        <v>317630</v>
      </c>
      <c r="M72" s="610"/>
      <c r="N72" s="610"/>
    </row>
    <row r="73" spans="1:14" s="343" customFormat="1" ht="14.25" thickTop="1" thickBot="1" x14ac:dyDescent="0.25">
      <c r="A73" s="1528" t="s">
        <v>1037</v>
      </c>
      <c r="B73" s="633" t="s">
        <v>595</v>
      </c>
      <c r="C73" s="573">
        <v>132950</v>
      </c>
      <c r="D73" s="573"/>
      <c r="E73" s="573"/>
      <c r="F73" s="573"/>
      <c r="G73" s="573"/>
      <c r="H73" s="573"/>
      <c r="I73" s="531"/>
      <c r="J73" s="531"/>
      <c r="K73" s="1688">
        <f>SUM(C73:J73)</f>
        <v>132950</v>
      </c>
      <c r="L73" s="576">
        <v>123700</v>
      </c>
      <c r="M73" s="610"/>
      <c r="N73" s="610"/>
    </row>
    <row r="74" spans="1:14" ht="12.75" customHeight="1" thickTop="1" thickBot="1" x14ac:dyDescent="0.25">
      <c r="A74" s="1686" t="s">
        <v>865</v>
      </c>
      <c r="B74" s="1694">
        <v>2000</v>
      </c>
      <c r="C74" s="1695">
        <f>SUM(C42,C47,C53,C57,C65,C72,C73)</f>
        <v>1992055</v>
      </c>
      <c r="D74" s="1695">
        <f t="shared" ref="D74:K74" si="10">SUM(D42,D47,D53,D57,D65,D72,D73)</f>
        <v>76851</v>
      </c>
      <c r="E74" s="1695">
        <f t="shared" si="10"/>
        <v>1387303</v>
      </c>
      <c r="F74" s="1695">
        <f t="shared" si="10"/>
        <v>225372</v>
      </c>
      <c r="G74" s="1695">
        <f t="shared" si="10"/>
        <v>45974</v>
      </c>
      <c r="H74" s="1695">
        <f t="shared" si="10"/>
        <v>21801</v>
      </c>
      <c r="I74" s="1695">
        <f t="shared" si="10"/>
        <v>292122</v>
      </c>
      <c r="J74" s="1695">
        <f t="shared" si="10"/>
        <v>0</v>
      </c>
      <c r="K74" s="1695">
        <f t="shared" si="10"/>
        <v>4041478</v>
      </c>
      <c r="L74" s="1695">
        <f>SUM(L42,L47,L53,L57,L65,L72,L73)</f>
        <v>4493441</v>
      </c>
    </row>
    <row r="75" spans="1:14" s="259" customFormat="1" ht="15.75" customHeight="1" thickTop="1" thickBot="1" x14ac:dyDescent="0.25">
      <c r="A75" s="1628" t="s">
        <v>49</v>
      </c>
      <c r="B75" s="1629" t="s">
        <v>596</v>
      </c>
      <c r="C75" s="573">
        <v>5584</v>
      </c>
      <c r="D75" s="573">
        <v>1</v>
      </c>
      <c r="E75" s="573">
        <v>6667</v>
      </c>
      <c r="F75" s="573">
        <v>8701</v>
      </c>
      <c r="G75" s="573"/>
      <c r="H75" s="573"/>
      <c r="I75" s="531"/>
      <c r="J75" s="531"/>
      <c r="K75" s="1688">
        <f>SUM(C75:J75)</f>
        <v>20953</v>
      </c>
      <c r="L75" s="576">
        <v>36000</v>
      </c>
      <c r="M75" s="614"/>
      <c r="N75" s="614"/>
    </row>
    <row r="76" spans="1:14" s="634" customFormat="1" ht="15.75" customHeight="1" thickTop="1" x14ac:dyDescent="0.2">
      <c r="A76" s="1630" t="s">
        <v>383</v>
      </c>
      <c r="B76" s="1627"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2" t="s">
        <v>517</v>
      </c>
      <c r="B78" s="615">
        <v>4110</v>
      </c>
      <c r="C78" s="617"/>
      <c r="D78" s="617"/>
      <c r="E78" s="481"/>
      <c r="F78" s="617"/>
      <c r="G78" s="617"/>
      <c r="H78" s="635"/>
      <c r="I78" s="477"/>
      <c r="J78" s="477"/>
      <c r="K78" s="1689">
        <f t="shared" ref="K78:K83" si="11">SUM(C78:J78)</f>
        <v>0</v>
      </c>
      <c r="L78" s="481"/>
    </row>
    <row r="79" spans="1:14" x14ac:dyDescent="0.2">
      <c r="A79" s="1522" t="s">
        <v>322</v>
      </c>
      <c r="B79" s="615">
        <v>4120</v>
      </c>
      <c r="C79" s="617"/>
      <c r="D79" s="617"/>
      <c r="E79" s="466"/>
      <c r="F79" s="617"/>
      <c r="G79" s="617"/>
      <c r="H79" s="466">
        <v>1481951</v>
      </c>
      <c r="I79" s="477"/>
      <c r="J79" s="477"/>
      <c r="K79" s="1689">
        <f t="shared" si="11"/>
        <v>1481951</v>
      </c>
      <c r="L79" s="466">
        <v>1590000</v>
      </c>
    </row>
    <row r="80" spans="1:14" x14ac:dyDescent="0.2">
      <c r="A80" s="1522" t="s">
        <v>323</v>
      </c>
      <c r="B80" s="615">
        <v>4130</v>
      </c>
      <c r="C80" s="617"/>
      <c r="D80" s="617"/>
      <c r="E80" s="466"/>
      <c r="F80" s="617"/>
      <c r="G80" s="617"/>
      <c r="H80" s="466"/>
      <c r="I80" s="477"/>
      <c r="J80" s="477"/>
      <c r="K80" s="1689">
        <f t="shared" si="11"/>
        <v>0</v>
      </c>
      <c r="L80" s="466"/>
    </row>
    <row r="81" spans="1:12" x14ac:dyDescent="0.2">
      <c r="A81" s="1522" t="s">
        <v>721</v>
      </c>
      <c r="B81" s="615">
        <v>4140</v>
      </c>
      <c r="C81" s="617"/>
      <c r="D81" s="617"/>
      <c r="E81" s="466"/>
      <c r="F81" s="617"/>
      <c r="G81" s="617"/>
      <c r="H81" s="466"/>
      <c r="I81" s="477"/>
      <c r="J81" s="477"/>
      <c r="K81" s="1689">
        <f t="shared" si="11"/>
        <v>0</v>
      </c>
      <c r="L81" s="466"/>
    </row>
    <row r="82" spans="1:12" x14ac:dyDescent="0.2">
      <c r="A82" s="1522" t="s">
        <v>88</v>
      </c>
      <c r="B82" s="615">
        <v>4170</v>
      </c>
      <c r="C82" s="617"/>
      <c r="D82" s="617"/>
      <c r="E82" s="466"/>
      <c r="F82" s="617"/>
      <c r="G82" s="617"/>
      <c r="H82" s="466"/>
      <c r="I82" s="477"/>
      <c r="J82" s="477"/>
      <c r="K82" s="1689">
        <f t="shared" si="11"/>
        <v>0</v>
      </c>
      <c r="L82" s="466"/>
    </row>
    <row r="83" spans="1:12" x14ac:dyDescent="0.2">
      <c r="A83" s="1526" t="s">
        <v>722</v>
      </c>
      <c r="B83" s="629">
        <v>4190</v>
      </c>
      <c r="C83" s="617"/>
      <c r="D83" s="617"/>
      <c r="E83" s="466"/>
      <c r="F83" s="617"/>
      <c r="G83" s="617"/>
      <c r="H83" s="466"/>
      <c r="I83" s="477"/>
      <c r="J83" s="477"/>
      <c r="K83" s="1689">
        <f t="shared" si="11"/>
        <v>0</v>
      </c>
      <c r="L83" s="466"/>
    </row>
    <row r="84" spans="1:12" ht="13.5" thickBot="1" x14ac:dyDescent="0.25">
      <c r="A84" s="1686" t="s">
        <v>1565</v>
      </c>
      <c r="B84" s="1696">
        <v>4100</v>
      </c>
      <c r="C84" s="617"/>
      <c r="D84" s="617"/>
      <c r="E84" s="1688">
        <f>SUM(E78:E83)</f>
        <v>0</v>
      </c>
      <c r="F84" s="617"/>
      <c r="G84" s="617"/>
      <c r="H84" s="1688">
        <f>SUM(H78:H83)</f>
        <v>1481951</v>
      </c>
      <c r="I84" s="477"/>
      <c r="J84" s="477"/>
      <c r="K84" s="1688">
        <f>SUM(K78:K83)</f>
        <v>1481951</v>
      </c>
      <c r="L84" s="1688">
        <f>SUM(L78:L83)</f>
        <v>1590000</v>
      </c>
    </row>
    <row r="85" spans="1:12" ht="12.75" customHeight="1" thickTop="1" thickBot="1" x14ac:dyDescent="0.25">
      <c r="A85" s="1529" t="s">
        <v>273</v>
      </c>
      <c r="B85" s="636">
        <v>4210</v>
      </c>
      <c r="C85" s="617"/>
      <c r="D85" s="617"/>
      <c r="E85" s="637"/>
      <c r="F85" s="617"/>
      <c r="G85" s="617"/>
      <c r="H85" s="535"/>
      <c r="I85" s="477"/>
      <c r="J85" s="477"/>
      <c r="K85" s="1695">
        <f>H85</f>
        <v>0</v>
      </c>
      <c r="L85" s="530"/>
    </row>
    <row r="86" spans="1:12" ht="12.75" customHeight="1" thickTop="1" thickBot="1" x14ac:dyDescent="0.25">
      <c r="A86" s="1530" t="s">
        <v>723</v>
      </c>
      <c r="B86" s="638">
        <v>4220</v>
      </c>
      <c r="C86" s="617"/>
      <c r="D86" s="617"/>
      <c r="E86" s="639"/>
      <c r="F86" s="617"/>
      <c r="G86" s="617"/>
      <c r="H86" s="467"/>
      <c r="I86" s="477"/>
      <c r="J86" s="477"/>
      <c r="K86" s="1695">
        <f t="shared" ref="K86:K98" si="12">H86</f>
        <v>0</v>
      </c>
      <c r="L86" s="530"/>
    </row>
    <row r="87" spans="1:12" ht="14.25" thickTop="1" thickBot="1" x14ac:dyDescent="0.25">
      <c r="A87" s="1531" t="s">
        <v>724</v>
      </c>
      <c r="B87" s="640">
        <v>4230</v>
      </c>
      <c r="C87" s="617"/>
      <c r="D87" s="617"/>
      <c r="E87" s="639"/>
      <c r="F87" s="617"/>
      <c r="G87" s="617"/>
      <c r="H87" s="467"/>
      <c r="I87" s="477"/>
      <c r="J87" s="477"/>
      <c r="K87" s="1695">
        <f t="shared" si="12"/>
        <v>0</v>
      </c>
      <c r="L87" s="530"/>
    </row>
    <row r="88" spans="1:12" ht="12.75" customHeight="1" thickTop="1" thickBot="1" x14ac:dyDescent="0.25">
      <c r="A88" s="1531" t="s">
        <v>789</v>
      </c>
      <c r="B88" s="640">
        <v>4240</v>
      </c>
      <c r="C88" s="617"/>
      <c r="D88" s="617"/>
      <c r="E88" s="639"/>
      <c r="F88" s="617"/>
      <c r="G88" s="617"/>
      <c r="H88" s="467"/>
      <c r="I88" s="477"/>
      <c r="J88" s="477"/>
      <c r="K88" s="1695">
        <f t="shared" si="12"/>
        <v>0</v>
      </c>
      <c r="L88" s="530"/>
    </row>
    <row r="89" spans="1:12" ht="12.75" customHeight="1" thickTop="1" thickBot="1" x14ac:dyDescent="0.25">
      <c r="A89" s="1531" t="s">
        <v>725</v>
      </c>
      <c r="B89" s="640">
        <v>4270</v>
      </c>
      <c r="C89" s="617"/>
      <c r="D89" s="617"/>
      <c r="E89" s="639"/>
      <c r="F89" s="617"/>
      <c r="G89" s="617"/>
      <c r="H89" s="467"/>
      <c r="I89" s="477"/>
      <c r="J89" s="477"/>
      <c r="K89" s="1695">
        <f t="shared" si="12"/>
        <v>0</v>
      </c>
      <c r="L89" s="530"/>
    </row>
    <row r="90" spans="1:12" ht="12.75" customHeight="1" thickTop="1" thickBot="1" x14ac:dyDescent="0.25">
      <c r="A90" s="1531" t="s">
        <v>710</v>
      </c>
      <c r="B90" s="640">
        <v>4280</v>
      </c>
      <c r="C90" s="617"/>
      <c r="D90" s="617"/>
      <c r="E90" s="639"/>
      <c r="F90" s="617"/>
      <c r="G90" s="617"/>
      <c r="H90" s="467"/>
      <c r="I90" s="477"/>
      <c r="J90" s="477"/>
      <c r="K90" s="1695">
        <f t="shared" si="12"/>
        <v>0</v>
      </c>
      <c r="L90" s="530"/>
    </row>
    <row r="91" spans="1:12" ht="12.75" customHeight="1" thickTop="1" thickBot="1" x14ac:dyDescent="0.25">
      <c r="A91" s="1531" t="s">
        <v>711</v>
      </c>
      <c r="B91" s="640">
        <v>4290</v>
      </c>
      <c r="C91" s="617"/>
      <c r="D91" s="617"/>
      <c r="E91" s="639"/>
      <c r="F91" s="617"/>
      <c r="G91" s="617"/>
      <c r="H91" s="467"/>
      <c r="I91" s="477"/>
      <c r="J91" s="477"/>
      <c r="K91" s="1695">
        <f t="shared" si="12"/>
        <v>0</v>
      </c>
      <c r="L91" s="530"/>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0" t="s">
        <v>712</v>
      </c>
      <c r="B93" s="641">
        <v>4310</v>
      </c>
      <c r="C93" s="617"/>
      <c r="D93" s="617"/>
      <c r="E93" s="639"/>
      <c r="F93" s="617"/>
      <c r="G93" s="617"/>
      <c r="H93" s="642"/>
      <c r="I93" s="477"/>
      <c r="J93" s="477"/>
      <c r="K93" s="1695">
        <f t="shared" si="12"/>
        <v>0</v>
      </c>
      <c r="L93" s="532"/>
    </row>
    <row r="94" spans="1:12" ht="12.75" customHeight="1" thickTop="1" thickBot="1" x14ac:dyDescent="0.25">
      <c r="A94" s="1531" t="s">
        <v>713</v>
      </c>
      <c r="B94" s="640">
        <v>4320</v>
      </c>
      <c r="C94" s="617"/>
      <c r="D94" s="617"/>
      <c r="E94" s="639"/>
      <c r="F94" s="617"/>
      <c r="G94" s="617"/>
      <c r="H94" s="467"/>
      <c r="I94" s="477"/>
      <c r="J94" s="477"/>
      <c r="K94" s="1695">
        <f t="shared" si="12"/>
        <v>0</v>
      </c>
      <c r="L94" s="530"/>
    </row>
    <row r="95" spans="1:12" ht="15" customHeight="1" thickTop="1" thickBot="1" x14ac:dyDescent="0.25">
      <c r="A95" s="1531" t="s">
        <v>1568</v>
      </c>
      <c r="B95" s="640">
        <v>4330</v>
      </c>
      <c r="C95" s="617"/>
      <c r="D95" s="617"/>
      <c r="E95" s="639"/>
      <c r="F95" s="617"/>
      <c r="G95" s="617"/>
      <c r="H95" s="467"/>
      <c r="I95" s="477"/>
      <c r="J95" s="477"/>
      <c r="K95" s="1695">
        <f t="shared" si="12"/>
        <v>0</v>
      </c>
      <c r="L95" s="530"/>
    </row>
    <row r="96" spans="1:12" ht="14.25" thickTop="1" thickBot="1" x14ac:dyDescent="0.25">
      <c r="A96" s="1531" t="s">
        <v>714</v>
      </c>
      <c r="B96" s="640">
        <v>4340</v>
      </c>
      <c r="C96" s="617"/>
      <c r="D96" s="617"/>
      <c r="E96" s="639"/>
      <c r="F96" s="617"/>
      <c r="G96" s="617"/>
      <c r="H96" s="467"/>
      <c r="I96" s="477"/>
      <c r="J96" s="477"/>
      <c r="K96" s="1695">
        <f t="shared" si="12"/>
        <v>0</v>
      </c>
      <c r="L96" s="530"/>
    </row>
    <row r="97" spans="1:14" ht="12.75" customHeight="1" thickTop="1" thickBot="1" x14ac:dyDescent="0.25">
      <c r="A97" s="1531" t="s">
        <v>787</v>
      </c>
      <c r="B97" s="640">
        <v>4370</v>
      </c>
      <c r="C97" s="617"/>
      <c r="D97" s="617"/>
      <c r="E97" s="639"/>
      <c r="F97" s="617"/>
      <c r="G97" s="617"/>
      <c r="H97" s="467"/>
      <c r="I97" s="477"/>
      <c r="J97" s="477"/>
      <c r="K97" s="1695">
        <f t="shared" si="12"/>
        <v>0</v>
      </c>
      <c r="L97" s="530"/>
    </row>
    <row r="98" spans="1:14" ht="14.25" thickTop="1" thickBot="1" x14ac:dyDescent="0.25">
      <c r="A98" s="1531" t="s">
        <v>788</v>
      </c>
      <c r="B98" s="640">
        <v>4380</v>
      </c>
      <c r="C98" s="617"/>
      <c r="D98" s="617"/>
      <c r="E98" s="643"/>
      <c r="F98" s="617"/>
      <c r="G98" s="617"/>
      <c r="H98" s="467"/>
      <c r="I98" s="477"/>
      <c r="J98" s="477"/>
      <c r="K98" s="1695">
        <f t="shared" si="12"/>
        <v>0</v>
      </c>
      <c r="L98" s="530"/>
    </row>
    <row r="99" spans="1:14" ht="14.25" thickTop="1" thickBot="1" x14ac:dyDescent="0.25">
      <c r="A99" s="1531" t="s">
        <v>385</v>
      </c>
      <c r="B99" s="640">
        <v>4390</v>
      </c>
      <c r="C99" s="617"/>
      <c r="D99" s="617"/>
      <c r="E99" s="532"/>
      <c r="F99" s="617"/>
      <c r="G99" s="617"/>
      <c r="H99" s="467"/>
      <c r="I99" s="477"/>
      <c r="J99" s="477"/>
      <c r="K99" s="1695">
        <f>SUM(E99,H99)</f>
        <v>0</v>
      </c>
      <c r="L99" s="530"/>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28" t="s">
        <v>1569</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1567</v>
      </c>
      <c r="B102" s="1696">
        <v>4000</v>
      </c>
      <c r="C102" s="617"/>
      <c r="D102" s="617"/>
      <c r="E102" s="1695">
        <f>SUM(E84,E92,E100,E101)</f>
        <v>0</v>
      </c>
      <c r="F102" s="617"/>
      <c r="G102" s="617"/>
      <c r="H102" s="1695">
        <f>SUM(H84,H92,H100,H101)</f>
        <v>1481951</v>
      </c>
      <c r="I102" s="477"/>
      <c r="J102" s="477"/>
      <c r="K102" s="1695">
        <f>SUM(K84,K92,K100,K101)</f>
        <v>1481951</v>
      </c>
      <c r="L102" s="1695">
        <f>SUM(L84,L92,L100,L101)</f>
        <v>1590000</v>
      </c>
    </row>
    <row r="103" spans="1:14" s="634" customFormat="1" ht="15.75" customHeight="1" thickTop="1" x14ac:dyDescent="0.2">
      <c r="A103" s="1630" t="s">
        <v>534</v>
      </c>
      <c r="B103" s="1627"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2" t="s">
        <v>89</v>
      </c>
      <c r="B105" s="615">
        <v>5110</v>
      </c>
      <c r="C105" s="617"/>
      <c r="D105" s="617"/>
      <c r="E105" s="617"/>
      <c r="F105" s="617"/>
      <c r="G105" s="617"/>
      <c r="H105" s="481"/>
      <c r="I105" s="468"/>
      <c r="J105" s="468"/>
      <c r="K105" s="1689">
        <f>H105</f>
        <v>0</v>
      </c>
      <c r="L105" s="481"/>
      <c r="M105" s="210"/>
      <c r="N105" s="210"/>
    </row>
    <row r="106" spans="1:14" s="598" customFormat="1" x14ac:dyDescent="0.2">
      <c r="A106" s="1522"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2" t="s">
        <v>1232</v>
      </c>
      <c r="B107" s="615">
        <v>5130</v>
      </c>
      <c r="C107" s="617"/>
      <c r="D107" s="617"/>
      <c r="E107" s="617"/>
      <c r="F107" s="617"/>
      <c r="G107" s="617"/>
      <c r="H107" s="466"/>
      <c r="I107" s="468"/>
      <c r="J107" s="468"/>
      <c r="K107" s="1689">
        <f>H107</f>
        <v>0</v>
      </c>
      <c r="L107" s="466"/>
      <c r="M107" s="210"/>
      <c r="N107" s="210"/>
    </row>
    <row r="108" spans="1:14" s="598" customFormat="1" x14ac:dyDescent="0.2">
      <c r="A108" s="1522" t="s">
        <v>91</v>
      </c>
      <c r="B108" s="615" t="s">
        <v>610</v>
      </c>
      <c r="C108" s="617"/>
      <c r="D108" s="617"/>
      <c r="E108" s="617"/>
      <c r="F108" s="617"/>
      <c r="G108" s="617"/>
      <c r="H108" s="466"/>
      <c r="I108" s="468"/>
      <c r="J108" s="468"/>
      <c r="K108" s="1689">
        <f>H108</f>
        <v>0</v>
      </c>
      <c r="L108" s="466"/>
      <c r="M108" s="210"/>
      <c r="N108" s="210"/>
    </row>
    <row r="109" spans="1:14" s="598" customFormat="1" x14ac:dyDescent="0.2">
      <c r="A109" s="1522"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2"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4" t="s">
        <v>535</v>
      </c>
      <c r="B113" s="1631" t="s">
        <v>916</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6243053</v>
      </c>
      <c r="D114" s="1688">
        <f t="shared" ref="D114:K114" si="13">SUM(D33,D74,D75,D102,D112,D113)</f>
        <v>894979</v>
      </c>
      <c r="E114" s="1688">
        <f t="shared" si="13"/>
        <v>1474131</v>
      </c>
      <c r="F114" s="1688">
        <f t="shared" si="13"/>
        <v>411860</v>
      </c>
      <c r="G114" s="1688">
        <f t="shared" si="13"/>
        <v>68155</v>
      </c>
      <c r="H114" s="1688">
        <f>SUM(H33,H74,H75,H102,H112,H113)</f>
        <v>1504137</v>
      </c>
      <c r="I114" s="1688">
        <f t="shared" si="13"/>
        <v>298335</v>
      </c>
      <c r="J114" s="1688">
        <f t="shared" si="13"/>
        <v>0</v>
      </c>
      <c r="K114" s="1688">
        <f t="shared" si="13"/>
        <v>10894650</v>
      </c>
      <c r="L114" s="1688">
        <f>SUM(L33,L74,L75,L102,L112,L113)</f>
        <v>12289871</v>
      </c>
    </row>
    <row r="115" spans="1:14" ht="13.5" thickTop="1" x14ac:dyDescent="0.2">
      <c r="A115" s="2172" t="s">
        <v>1053</v>
      </c>
      <c r="B115" s="2173"/>
      <c r="C115" s="619"/>
      <c r="D115" s="619"/>
      <c r="E115" s="619"/>
      <c r="F115" s="619"/>
      <c r="G115" s="619"/>
      <c r="H115" s="619"/>
      <c r="I115" s="619"/>
      <c r="J115" s="619"/>
      <c r="K115" s="1702">
        <f>'Revenues 9-14'!C275-'Expenditures 15-22'!K114</f>
        <v>1008443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6"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2" t="s">
        <v>1128</v>
      </c>
      <c r="B122" s="615">
        <v>2510</v>
      </c>
      <c r="C122" s="466"/>
      <c r="D122" s="466"/>
      <c r="E122" s="466"/>
      <c r="F122" s="466"/>
      <c r="G122" s="466"/>
      <c r="H122" s="466"/>
      <c r="I122" s="467"/>
      <c r="J122" s="467"/>
      <c r="K122" s="1688">
        <f>SUM(C122:J122)</f>
        <v>0</v>
      </c>
      <c r="L122" s="466"/>
    </row>
    <row r="123" spans="1:14" ht="14.25" thickTop="1" thickBot="1" x14ac:dyDescent="0.25">
      <c r="A123" s="1522" t="s">
        <v>4</v>
      </c>
      <c r="B123" s="615">
        <v>2530</v>
      </c>
      <c r="C123" s="466"/>
      <c r="D123" s="466"/>
      <c r="E123" s="466"/>
      <c r="F123" s="466"/>
      <c r="G123" s="466"/>
      <c r="H123" s="466"/>
      <c r="I123" s="467"/>
      <c r="J123" s="467"/>
      <c r="K123" s="1688">
        <f>SUM(C123:J123)</f>
        <v>0</v>
      </c>
      <c r="L123" s="466"/>
    </row>
    <row r="124" spans="1:14" ht="14.25" thickTop="1" thickBot="1" x14ac:dyDescent="0.25">
      <c r="A124" s="1522" t="s">
        <v>206</v>
      </c>
      <c r="B124" s="615">
        <v>2540</v>
      </c>
      <c r="C124" s="466">
        <v>51351</v>
      </c>
      <c r="D124" s="466">
        <v>7547</v>
      </c>
      <c r="E124" s="466">
        <v>587172</v>
      </c>
      <c r="F124" s="466">
        <v>282278</v>
      </c>
      <c r="G124" s="466">
        <v>18068</v>
      </c>
      <c r="H124" s="466"/>
      <c r="I124" s="467">
        <v>775</v>
      </c>
      <c r="J124" s="467"/>
      <c r="K124" s="1688">
        <f>SUM(C124:J124)</f>
        <v>947191</v>
      </c>
      <c r="L124" s="466">
        <v>1330000</v>
      </c>
    </row>
    <row r="125" spans="1:14" ht="14.25" thickTop="1" thickBot="1" x14ac:dyDescent="0.25">
      <c r="A125" s="1522" t="s">
        <v>1010</v>
      </c>
      <c r="B125" s="615">
        <v>2550</v>
      </c>
      <c r="C125" s="466"/>
      <c r="D125" s="466"/>
      <c r="E125" s="466"/>
      <c r="F125" s="466"/>
      <c r="G125" s="466"/>
      <c r="H125" s="466"/>
      <c r="I125" s="467"/>
      <c r="J125" s="467"/>
      <c r="K125" s="1688">
        <f>SUM(C125:J125)</f>
        <v>0</v>
      </c>
      <c r="L125" s="466"/>
    </row>
    <row r="126" spans="1:14" ht="14.25" thickTop="1" thickBot="1" x14ac:dyDescent="0.25">
      <c r="A126" s="1522"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51351</v>
      </c>
      <c r="D127" s="1688">
        <f t="shared" ref="D127:L127" si="14">SUM(D122:D126)</f>
        <v>7547</v>
      </c>
      <c r="E127" s="1688">
        <f t="shared" si="14"/>
        <v>587172</v>
      </c>
      <c r="F127" s="1688">
        <f t="shared" si="14"/>
        <v>282278</v>
      </c>
      <c r="G127" s="1688">
        <f t="shared" si="14"/>
        <v>18068</v>
      </c>
      <c r="H127" s="1688">
        <f t="shared" si="14"/>
        <v>0</v>
      </c>
      <c r="I127" s="1688">
        <f t="shared" si="14"/>
        <v>775</v>
      </c>
      <c r="J127" s="1688">
        <f t="shared" si="14"/>
        <v>0</v>
      </c>
      <c r="K127" s="1688">
        <f t="shared" si="14"/>
        <v>947191</v>
      </c>
      <c r="L127" s="1688">
        <f t="shared" si="14"/>
        <v>1330000</v>
      </c>
    </row>
    <row r="128" spans="1:14" ht="12.75" customHeight="1" thickTop="1" x14ac:dyDescent="0.2">
      <c r="A128" s="1529"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51351</v>
      </c>
      <c r="D129" s="1695">
        <f t="shared" ref="D129:L129" si="15">SUM(D120,D127,D128)</f>
        <v>7547</v>
      </c>
      <c r="E129" s="1695">
        <f t="shared" si="15"/>
        <v>587172</v>
      </c>
      <c r="F129" s="1695">
        <f t="shared" si="15"/>
        <v>282278</v>
      </c>
      <c r="G129" s="1695">
        <f t="shared" si="15"/>
        <v>18068</v>
      </c>
      <c r="H129" s="1695">
        <f t="shared" si="15"/>
        <v>0</v>
      </c>
      <c r="I129" s="1695">
        <f t="shared" si="15"/>
        <v>775</v>
      </c>
      <c r="J129" s="1695">
        <f t="shared" si="15"/>
        <v>0</v>
      </c>
      <c r="K129" s="1695">
        <f t="shared" si="15"/>
        <v>947191</v>
      </c>
      <c r="L129" s="1695">
        <f t="shared" si="15"/>
        <v>1330000</v>
      </c>
    </row>
    <row r="130" spans="1:14" ht="15.75" customHeight="1" thickTop="1" thickBot="1" x14ac:dyDescent="0.25">
      <c r="A130" s="1628" t="s">
        <v>1096</v>
      </c>
      <c r="B130" s="1629" t="s">
        <v>596</v>
      </c>
      <c r="C130" s="576"/>
      <c r="D130" s="576"/>
      <c r="E130" s="576"/>
      <c r="F130" s="576"/>
      <c r="G130" s="576"/>
      <c r="H130" s="576"/>
      <c r="I130" s="531"/>
      <c r="J130" s="531"/>
      <c r="K130" s="1688">
        <f>SUM(C130:J130)</f>
        <v>0</v>
      </c>
      <c r="L130" s="576"/>
    </row>
    <row r="131" spans="1:14" ht="15.75" customHeight="1" thickTop="1" x14ac:dyDescent="0.2">
      <c r="A131" s="1634" t="s">
        <v>637</v>
      </c>
      <c r="B131" s="1627"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8" t="s">
        <v>517</v>
      </c>
      <c r="B133" s="1860" t="s">
        <v>1957</v>
      </c>
      <c r="C133" s="468"/>
      <c r="D133" s="468"/>
      <c r="E133" s="642"/>
      <c r="F133" s="468"/>
      <c r="G133" s="468"/>
      <c r="H133" s="642"/>
      <c r="I133" s="468"/>
      <c r="J133" s="468"/>
      <c r="K133" s="1840">
        <f>SUM(E133,H133)</f>
        <v>0</v>
      </c>
      <c r="L133" s="642"/>
      <c r="M133" s="206"/>
      <c r="N133" s="206"/>
    </row>
    <row r="134" spans="1:14" x14ac:dyDescent="0.2">
      <c r="A134" s="1522" t="s">
        <v>322</v>
      </c>
      <c r="B134" s="615">
        <v>4120</v>
      </c>
      <c r="C134" s="617"/>
      <c r="D134" s="617"/>
      <c r="E134" s="478"/>
      <c r="F134" s="617"/>
      <c r="G134" s="617"/>
      <c r="H134" s="481"/>
      <c r="I134" s="477"/>
      <c r="J134" s="617"/>
      <c r="K134" s="1690">
        <f>SUM(E134,H134)</f>
        <v>0</v>
      </c>
      <c r="L134" s="481"/>
    </row>
    <row r="135" spans="1:14" x14ac:dyDescent="0.2">
      <c r="A135" s="1522" t="s">
        <v>721</v>
      </c>
      <c r="B135" s="615">
        <v>4140</v>
      </c>
      <c r="C135" s="617"/>
      <c r="D135" s="617"/>
      <c r="E135" s="467"/>
      <c r="F135" s="617"/>
      <c r="G135" s="617"/>
      <c r="H135" s="466"/>
      <c r="I135" s="477"/>
      <c r="J135" s="617"/>
      <c r="K135" s="1690">
        <f>SUM(E135,H135)</f>
        <v>0</v>
      </c>
      <c r="L135" s="466"/>
    </row>
    <row r="136" spans="1:14" x14ac:dyDescent="0.2">
      <c r="A136" s="1526" t="s">
        <v>722</v>
      </c>
      <c r="B136" s="629">
        <v>4190</v>
      </c>
      <c r="C136" s="617"/>
      <c r="D136" s="617"/>
      <c r="E136" s="467"/>
      <c r="F136" s="617"/>
      <c r="G136" s="617"/>
      <c r="H136" s="466"/>
      <c r="I136" s="477"/>
      <c r="J136" s="617"/>
      <c r="K136" s="1690">
        <f>SUM(E136,H136)</f>
        <v>0</v>
      </c>
      <c r="L136" s="466"/>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28"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0" t="s">
        <v>1097</v>
      </c>
      <c r="B140" s="1631"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2" t="s">
        <v>89</v>
      </c>
      <c r="B142" s="615">
        <v>5110</v>
      </c>
      <c r="C142" s="617"/>
      <c r="D142" s="617"/>
      <c r="E142" s="617"/>
      <c r="F142" s="617"/>
      <c r="G142" s="617"/>
      <c r="H142" s="481"/>
      <c r="I142" s="468"/>
      <c r="J142" s="617"/>
      <c r="K142" s="1690">
        <f>SUM(H142)</f>
        <v>0</v>
      </c>
      <c r="L142" s="481"/>
    </row>
    <row r="143" spans="1:14" x14ac:dyDescent="0.2">
      <c r="A143" s="1522" t="s">
        <v>90</v>
      </c>
      <c r="B143" s="615">
        <v>5120</v>
      </c>
      <c r="C143" s="617"/>
      <c r="D143" s="617"/>
      <c r="E143" s="617"/>
      <c r="F143" s="617"/>
      <c r="G143" s="617"/>
      <c r="H143" s="466"/>
      <c r="I143" s="468"/>
      <c r="J143" s="617"/>
      <c r="K143" s="1690">
        <f>SUM(H143)</f>
        <v>0</v>
      </c>
      <c r="L143" s="466"/>
    </row>
    <row r="144" spans="1:14" ht="12.75" customHeight="1" x14ac:dyDescent="0.2">
      <c r="A144" s="1522" t="s">
        <v>1232</v>
      </c>
      <c r="B144" s="629" t="s">
        <v>638</v>
      </c>
      <c r="C144" s="617"/>
      <c r="D144" s="617"/>
      <c r="E144" s="617"/>
      <c r="F144" s="617"/>
      <c r="G144" s="617"/>
      <c r="H144" s="466"/>
      <c r="I144" s="468"/>
      <c r="J144" s="617"/>
      <c r="K144" s="1690">
        <f>SUM(H144)</f>
        <v>0</v>
      </c>
      <c r="L144" s="466"/>
    </row>
    <row r="145" spans="1:14" x14ac:dyDescent="0.2">
      <c r="A145" s="1522" t="s">
        <v>91</v>
      </c>
      <c r="B145" s="615" t="s">
        <v>610</v>
      </c>
      <c r="C145" s="617"/>
      <c r="D145" s="617"/>
      <c r="E145" s="617"/>
      <c r="F145" s="617"/>
      <c r="G145" s="617"/>
      <c r="H145" s="466"/>
      <c r="I145" s="468"/>
      <c r="J145" s="617"/>
      <c r="K145" s="1690">
        <f>SUM(H145)</f>
        <v>0</v>
      </c>
      <c r="L145" s="466"/>
    </row>
    <row r="146" spans="1:14" ht="12.75" customHeight="1" x14ac:dyDescent="0.2">
      <c r="A146" s="1522" t="s">
        <v>640</v>
      </c>
      <c r="B146" s="615" t="s">
        <v>639</v>
      </c>
      <c r="C146" s="617"/>
      <c r="D146" s="617"/>
      <c r="E146" s="617"/>
      <c r="F146" s="617"/>
      <c r="G146" s="617"/>
      <c r="H146" s="466"/>
      <c r="I146" s="468"/>
      <c r="J146" s="617"/>
      <c r="K146" s="1690">
        <f>SUM(H146)</f>
        <v>0</v>
      </c>
      <c r="L146" s="466"/>
    </row>
    <row r="147" spans="1:14" ht="12.75" customHeight="1" thickBot="1" x14ac:dyDescent="0.25">
      <c r="A147" s="1533"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5"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4" t="s">
        <v>1098</v>
      </c>
      <c r="B150" s="1631" t="s">
        <v>916</v>
      </c>
      <c r="C150" s="617"/>
      <c r="D150" s="617"/>
      <c r="E150" s="617"/>
      <c r="F150" s="617"/>
      <c r="G150" s="617"/>
      <c r="H150" s="663"/>
      <c r="I150" s="521"/>
      <c r="J150" s="617"/>
      <c r="K150" s="624"/>
      <c r="L150" s="573"/>
    </row>
    <row r="151" spans="1:14" ht="12.75" customHeight="1" thickTop="1" thickBot="1" x14ac:dyDescent="0.25">
      <c r="A151" s="2189" t="s">
        <v>641</v>
      </c>
      <c r="B151" s="2169"/>
      <c r="C151" s="1688">
        <f>SUM(C129,C130,C139,C149,C150)</f>
        <v>51351</v>
      </c>
      <c r="D151" s="1688">
        <f t="shared" ref="D151:K151" si="16">SUM(D129,D130,D139,D149,D150)</f>
        <v>7547</v>
      </c>
      <c r="E151" s="1688">
        <f t="shared" si="16"/>
        <v>587172</v>
      </c>
      <c r="F151" s="1688">
        <f t="shared" si="16"/>
        <v>282278</v>
      </c>
      <c r="G151" s="1688">
        <f t="shared" si="16"/>
        <v>18068</v>
      </c>
      <c r="H151" s="1688">
        <f t="shared" si="16"/>
        <v>0</v>
      </c>
      <c r="I151" s="1688">
        <f t="shared" si="16"/>
        <v>775</v>
      </c>
      <c r="J151" s="1688">
        <f t="shared" si="16"/>
        <v>0</v>
      </c>
      <c r="K151" s="1688">
        <f t="shared" si="16"/>
        <v>947191</v>
      </c>
      <c r="L151" s="1688">
        <f>SUM(L129,L130,L139,L149,L150)</f>
        <v>1330000</v>
      </c>
    </row>
    <row r="152" spans="1:14" ht="12.75" customHeight="1" thickTop="1" x14ac:dyDescent="0.2">
      <c r="A152" s="2192" t="s">
        <v>1240</v>
      </c>
      <c r="B152" s="2193"/>
      <c r="C152" s="619"/>
      <c r="D152" s="619"/>
      <c r="E152" s="619"/>
      <c r="F152" s="619"/>
      <c r="G152" s="619"/>
      <c r="H152" s="619"/>
      <c r="I152" s="619"/>
      <c r="J152" s="617"/>
      <c r="K152" s="1702">
        <f>'Revenues 9-14'!D275-'Expenditures 15-22'!K151</f>
        <v>369107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4"/>
      <c r="D154" s="1645"/>
      <c r="E154" s="1645"/>
      <c r="F154" s="1645"/>
      <c r="G154" s="1645"/>
      <c r="H154" s="1645"/>
      <c r="I154" s="1645"/>
      <c r="J154" s="1645"/>
      <c r="K154" s="1645"/>
      <c r="L154" s="1646"/>
      <c r="M154" s="668"/>
      <c r="N154" s="668"/>
    </row>
    <row r="155" spans="1:14" s="621" customFormat="1" ht="15.75" customHeight="1" thickBot="1" x14ac:dyDescent="0.25">
      <c r="A155" s="1635" t="s">
        <v>83</v>
      </c>
      <c r="B155" s="1636" t="s">
        <v>915</v>
      </c>
      <c r="C155" s="617"/>
      <c r="D155" s="617"/>
      <c r="E155" s="617"/>
      <c r="F155" s="617"/>
      <c r="G155" s="617"/>
      <c r="H155" s="1861"/>
      <c r="I155" s="617"/>
      <c r="J155" s="617"/>
      <c r="K155" s="1844"/>
      <c r="L155" s="1861"/>
      <c r="M155" s="620"/>
      <c r="N155" s="620"/>
    </row>
    <row r="156" spans="1:14" s="621" customFormat="1" ht="15.75" customHeight="1" thickTop="1" x14ac:dyDescent="0.2">
      <c r="A156" s="1841" t="s">
        <v>1958</v>
      </c>
      <c r="B156" s="1842"/>
      <c r="C156" s="617"/>
      <c r="D156" s="617"/>
      <c r="E156" s="617"/>
      <c r="F156" s="617"/>
      <c r="G156" s="617"/>
      <c r="H156" s="1862"/>
      <c r="I156" s="617"/>
      <c r="J156" s="617"/>
      <c r="K156" s="1843"/>
      <c r="L156" s="1862"/>
      <c r="M156" s="620"/>
      <c r="N156" s="620"/>
    </row>
    <row r="157" spans="1:14" s="621" customFormat="1" ht="12" x14ac:dyDescent="0.2">
      <c r="A157" s="1845" t="s">
        <v>517</v>
      </c>
      <c r="B157" s="1846" t="s">
        <v>1957</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1959</v>
      </c>
      <c r="C158" s="617"/>
      <c r="D158" s="617"/>
      <c r="E158" s="617"/>
      <c r="F158" s="617"/>
      <c r="G158" s="617"/>
      <c r="H158" s="467"/>
      <c r="I158" s="617"/>
      <c r="J158" s="617"/>
      <c r="K158" s="1689">
        <f>H158</f>
        <v>0</v>
      </c>
      <c r="L158" s="467"/>
      <c r="M158" s="620"/>
      <c r="N158" s="620"/>
    </row>
    <row r="159" spans="1:14" s="621" customFormat="1" ht="12" x14ac:dyDescent="0.2">
      <c r="A159" s="1845" t="s">
        <v>1960</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1961</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0" t="s">
        <v>84</v>
      </c>
      <c r="B161" s="1631"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2" t="s">
        <v>89</v>
      </c>
      <c r="B163" s="615">
        <v>5110</v>
      </c>
      <c r="C163" s="617"/>
      <c r="D163" s="617"/>
      <c r="E163" s="617"/>
      <c r="F163" s="617"/>
      <c r="G163" s="617"/>
      <c r="H163" s="466"/>
      <c r="I163" s="617"/>
      <c r="J163" s="617"/>
      <c r="K163" s="1689">
        <f>SUM(C163:J163)</f>
        <v>0</v>
      </c>
      <c r="L163" s="466"/>
    </row>
    <row r="164" spans="1:14" x14ac:dyDescent="0.2">
      <c r="A164" s="1522" t="s">
        <v>90</v>
      </c>
      <c r="B164" s="615">
        <v>5120</v>
      </c>
      <c r="C164" s="617"/>
      <c r="D164" s="617"/>
      <c r="E164" s="617"/>
      <c r="F164" s="617"/>
      <c r="G164" s="617"/>
      <c r="H164" s="466"/>
      <c r="I164" s="617"/>
      <c r="J164" s="617"/>
      <c r="K164" s="1689">
        <f>SUM(C164:J164)</f>
        <v>0</v>
      </c>
      <c r="L164" s="466"/>
    </row>
    <row r="165" spans="1:14" ht="12.75" customHeight="1" x14ac:dyDescent="0.2">
      <c r="A165" s="1522" t="s">
        <v>1232</v>
      </c>
      <c r="B165" s="615" t="s">
        <v>638</v>
      </c>
      <c r="C165" s="617"/>
      <c r="D165" s="617"/>
      <c r="E165" s="617"/>
      <c r="F165" s="617"/>
      <c r="G165" s="617"/>
      <c r="H165" s="466"/>
      <c r="I165" s="617"/>
      <c r="J165" s="617"/>
      <c r="K165" s="1689">
        <f>SUM(C165:J165)</f>
        <v>0</v>
      </c>
      <c r="L165" s="466"/>
    </row>
    <row r="166" spans="1:14" x14ac:dyDescent="0.2">
      <c r="A166" s="1522" t="s">
        <v>91</v>
      </c>
      <c r="B166" s="629" t="s">
        <v>610</v>
      </c>
      <c r="C166" s="617"/>
      <c r="D166" s="617"/>
      <c r="E166" s="617"/>
      <c r="F166" s="617"/>
      <c r="G166" s="617"/>
      <c r="H166" s="466"/>
      <c r="I166" s="617"/>
      <c r="J166" s="617"/>
      <c r="K166" s="1689">
        <f>SUM(C166:J166)</f>
        <v>0</v>
      </c>
      <c r="L166" s="466"/>
    </row>
    <row r="167" spans="1:14" ht="12.75" customHeight="1" x14ac:dyDescent="0.2">
      <c r="A167" s="1522" t="s">
        <v>640</v>
      </c>
      <c r="B167" s="615" t="s">
        <v>639</v>
      </c>
      <c r="C167" s="617"/>
      <c r="D167" s="617"/>
      <c r="E167" s="617"/>
      <c r="F167" s="617"/>
      <c r="G167" s="617"/>
      <c r="H167" s="466"/>
      <c r="I167" s="617"/>
      <c r="J167" s="617"/>
      <c r="K167" s="1689">
        <f>SUM(C167:J167)</f>
        <v>0</v>
      </c>
      <c r="L167" s="466"/>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153311</v>
      </c>
      <c r="I169" s="617"/>
      <c r="J169" s="617"/>
      <c r="K169" s="1689">
        <f>SUM(C169:H169)</f>
        <v>153311</v>
      </c>
      <c r="L169" s="657">
        <v>147397</v>
      </c>
    </row>
    <row r="170" spans="1:14" ht="33.75" customHeight="1" x14ac:dyDescent="0.2">
      <c r="A170" s="670" t="s">
        <v>1769</v>
      </c>
      <c r="B170" s="672" t="s">
        <v>31</v>
      </c>
      <c r="C170" s="617"/>
      <c r="D170" s="617"/>
      <c r="E170" s="617"/>
      <c r="F170" s="617"/>
      <c r="G170" s="617"/>
      <c r="H170" s="569">
        <v>505421</v>
      </c>
      <c r="I170" s="617"/>
      <c r="J170" s="617"/>
      <c r="K170" s="1689">
        <f>SUM(C170:J170)</f>
        <v>505421</v>
      </c>
      <c r="L170" s="569">
        <v>340677</v>
      </c>
    </row>
    <row r="171" spans="1:14" ht="15.75" customHeight="1" x14ac:dyDescent="0.2">
      <c r="A171" s="622" t="s">
        <v>790</v>
      </c>
      <c r="B171" s="673" t="s">
        <v>86</v>
      </c>
      <c r="C171" s="617"/>
      <c r="D171" s="617"/>
      <c r="E171" s="466"/>
      <c r="F171" s="617"/>
      <c r="G171" s="617"/>
      <c r="H171" s="569">
        <v>2797</v>
      </c>
      <c r="I171" s="477"/>
      <c r="J171" s="617"/>
      <c r="K171" s="1689">
        <f>SUM(C171:J171)</f>
        <v>2797</v>
      </c>
      <c r="L171" s="569">
        <v>3300</v>
      </c>
    </row>
    <row r="172" spans="1:14" ht="12.75" customHeight="1" thickBot="1" x14ac:dyDescent="0.25">
      <c r="A172" s="1686" t="s">
        <v>659</v>
      </c>
      <c r="B172" s="1687" t="s">
        <v>513</v>
      </c>
      <c r="C172" s="617"/>
      <c r="D172" s="617"/>
      <c r="E172" s="1695">
        <f>SUM(E168,E169,E170,E171)</f>
        <v>0</v>
      </c>
      <c r="F172" s="617"/>
      <c r="G172" s="617"/>
      <c r="H172" s="1695">
        <f>SUM(H168,H169,H170,H171)</f>
        <v>661529</v>
      </c>
      <c r="I172" s="639"/>
      <c r="J172" s="617"/>
      <c r="K172" s="1695">
        <f>SUM(K168,K169,K170,K171)</f>
        <v>661529</v>
      </c>
      <c r="L172" s="1695">
        <f>SUM(L168,L169,L170,L171)</f>
        <v>491374</v>
      </c>
    </row>
    <row r="173" spans="1:14" ht="15.75" customHeight="1" thickTop="1" thickBot="1" x14ac:dyDescent="0.25">
      <c r="A173" s="1637" t="s">
        <v>87</v>
      </c>
      <c r="B173" s="1629"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661529</v>
      </c>
      <c r="I174" s="639"/>
      <c r="J174" s="617"/>
      <c r="K174" s="1695">
        <f>SUM(K160,K172,K173)</f>
        <v>661529</v>
      </c>
      <c r="L174" s="1695">
        <f>SUM(L160,L172,L173)</f>
        <v>491374</v>
      </c>
    </row>
    <row r="175" spans="1:14" ht="13.5" thickTop="1" x14ac:dyDescent="0.2">
      <c r="A175" s="2172" t="s">
        <v>1053</v>
      </c>
      <c r="B175" s="2173"/>
      <c r="C175" s="617"/>
      <c r="D175" s="617"/>
      <c r="E175" s="617"/>
      <c r="F175" s="617"/>
      <c r="G175" s="617"/>
      <c r="H175" s="619"/>
      <c r="I175" s="617"/>
      <c r="J175" s="617"/>
      <c r="K175" s="1702">
        <f>'Revenues 9-14'!E275-'Expenditures 15-22'!K174</f>
        <v>-90159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2" t="s">
        <v>994</v>
      </c>
      <c r="B177" s="1573"/>
      <c r="C177" s="1569"/>
      <c r="D177" s="1570"/>
      <c r="E177" s="1570"/>
      <c r="F177" s="1570"/>
      <c r="G177" s="1570"/>
      <c r="H177" s="1570"/>
      <c r="I177" s="1570"/>
      <c r="J177" s="1570"/>
      <c r="K177" s="1570"/>
      <c r="L177" s="1571"/>
      <c r="M177" s="610"/>
      <c r="N177" s="610"/>
    </row>
    <row r="178" spans="1:14" s="675" customFormat="1" ht="15.75" customHeight="1" x14ac:dyDescent="0.2">
      <c r="A178" s="1638" t="s">
        <v>995</v>
      </c>
      <c r="B178" s="1639"/>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2" t="s">
        <v>167</v>
      </c>
      <c r="B180" s="615">
        <v>2190</v>
      </c>
      <c r="C180" s="466"/>
      <c r="D180" s="466"/>
      <c r="E180" s="466"/>
      <c r="F180" s="466"/>
      <c r="G180" s="466"/>
      <c r="H180" s="466"/>
      <c r="I180" s="467"/>
      <c r="J180" s="467"/>
      <c r="K180" s="168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2" t="s">
        <v>1010</v>
      </c>
      <c r="B182" s="615">
        <v>2550</v>
      </c>
      <c r="C182" s="466">
        <v>10000</v>
      </c>
      <c r="D182" s="466">
        <v>1292</v>
      </c>
      <c r="E182" s="466">
        <v>949917</v>
      </c>
      <c r="F182" s="466"/>
      <c r="G182" s="466"/>
      <c r="H182" s="466"/>
      <c r="I182" s="467"/>
      <c r="J182" s="467"/>
      <c r="K182" s="1689">
        <f>SUM(C182:J182)</f>
        <v>961209</v>
      </c>
      <c r="L182" s="466">
        <v>961500</v>
      </c>
    </row>
    <row r="183" spans="1:14" ht="12.75" customHeight="1" thickBot="1" x14ac:dyDescent="0.25">
      <c r="A183" s="1527"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10000</v>
      </c>
      <c r="D184" s="1695">
        <f t="shared" ref="D184:J184" si="17">SUM(D180,D182,D183)</f>
        <v>1292</v>
      </c>
      <c r="E184" s="1695">
        <f t="shared" si="17"/>
        <v>949917</v>
      </c>
      <c r="F184" s="1695">
        <f t="shared" si="17"/>
        <v>0</v>
      </c>
      <c r="G184" s="1695">
        <f t="shared" si="17"/>
        <v>0</v>
      </c>
      <c r="H184" s="1695">
        <f t="shared" si="17"/>
        <v>0</v>
      </c>
      <c r="I184" s="1695">
        <f t="shared" si="17"/>
        <v>0</v>
      </c>
      <c r="J184" s="1695">
        <f t="shared" si="17"/>
        <v>0</v>
      </c>
      <c r="K184" s="1695">
        <f>SUM(K180,K182,K183)</f>
        <v>961209</v>
      </c>
      <c r="L184" s="1695">
        <f>SUM(L180, L182:L183)</f>
        <v>961500</v>
      </c>
    </row>
    <row r="185" spans="1:14" ht="15.75" customHeight="1" thickTop="1" thickBot="1" x14ac:dyDescent="0.25">
      <c r="A185" s="1640" t="s">
        <v>996</v>
      </c>
      <c r="B185" s="1629">
        <v>3000</v>
      </c>
      <c r="C185" s="576"/>
      <c r="D185" s="576"/>
      <c r="E185" s="576"/>
      <c r="F185" s="576"/>
      <c r="G185" s="576"/>
      <c r="H185" s="576"/>
      <c r="I185" s="531"/>
      <c r="J185" s="531"/>
      <c r="K185" s="1688">
        <f>SUM(C185:J185)</f>
        <v>0</v>
      </c>
      <c r="L185" s="576"/>
    </row>
    <row r="186" spans="1:14" s="675" customFormat="1" ht="15.75" customHeight="1" thickTop="1" x14ac:dyDescent="0.2">
      <c r="A186" s="1624" t="s">
        <v>93</v>
      </c>
      <c r="B186" s="1627"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2" t="s">
        <v>517</v>
      </c>
      <c r="B188" s="615">
        <v>4110</v>
      </c>
      <c r="C188" s="617"/>
      <c r="D188" s="617"/>
      <c r="E188" s="466"/>
      <c r="F188" s="617"/>
      <c r="G188" s="617"/>
      <c r="H188" s="466"/>
      <c r="I188" s="477"/>
      <c r="J188" s="617"/>
      <c r="K188" s="1689">
        <f t="shared" ref="K188:K193" si="18">SUM(E188,H188)</f>
        <v>0</v>
      </c>
      <c r="L188" s="466"/>
    </row>
    <row r="189" spans="1:14" x14ac:dyDescent="0.2">
      <c r="A189" s="1522" t="s">
        <v>322</v>
      </c>
      <c r="B189" s="615">
        <v>4120</v>
      </c>
      <c r="C189" s="617"/>
      <c r="D189" s="617"/>
      <c r="E189" s="466"/>
      <c r="F189" s="617"/>
      <c r="G189" s="617"/>
      <c r="H189" s="466"/>
      <c r="I189" s="477"/>
      <c r="J189" s="617"/>
      <c r="K189" s="1689">
        <f t="shared" si="18"/>
        <v>0</v>
      </c>
      <c r="L189" s="466"/>
    </row>
    <row r="190" spans="1:14" x14ac:dyDescent="0.2">
      <c r="A190" s="1522" t="s">
        <v>323</v>
      </c>
      <c r="B190" s="629">
        <v>4130</v>
      </c>
      <c r="C190" s="617"/>
      <c r="D190" s="617"/>
      <c r="E190" s="466"/>
      <c r="F190" s="617"/>
      <c r="G190" s="617"/>
      <c r="H190" s="466"/>
      <c r="I190" s="477"/>
      <c r="J190" s="617"/>
      <c r="K190" s="1689">
        <f t="shared" si="18"/>
        <v>0</v>
      </c>
      <c r="L190" s="466"/>
    </row>
    <row r="191" spans="1:14" x14ac:dyDescent="0.2">
      <c r="A191" s="1522" t="s">
        <v>721</v>
      </c>
      <c r="B191" s="615">
        <v>4140</v>
      </c>
      <c r="C191" s="617"/>
      <c r="D191" s="617"/>
      <c r="E191" s="466"/>
      <c r="F191" s="617"/>
      <c r="G191" s="617"/>
      <c r="H191" s="466"/>
      <c r="I191" s="477"/>
      <c r="J191" s="617"/>
      <c r="K191" s="1689">
        <f t="shared" si="18"/>
        <v>0</v>
      </c>
      <c r="L191" s="466"/>
    </row>
    <row r="192" spans="1:14" x14ac:dyDescent="0.2">
      <c r="A192" s="1522" t="s">
        <v>88</v>
      </c>
      <c r="B192" s="615">
        <v>4170</v>
      </c>
      <c r="C192" s="617"/>
      <c r="D192" s="617"/>
      <c r="E192" s="466"/>
      <c r="F192" s="617"/>
      <c r="G192" s="617"/>
      <c r="H192" s="466"/>
      <c r="I192" s="477"/>
      <c r="J192" s="617"/>
      <c r="K192" s="1689">
        <f t="shared" si="18"/>
        <v>0</v>
      </c>
      <c r="L192" s="466"/>
    </row>
    <row r="193" spans="1:14" x14ac:dyDescent="0.2">
      <c r="A193" s="1526"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0" t="s">
        <v>997</v>
      </c>
      <c r="B197" s="1627"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2" t="s">
        <v>89</v>
      </c>
      <c r="B199" s="615">
        <v>5110</v>
      </c>
      <c r="C199" s="617"/>
      <c r="D199" s="617"/>
      <c r="E199" s="617"/>
      <c r="F199" s="617"/>
      <c r="G199" s="617"/>
      <c r="H199" s="466"/>
      <c r="I199" s="617"/>
      <c r="J199" s="617"/>
      <c r="K199" s="1689">
        <f>SUM(H199)</f>
        <v>0</v>
      </c>
      <c r="L199" s="466"/>
    </row>
    <row r="200" spans="1:14" x14ac:dyDescent="0.2">
      <c r="A200" s="1522" t="s">
        <v>90</v>
      </c>
      <c r="B200" s="615">
        <v>5120</v>
      </c>
      <c r="C200" s="617"/>
      <c r="D200" s="617"/>
      <c r="E200" s="617"/>
      <c r="F200" s="617"/>
      <c r="G200" s="617"/>
      <c r="H200" s="466"/>
      <c r="I200" s="617"/>
      <c r="J200" s="617"/>
      <c r="K200" s="1689">
        <f>SUM(H200)</f>
        <v>0</v>
      </c>
      <c r="L200" s="466"/>
    </row>
    <row r="201" spans="1:14" ht="12.75" customHeight="1" x14ac:dyDescent="0.2">
      <c r="A201" s="1522" t="s">
        <v>1232</v>
      </c>
      <c r="B201" s="629" t="s">
        <v>638</v>
      </c>
      <c r="C201" s="617"/>
      <c r="D201" s="617"/>
      <c r="E201" s="617"/>
      <c r="F201" s="617"/>
      <c r="G201" s="617"/>
      <c r="H201" s="466"/>
      <c r="I201" s="617"/>
      <c r="J201" s="617"/>
      <c r="K201" s="1689">
        <f>SUM(H201)</f>
        <v>0</v>
      </c>
      <c r="L201" s="466"/>
    </row>
    <row r="202" spans="1:14" x14ac:dyDescent="0.2">
      <c r="A202" s="1522" t="s">
        <v>91</v>
      </c>
      <c r="B202" s="615" t="s">
        <v>610</v>
      </c>
      <c r="C202" s="617"/>
      <c r="D202" s="617"/>
      <c r="E202" s="617"/>
      <c r="F202" s="617"/>
      <c r="G202" s="617"/>
      <c r="H202" s="466"/>
      <c r="I202" s="617"/>
      <c r="J202" s="617"/>
      <c r="K202" s="1689">
        <f>SUM(H202)</f>
        <v>0</v>
      </c>
      <c r="L202" s="466"/>
    </row>
    <row r="203" spans="1:14" x14ac:dyDescent="0.2">
      <c r="A203" s="1534"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1770</v>
      </c>
      <c r="B206" s="673" t="s">
        <v>31</v>
      </c>
      <c r="C206" s="617"/>
      <c r="D206" s="617"/>
      <c r="E206" s="617"/>
      <c r="F206" s="617"/>
      <c r="G206" s="617"/>
      <c r="H206" s="466"/>
      <c r="I206" s="617"/>
      <c r="J206" s="617"/>
      <c r="K206" s="1689">
        <f>SUM(H206)</f>
        <v>0</v>
      </c>
      <c r="L206" s="466"/>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4" t="s">
        <v>927</v>
      </c>
      <c r="B209" s="1631" t="s">
        <v>916</v>
      </c>
      <c r="C209" s="624"/>
      <c r="D209" s="624"/>
      <c r="E209" s="624"/>
      <c r="F209" s="624"/>
      <c r="G209" s="624"/>
      <c r="H209" s="624"/>
      <c r="I209" s="617"/>
      <c r="J209" s="617"/>
      <c r="K209" s="624"/>
      <c r="L209" s="576"/>
    </row>
    <row r="210" spans="1:14" ht="12.75" customHeight="1" thickTop="1" thickBot="1" x14ac:dyDescent="0.25">
      <c r="A210" s="1710" t="s">
        <v>295</v>
      </c>
      <c r="B210" s="1711"/>
      <c r="C210" s="1688">
        <f>SUM(C184,C185)</f>
        <v>10000</v>
      </c>
      <c r="D210" s="1688">
        <f>SUM(D184,D185)</f>
        <v>1292</v>
      </c>
      <c r="E210" s="1688">
        <f>SUM(E184,E185,E196)</f>
        <v>949917</v>
      </c>
      <c r="F210" s="1688">
        <f>SUM(F184,F185)</f>
        <v>0</v>
      </c>
      <c r="G210" s="1688">
        <f>SUM(G184,G185)</f>
        <v>0</v>
      </c>
      <c r="H210" s="1688">
        <f>SUM(H184,H185,H196,H208,H209)</f>
        <v>0</v>
      </c>
      <c r="I210" s="1688">
        <f>SUM(I184,I185)</f>
        <v>0</v>
      </c>
      <c r="J210" s="1688">
        <f>SUM(J184,J185)</f>
        <v>0</v>
      </c>
      <c r="K210" s="1689">
        <f>SUM(K184,K185,K196,K208,K209)</f>
        <v>961209</v>
      </c>
      <c r="L210" s="1688">
        <f>SUM(L184,L185,L196,L208,L209)</f>
        <v>961500</v>
      </c>
    </row>
    <row r="211" spans="1:14" ht="13.5" thickTop="1" x14ac:dyDescent="0.2">
      <c r="A211" s="2172" t="s">
        <v>1053</v>
      </c>
      <c r="B211" s="2173"/>
      <c r="C211" s="619"/>
      <c r="D211" s="619"/>
      <c r="E211" s="619"/>
      <c r="F211" s="619"/>
      <c r="G211" s="619"/>
      <c r="H211" s="619"/>
      <c r="I211" s="617"/>
      <c r="J211" s="617"/>
      <c r="K211" s="1702">
        <f>'Revenues 9-14'!F275-'Expenditures 15-22'!K210</f>
        <v>109308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69"/>
      <c r="D213" s="1570"/>
      <c r="E213" s="1570"/>
      <c r="F213" s="1570"/>
      <c r="G213" s="1570"/>
      <c r="H213" s="1570"/>
      <c r="I213" s="1570"/>
      <c r="J213" s="1570"/>
      <c r="K213" s="1570"/>
      <c r="L213" s="1571"/>
      <c r="M213" s="610"/>
      <c r="N213" s="610"/>
    </row>
    <row r="214" spans="1:14" s="675" customFormat="1" ht="15.75" customHeight="1" x14ac:dyDescent="0.2">
      <c r="A214" s="1641" t="s">
        <v>928</v>
      </c>
      <c r="B214" s="1633" t="s">
        <v>591</v>
      </c>
      <c r="C214" s="617"/>
      <c r="D214" s="624"/>
      <c r="E214" s="617"/>
      <c r="F214" s="617"/>
      <c r="G214" s="617"/>
      <c r="H214" s="617"/>
      <c r="I214" s="617"/>
      <c r="J214" s="617"/>
      <c r="K214" s="624"/>
      <c r="L214" s="624"/>
      <c r="M214" s="666"/>
      <c r="N214" s="666"/>
    </row>
    <row r="215" spans="1:14" x14ac:dyDescent="0.2">
      <c r="A215" s="1522" t="s">
        <v>1018</v>
      </c>
      <c r="B215" s="615">
        <v>1100</v>
      </c>
      <c r="C215" s="617"/>
      <c r="D215" s="466">
        <v>66393</v>
      </c>
      <c r="E215" s="617"/>
      <c r="F215" s="617"/>
      <c r="G215" s="617"/>
      <c r="H215" s="617"/>
      <c r="I215" s="617"/>
      <c r="J215" s="617"/>
      <c r="K215" s="1689">
        <f>D215</f>
        <v>66393</v>
      </c>
      <c r="L215" s="466">
        <v>82000</v>
      </c>
    </row>
    <row r="216" spans="1:14" x14ac:dyDescent="0.2">
      <c r="A216" s="1522" t="s">
        <v>165</v>
      </c>
      <c r="B216" s="615" t="s">
        <v>1024</v>
      </c>
      <c r="C216" s="617"/>
      <c r="D216" s="467"/>
      <c r="E216" s="617"/>
      <c r="F216" s="617"/>
      <c r="G216" s="617"/>
      <c r="H216" s="617"/>
      <c r="I216" s="617"/>
      <c r="J216" s="617"/>
      <c r="K216" s="1689">
        <f t="shared" ref="K216:K228" si="19">D216</f>
        <v>0</v>
      </c>
      <c r="L216" s="466"/>
    </row>
    <row r="217" spans="1:14" x14ac:dyDescent="0.2">
      <c r="A217" s="1522" t="s">
        <v>166</v>
      </c>
      <c r="B217" s="615">
        <v>1200</v>
      </c>
      <c r="C217" s="617"/>
      <c r="D217" s="466">
        <v>55188</v>
      </c>
      <c r="E217" s="617"/>
      <c r="F217" s="617"/>
      <c r="G217" s="617"/>
      <c r="H217" s="617"/>
      <c r="I217" s="617"/>
      <c r="J217" s="617"/>
      <c r="K217" s="1689">
        <f t="shared" si="19"/>
        <v>55188</v>
      </c>
      <c r="L217" s="466">
        <v>45000</v>
      </c>
    </row>
    <row r="218" spans="1:14" x14ac:dyDescent="0.2">
      <c r="A218" s="1522" t="s">
        <v>296</v>
      </c>
      <c r="B218" s="615" t="s">
        <v>1025</v>
      </c>
      <c r="C218" s="617"/>
      <c r="D218" s="467"/>
      <c r="E218" s="617"/>
      <c r="F218" s="617"/>
      <c r="G218" s="617"/>
      <c r="H218" s="617"/>
      <c r="I218" s="617"/>
      <c r="J218" s="617"/>
      <c r="K218" s="1689">
        <f t="shared" si="19"/>
        <v>0</v>
      </c>
      <c r="L218" s="466"/>
    </row>
    <row r="219" spans="1:14" x14ac:dyDescent="0.2">
      <c r="A219" s="1522" t="s">
        <v>297</v>
      </c>
      <c r="B219" s="615">
        <v>1250</v>
      </c>
      <c r="C219" s="617"/>
      <c r="D219" s="466"/>
      <c r="E219" s="617"/>
      <c r="F219" s="617"/>
      <c r="G219" s="617"/>
      <c r="H219" s="617"/>
      <c r="I219" s="617"/>
      <c r="J219" s="617"/>
      <c r="K219" s="1689">
        <f t="shared" si="19"/>
        <v>0</v>
      </c>
      <c r="L219" s="466"/>
    </row>
    <row r="220" spans="1:14" x14ac:dyDescent="0.2">
      <c r="A220" s="1522" t="s">
        <v>298</v>
      </c>
      <c r="B220" s="615" t="s">
        <v>163</v>
      </c>
      <c r="C220" s="617"/>
      <c r="D220" s="467"/>
      <c r="E220" s="617"/>
      <c r="F220" s="617"/>
      <c r="G220" s="617"/>
      <c r="H220" s="617"/>
      <c r="I220" s="617"/>
      <c r="J220" s="617"/>
      <c r="K220" s="1689">
        <f t="shared" si="19"/>
        <v>0</v>
      </c>
      <c r="L220" s="466"/>
    </row>
    <row r="221" spans="1:14" x14ac:dyDescent="0.2">
      <c r="A221" s="1522" t="s">
        <v>1019</v>
      </c>
      <c r="B221" s="615">
        <v>1300</v>
      </c>
      <c r="C221" s="617"/>
      <c r="D221" s="466"/>
      <c r="E221" s="617"/>
      <c r="F221" s="617"/>
      <c r="G221" s="617"/>
      <c r="H221" s="617"/>
      <c r="I221" s="617"/>
      <c r="J221" s="617"/>
      <c r="K221" s="1689">
        <f t="shared" si="19"/>
        <v>0</v>
      </c>
      <c r="L221" s="466"/>
    </row>
    <row r="222" spans="1:14" x14ac:dyDescent="0.2">
      <c r="A222" s="1522" t="s">
        <v>747</v>
      </c>
      <c r="B222" s="615">
        <v>1400</v>
      </c>
      <c r="C222" s="617"/>
      <c r="D222" s="466"/>
      <c r="E222" s="617"/>
      <c r="F222" s="617"/>
      <c r="G222" s="617"/>
      <c r="H222" s="617"/>
      <c r="I222" s="617"/>
      <c r="J222" s="617"/>
      <c r="K222" s="1689">
        <f t="shared" si="19"/>
        <v>0</v>
      </c>
      <c r="L222" s="466"/>
    </row>
    <row r="223" spans="1:14" x14ac:dyDescent="0.2">
      <c r="A223" s="1522" t="s">
        <v>1020</v>
      </c>
      <c r="B223" s="615">
        <v>1500</v>
      </c>
      <c r="C223" s="617"/>
      <c r="D223" s="466"/>
      <c r="E223" s="617"/>
      <c r="F223" s="617"/>
      <c r="G223" s="617"/>
      <c r="H223" s="617"/>
      <c r="I223" s="617"/>
      <c r="J223" s="617"/>
      <c r="K223" s="1689">
        <f t="shared" si="19"/>
        <v>0</v>
      </c>
      <c r="L223" s="466"/>
    </row>
    <row r="224" spans="1:14" x14ac:dyDescent="0.2">
      <c r="A224" s="1522" t="s">
        <v>1021</v>
      </c>
      <c r="B224" s="615">
        <v>1600</v>
      </c>
      <c r="C224" s="617"/>
      <c r="D224" s="466">
        <v>7150</v>
      </c>
      <c r="E224" s="617"/>
      <c r="F224" s="617"/>
      <c r="G224" s="617"/>
      <c r="H224" s="617"/>
      <c r="I224" s="617"/>
      <c r="J224" s="617"/>
      <c r="K224" s="1689">
        <f t="shared" si="19"/>
        <v>7150</v>
      </c>
      <c r="L224" s="466">
        <v>4600</v>
      </c>
    </row>
    <row r="225" spans="1:12" x14ac:dyDescent="0.2">
      <c r="A225" s="1522" t="s">
        <v>1044</v>
      </c>
      <c r="B225" s="615">
        <v>1650</v>
      </c>
      <c r="C225" s="617"/>
      <c r="D225" s="466"/>
      <c r="E225" s="617"/>
      <c r="F225" s="617"/>
      <c r="G225" s="617"/>
      <c r="H225" s="617"/>
      <c r="I225" s="617"/>
      <c r="J225" s="617"/>
      <c r="K225" s="1689">
        <f t="shared" si="19"/>
        <v>0</v>
      </c>
      <c r="L225" s="466"/>
    </row>
    <row r="226" spans="1:12" x14ac:dyDescent="0.2">
      <c r="A226" s="1522" t="s">
        <v>748</v>
      </c>
      <c r="B226" s="615" t="s">
        <v>164</v>
      </c>
      <c r="C226" s="617"/>
      <c r="D226" s="467"/>
      <c r="E226" s="617"/>
      <c r="F226" s="617"/>
      <c r="G226" s="617"/>
      <c r="H226" s="617"/>
      <c r="I226" s="617"/>
      <c r="J226" s="617"/>
      <c r="K226" s="1689">
        <f t="shared" si="19"/>
        <v>0</v>
      </c>
      <c r="L226" s="466"/>
    </row>
    <row r="227" spans="1:12" x14ac:dyDescent="0.2">
      <c r="A227" s="1522" t="s">
        <v>1148</v>
      </c>
      <c r="B227" s="615">
        <v>1800</v>
      </c>
      <c r="C227" s="617"/>
      <c r="D227" s="466">
        <v>7440</v>
      </c>
      <c r="E227" s="617"/>
      <c r="F227" s="617"/>
      <c r="G227" s="617"/>
      <c r="H227" s="617"/>
      <c r="I227" s="617"/>
      <c r="J227" s="617"/>
      <c r="K227" s="1689">
        <f t="shared" si="19"/>
        <v>7440</v>
      </c>
      <c r="L227" s="466">
        <v>7700</v>
      </c>
    </row>
    <row r="228" spans="1:12" x14ac:dyDescent="0.2">
      <c r="A228" s="1522"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136171</v>
      </c>
      <c r="E229" s="617"/>
      <c r="F229" s="617"/>
      <c r="G229" s="617"/>
      <c r="H229" s="617"/>
      <c r="I229" s="617"/>
      <c r="J229" s="617"/>
      <c r="K229" s="1688">
        <f>SUM(K215:K228)</f>
        <v>136171</v>
      </c>
      <c r="L229" s="1688">
        <f>SUM(L215:L228)</f>
        <v>139300</v>
      </c>
    </row>
    <row r="230" spans="1:12" ht="15.75" customHeight="1" thickTop="1" x14ac:dyDescent="0.2">
      <c r="A230" s="1630" t="s">
        <v>929</v>
      </c>
      <c r="B230" s="1631"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2" t="s">
        <v>1150</v>
      </c>
      <c r="B232" s="615">
        <v>2110</v>
      </c>
      <c r="C232" s="617"/>
      <c r="D232" s="466">
        <v>1300</v>
      </c>
      <c r="E232" s="617"/>
      <c r="F232" s="617"/>
      <c r="G232" s="617"/>
      <c r="H232" s="617"/>
      <c r="I232" s="617"/>
      <c r="J232" s="617"/>
      <c r="K232" s="1689">
        <f t="shared" ref="K232:K237" si="20">D232</f>
        <v>1300</v>
      </c>
      <c r="L232" s="466">
        <v>2090</v>
      </c>
    </row>
    <row r="233" spans="1:12" x14ac:dyDescent="0.2">
      <c r="A233" s="1522" t="s">
        <v>1151</v>
      </c>
      <c r="B233" s="615">
        <v>2120</v>
      </c>
      <c r="C233" s="617"/>
      <c r="D233" s="466"/>
      <c r="E233" s="617"/>
      <c r="F233" s="617"/>
      <c r="G233" s="617"/>
      <c r="H233" s="617"/>
      <c r="I233" s="617"/>
      <c r="J233" s="617"/>
      <c r="K233" s="1689">
        <f t="shared" si="20"/>
        <v>0</v>
      </c>
      <c r="L233" s="466"/>
    </row>
    <row r="234" spans="1:12" x14ac:dyDescent="0.2">
      <c r="A234" s="1522" t="s">
        <v>207</v>
      </c>
      <c r="B234" s="615">
        <v>2130</v>
      </c>
      <c r="C234" s="617"/>
      <c r="D234" s="466">
        <f>8242+8728</f>
        <v>16970</v>
      </c>
      <c r="E234" s="617"/>
      <c r="F234" s="617"/>
      <c r="G234" s="617"/>
      <c r="H234" s="617"/>
      <c r="I234" s="617"/>
      <c r="J234" s="617"/>
      <c r="K234" s="1689">
        <f t="shared" si="20"/>
        <v>16970</v>
      </c>
      <c r="L234" s="466">
        <v>16700</v>
      </c>
    </row>
    <row r="235" spans="1:12" x14ac:dyDescent="0.2">
      <c r="A235" s="1522" t="s">
        <v>208</v>
      </c>
      <c r="B235" s="615">
        <v>2140</v>
      </c>
      <c r="C235" s="617"/>
      <c r="D235" s="466"/>
      <c r="E235" s="617"/>
      <c r="F235" s="617"/>
      <c r="G235" s="617"/>
      <c r="H235" s="617"/>
      <c r="I235" s="617"/>
      <c r="J235" s="617"/>
      <c r="K235" s="1689">
        <f t="shared" si="20"/>
        <v>0</v>
      </c>
      <c r="L235" s="466"/>
    </row>
    <row r="236" spans="1:12" x14ac:dyDescent="0.2">
      <c r="A236" s="1522" t="s">
        <v>209</v>
      </c>
      <c r="B236" s="615">
        <v>2150</v>
      </c>
      <c r="C236" s="617"/>
      <c r="D236" s="466">
        <v>87</v>
      </c>
      <c r="E236" s="617"/>
      <c r="F236" s="617"/>
      <c r="G236" s="617"/>
      <c r="H236" s="617"/>
      <c r="I236" s="617"/>
      <c r="J236" s="617"/>
      <c r="K236" s="1689">
        <f t="shared" si="20"/>
        <v>87</v>
      </c>
      <c r="L236" s="466">
        <v>860</v>
      </c>
    </row>
    <row r="237" spans="1:12" x14ac:dyDescent="0.2">
      <c r="A237" s="1522" t="s">
        <v>167</v>
      </c>
      <c r="B237" s="615">
        <v>2190</v>
      </c>
      <c r="C237" s="617"/>
      <c r="D237" s="466"/>
      <c r="E237" s="617"/>
      <c r="F237" s="617"/>
      <c r="G237" s="617"/>
      <c r="H237" s="617"/>
      <c r="I237" s="617"/>
      <c r="J237" s="617"/>
      <c r="K237" s="1689">
        <f t="shared" si="20"/>
        <v>0</v>
      </c>
      <c r="L237" s="466"/>
    </row>
    <row r="238" spans="1:12" ht="12.75" customHeight="1" thickBot="1" x14ac:dyDescent="0.25">
      <c r="A238" s="1686" t="s">
        <v>581</v>
      </c>
      <c r="B238" s="1693" t="s">
        <v>740</v>
      </c>
      <c r="C238" s="617"/>
      <c r="D238" s="1688">
        <f>SUM(D232:D237)</f>
        <v>18357</v>
      </c>
      <c r="E238" s="617"/>
      <c r="F238" s="617"/>
      <c r="G238" s="617"/>
      <c r="H238" s="617"/>
      <c r="I238" s="617"/>
      <c r="J238" s="617"/>
      <c r="K238" s="1688">
        <f>SUM(K232:K237)</f>
        <v>18357</v>
      </c>
      <c r="L238" s="1688">
        <f>SUM(L232:L237)</f>
        <v>19650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2" t="s">
        <v>868</v>
      </c>
      <c r="B240" s="615">
        <v>2210</v>
      </c>
      <c r="C240" s="617"/>
      <c r="D240" s="481">
        <f>8032+8655</f>
        <v>16687</v>
      </c>
      <c r="E240" s="617"/>
      <c r="F240" s="617"/>
      <c r="G240" s="617"/>
      <c r="H240" s="617"/>
      <c r="I240" s="617"/>
      <c r="J240" s="617"/>
      <c r="K240" s="1690">
        <f>D240</f>
        <v>16687</v>
      </c>
      <c r="L240" s="481">
        <v>16800</v>
      </c>
    </row>
    <row r="241" spans="1:12" x14ac:dyDescent="0.2">
      <c r="A241" s="1522" t="s">
        <v>869</v>
      </c>
      <c r="B241" s="615">
        <v>2220</v>
      </c>
      <c r="C241" s="617"/>
      <c r="D241" s="466">
        <f>3438+4521</f>
        <v>7959</v>
      </c>
      <c r="E241" s="617"/>
      <c r="F241" s="617"/>
      <c r="G241" s="617"/>
      <c r="H241" s="617"/>
      <c r="I241" s="617"/>
      <c r="J241" s="617"/>
      <c r="K241" s="1690">
        <f>D241</f>
        <v>7959</v>
      </c>
      <c r="L241" s="466">
        <v>7200</v>
      </c>
    </row>
    <row r="242" spans="1:12" x14ac:dyDescent="0.2">
      <c r="A242" s="1522"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24646</v>
      </c>
      <c r="E243" s="617"/>
      <c r="F243" s="617"/>
      <c r="G243" s="617"/>
      <c r="H243" s="617"/>
      <c r="I243" s="617"/>
      <c r="J243" s="617"/>
      <c r="K243" s="1688">
        <f>SUM(K240:K242)</f>
        <v>24646</v>
      </c>
      <c r="L243" s="1688">
        <f>SUM(L240:L242)</f>
        <v>24000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2" t="s">
        <v>871</v>
      </c>
      <c r="B245" s="615">
        <v>2310</v>
      </c>
      <c r="C245" s="617"/>
      <c r="D245" s="481"/>
      <c r="E245" s="617"/>
      <c r="F245" s="617"/>
      <c r="G245" s="617"/>
      <c r="H245" s="617"/>
      <c r="I245" s="617"/>
      <c r="J245" s="617"/>
      <c r="K245" s="1690">
        <f>D245</f>
        <v>0</v>
      </c>
      <c r="L245" s="481"/>
    </row>
    <row r="246" spans="1:12" x14ac:dyDescent="0.2">
      <c r="A246" s="1522" t="s">
        <v>872</v>
      </c>
      <c r="B246" s="615">
        <v>2320</v>
      </c>
      <c r="C246" s="617"/>
      <c r="D246" s="466">
        <f>9769+1</f>
        <v>9770</v>
      </c>
      <c r="E246" s="617"/>
      <c r="F246" s="617"/>
      <c r="G246" s="617"/>
      <c r="H246" s="617"/>
      <c r="I246" s="617"/>
      <c r="J246" s="617"/>
      <c r="K246" s="1690">
        <f t="shared" ref="K246:K256" si="21">D246</f>
        <v>9770</v>
      </c>
      <c r="L246" s="466">
        <v>9800</v>
      </c>
    </row>
    <row r="247" spans="1:12" x14ac:dyDescent="0.2">
      <c r="A247" s="1522" t="s">
        <v>873</v>
      </c>
      <c r="B247" s="615">
        <v>2330</v>
      </c>
      <c r="C247" s="617"/>
      <c r="D247" s="466">
        <v>2044</v>
      </c>
      <c r="E247" s="617"/>
      <c r="F247" s="617"/>
      <c r="G247" s="617"/>
      <c r="H247" s="617"/>
      <c r="I247" s="617"/>
      <c r="J247" s="617"/>
      <c r="K247" s="1690">
        <f t="shared" si="21"/>
        <v>2044</v>
      </c>
      <c r="L247" s="466">
        <v>1930</v>
      </c>
    </row>
    <row r="248" spans="1:12" x14ac:dyDescent="0.2">
      <c r="A248" s="1523" t="s">
        <v>317</v>
      </c>
      <c r="B248" s="603" t="s">
        <v>299</v>
      </c>
      <c r="C248" s="617"/>
      <c r="D248" s="474"/>
      <c r="E248" s="617"/>
      <c r="F248" s="617"/>
      <c r="G248" s="617"/>
      <c r="H248" s="617"/>
      <c r="I248" s="617"/>
      <c r="J248" s="617"/>
      <c r="K248" s="1690">
        <f t="shared" si="21"/>
        <v>0</v>
      </c>
      <c r="L248" s="466"/>
    </row>
    <row r="249" spans="1:12" x14ac:dyDescent="0.2">
      <c r="A249" s="1524" t="s">
        <v>1908</v>
      </c>
      <c r="B249" s="684" t="s">
        <v>300</v>
      </c>
      <c r="C249" s="617"/>
      <c r="D249" s="474"/>
      <c r="E249" s="617"/>
      <c r="F249" s="617"/>
      <c r="G249" s="617"/>
      <c r="H249" s="617"/>
      <c r="I249" s="617"/>
      <c r="J249" s="617"/>
      <c r="K249" s="1690">
        <f t="shared" si="21"/>
        <v>0</v>
      </c>
      <c r="L249" s="466"/>
    </row>
    <row r="250" spans="1:12" x14ac:dyDescent="0.2">
      <c r="A250" s="1523" t="s">
        <v>1909</v>
      </c>
      <c r="B250" s="603" t="s">
        <v>301</v>
      </c>
      <c r="C250" s="617"/>
      <c r="D250" s="474"/>
      <c r="E250" s="617"/>
      <c r="F250" s="617"/>
      <c r="G250" s="617"/>
      <c r="H250" s="617"/>
      <c r="I250" s="617"/>
      <c r="J250" s="617"/>
      <c r="K250" s="1690">
        <f t="shared" si="21"/>
        <v>0</v>
      </c>
      <c r="L250" s="466"/>
    </row>
    <row r="251" spans="1:12" x14ac:dyDescent="0.2">
      <c r="A251" s="1523" t="s">
        <v>256</v>
      </c>
      <c r="B251" s="603" t="s">
        <v>302</v>
      </c>
      <c r="C251" s="617"/>
      <c r="D251" s="474"/>
      <c r="E251" s="617"/>
      <c r="F251" s="617"/>
      <c r="G251" s="617"/>
      <c r="H251" s="617"/>
      <c r="I251" s="617"/>
      <c r="J251" s="617"/>
      <c r="K251" s="1690">
        <f t="shared" si="21"/>
        <v>0</v>
      </c>
      <c r="L251" s="466"/>
    </row>
    <row r="252" spans="1:12" x14ac:dyDescent="0.2">
      <c r="A252" s="1523" t="s">
        <v>726</v>
      </c>
      <c r="B252" s="603" t="s">
        <v>303</v>
      </c>
      <c r="C252" s="617"/>
      <c r="D252" s="474"/>
      <c r="E252" s="617"/>
      <c r="F252" s="617"/>
      <c r="G252" s="617"/>
      <c r="H252" s="617"/>
      <c r="I252" s="617"/>
      <c r="J252" s="617"/>
      <c r="K252" s="1690">
        <f t="shared" si="21"/>
        <v>0</v>
      </c>
      <c r="L252" s="466"/>
    </row>
    <row r="253" spans="1:12" x14ac:dyDescent="0.2">
      <c r="A253" s="1523" t="s">
        <v>257</v>
      </c>
      <c r="B253" s="603" t="s">
        <v>304</v>
      </c>
      <c r="C253" s="617"/>
      <c r="D253" s="474"/>
      <c r="E253" s="617"/>
      <c r="F253" s="617"/>
      <c r="G253" s="617"/>
      <c r="H253" s="617"/>
      <c r="I253" s="617"/>
      <c r="J253" s="617"/>
      <c r="K253" s="1690">
        <f t="shared" si="21"/>
        <v>0</v>
      </c>
      <c r="L253" s="466"/>
    </row>
    <row r="254" spans="1:12" ht="22.5" x14ac:dyDescent="0.2">
      <c r="A254" s="1523" t="s">
        <v>1087</v>
      </c>
      <c r="B254" s="684" t="s">
        <v>305</v>
      </c>
      <c r="C254" s="617"/>
      <c r="D254" s="474"/>
      <c r="E254" s="617"/>
      <c r="F254" s="617"/>
      <c r="G254" s="617"/>
      <c r="H254" s="617"/>
      <c r="I254" s="617"/>
      <c r="J254" s="617"/>
      <c r="K254" s="1690">
        <f t="shared" si="21"/>
        <v>0</v>
      </c>
      <c r="L254" s="466"/>
    </row>
    <row r="255" spans="1:12" x14ac:dyDescent="0.2">
      <c r="A255" s="1523" t="s">
        <v>1088</v>
      </c>
      <c r="B255" s="603" t="s">
        <v>306</v>
      </c>
      <c r="C255" s="617"/>
      <c r="D255" s="474"/>
      <c r="E255" s="617"/>
      <c r="F255" s="617"/>
      <c r="G255" s="617"/>
      <c r="H255" s="617"/>
      <c r="I255" s="617"/>
      <c r="J255" s="617"/>
      <c r="K255" s="1690">
        <f t="shared" si="21"/>
        <v>0</v>
      </c>
      <c r="L255" s="466"/>
    </row>
    <row r="256" spans="1:12" x14ac:dyDescent="0.2">
      <c r="A256" s="1523"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11814</v>
      </c>
      <c r="E257" s="617"/>
      <c r="F257" s="617"/>
      <c r="G257" s="617"/>
      <c r="H257" s="617"/>
      <c r="I257" s="617"/>
      <c r="J257" s="617"/>
      <c r="K257" s="1688">
        <f>SUM(K245:K256)</f>
        <v>11814</v>
      </c>
      <c r="L257" s="1688">
        <f>SUM(L245:L256)</f>
        <v>11730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2" t="s">
        <v>1127</v>
      </c>
      <c r="B259" s="686">
        <v>2410</v>
      </c>
      <c r="C259" s="617"/>
      <c r="D259" s="481">
        <f>6729+9896</f>
        <v>16625</v>
      </c>
      <c r="E259" s="617"/>
      <c r="F259" s="617"/>
      <c r="G259" s="617"/>
      <c r="H259" s="617"/>
      <c r="I259" s="617"/>
      <c r="J259" s="617"/>
      <c r="K259" s="1690">
        <f>D259</f>
        <v>16625</v>
      </c>
      <c r="L259" s="481">
        <v>16450</v>
      </c>
    </row>
    <row r="260" spans="1:14" s="598" customFormat="1" x14ac:dyDescent="0.2">
      <c r="A260" s="1540" t="s">
        <v>1907</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16625</v>
      </c>
      <c r="E261" s="617"/>
      <c r="F261" s="617"/>
      <c r="G261" s="617"/>
      <c r="H261" s="617"/>
      <c r="I261" s="617"/>
      <c r="J261" s="617"/>
      <c r="K261" s="1688">
        <f>SUM(K259:K260)</f>
        <v>16625</v>
      </c>
      <c r="L261" s="1688">
        <f>SUM(L259:L260)</f>
        <v>16450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2" t="s">
        <v>1128</v>
      </c>
      <c r="B263" s="686">
        <v>2510</v>
      </c>
      <c r="C263" s="617"/>
      <c r="D263" s="466"/>
      <c r="E263" s="617"/>
      <c r="F263" s="617"/>
      <c r="G263" s="617"/>
      <c r="H263" s="617"/>
      <c r="I263" s="617"/>
      <c r="J263" s="617"/>
      <c r="K263" s="1690">
        <f>D263</f>
        <v>0</v>
      </c>
      <c r="L263" s="481"/>
    </row>
    <row r="264" spans="1:14" x14ac:dyDescent="0.2">
      <c r="A264" s="1522" t="s">
        <v>483</v>
      </c>
      <c r="B264" s="686">
        <v>2520</v>
      </c>
      <c r="C264" s="617"/>
      <c r="D264" s="466">
        <f>13703+14336</f>
        <v>28039</v>
      </c>
      <c r="E264" s="617"/>
      <c r="F264" s="617"/>
      <c r="G264" s="617"/>
      <c r="H264" s="617"/>
      <c r="I264" s="617"/>
      <c r="J264" s="617"/>
      <c r="K264" s="1690">
        <f t="shared" ref="K264:K269" si="22">D264</f>
        <v>28039</v>
      </c>
      <c r="L264" s="466">
        <v>28000</v>
      </c>
    </row>
    <row r="265" spans="1:14" x14ac:dyDescent="0.2">
      <c r="A265" s="1522" t="s">
        <v>4</v>
      </c>
      <c r="B265" s="615">
        <v>2530</v>
      </c>
      <c r="C265" s="617"/>
      <c r="D265" s="466"/>
      <c r="E265" s="617"/>
      <c r="F265" s="617"/>
      <c r="G265" s="617"/>
      <c r="H265" s="617"/>
      <c r="I265" s="617"/>
      <c r="J265" s="617"/>
      <c r="K265" s="1690">
        <f t="shared" si="22"/>
        <v>0</v>
      </c>
      <c r="L265" s="466"/>
    </row>
    <row r="266" spans="1:14" x14ac:dyDescent="0.2">
      <c r="A266" s="1522" t="s">
        <v>206</v>
      </c>
      <c r="B266" s="615">
        <v>2540</v>
      </c>
      <c r="C266" s="617"/>
      <c r="D266" s="466">
        <f>3595+3742</f>
        <v>7337</v>
      </c>
      <c r="E266" s="617"/>
      <c r="F266" s="617"/>
      <c r="G266" s="617"/>
      <c r="H266" s="617"/>
      <c r="I266" s="617"/>
      <c r="J266" s="617"/>
      <c r="K266" s="1690">
        <f t="shared" si="22"/>
        <v>7337</v>
      </c>
      <c r="L266" s="466">
        <v>7400</v>
      </c>
    </row>
    <row r="267" spans="1:14" x14ac:dyDescent="0.2">
      <c r="A267" s="1522" t="s">
        <v>1010</v>
      </c>
      <c r="B267" s="615">
        <v>2550</v>
      </c>
      <c r="C267" s="617"/>
      <c r="D267" s="466">
        <f>1400+1486</f>
        <v>2886</v>
      </c>
      <c r="E267" s="617"/>
      <c r="F267" s="617"/>
      <c r="G267" s="617"/>
      <c r="H267" s="617"/>
      <c r="I267" s="617"/>
      <c r="J267" s="617"/>
      <c r="K267" s="1690">
        <f t="shared" si="22"/>
        <v>2886</v>
      </c>
      <c r="L267" s="466">
        <v>2900</v>
      </c>
    </row>
    <row r="268" spans="1:14" x14ac:dyDescent="0.2">
      <c r="A268" s="1522" t="s">
        <v>102</v>
      </c>
      <c r="B268" s="615">
        <v>2560</v>
      </c>
      <c r="C268" s="617"/>
      <c r="D268" s="466">
        <f>7378+8170</f>
        <v>15548</v>
      </c>
      <c r="E268" s="617"/>
      <c r="F268" s="617"/>
      <c r="G268" s="617"/>
      <c r="H268" s="617"/>
      <c r="I268" s="617"/>
      <c r="J268" s="617"/>
      <c r="K268" s="1690">
        <f t="shared" si="22"/>
        <v>15548</v>
      </c>
      <c r="L268" s="466">
        <v>15300</v>
      </c>
    </row>
    <row r="269" spans="1:14" x14ac:dyDescent="0.2">
      <c r="A269" s="1522"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53810</v>
      </c>
      <c r="E270" s="617"/>
      <c r="F270" s="617"/>
      <c r="G270" s="617"/>
      <c r="H270" s="617"/>
      <c r="I270" s="617"/>
      <c r="J270" s="617"/>
      <c r="K270" s="1688">
        <f>SUM(K263:K269)</f>
        <v>53810</v>
      </c>
      <c r="L270" s="1688">
        <f>SUM(L263:L269)</f>
        <v>53600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2" t="s">
        <v>1120</v>
      </c>
      <c r="B272" s="615">
        <v>2610</v>
      </c>
      <c r="C272" s="617"/>
      <c r="D272" s="481"/>
      <c r="E272" s="617"/>
      <c r="F272" s="617"/>
      <c r="G272" s="617"/>
      <c r="H272" s="617"/>
      <c r="I272" s="617"/>
      <c r="J272" s="617"/>
      <c r="K272" s="1690">
        <f>D272</f>
        <v>0</v>
      </c>
      <c r="L272" s="481"/>
    </row>
    <row r="273" spans="1:12" x14ac:dyDescent="0.2">
      <c r="A273" s="1522" t="s">
        <v>628</v>
      </c>
      <c r="B273" s="629">
        <v>2620</v>
      </c>
      <c r="C273" s="617"/>
      <c r="D273" s="466"/>
      <c r="E273" s="617"/>
      <c r="F273" s="617"/>
      <c r="G273" s="617"/>
      <c r="H273" s="617"/>
      <c r="I273" s="617"/>
      <c r="J273" s="617"/>
      <c r="K273" s="1690">
        <f>D273</f>
        <v>0</v>
      </c>
      <c r="L273" s="466"/>
    </row>
    <row r="274" spans="1:12" ht="12" customHeight="1" x14ac:dyDescent="0.2">
      <c r="A274" s="1522" t="s">
        <v>1121</v>
      </c>
      <c r="B274" s="615">
        <v>2630</v>
      </c>
      <c r="C274" s="617"/>
      <c r="D274" s="466"/>
      <c r="E274" s="617"/>
      <c r="F274" s="617"/>
      <c r="G274" s="617"/>
      <c r="H274" s="617"/>
      <c r="I274" s="617"/>
      <c r="J274" s="617"/>
      <c r="K274" s="1690">
        <f>D274</f>
        <v>0</v>
      </c>
      <c r="L274" s="466"/>
    </row>
    <row r="275" spans="1:12" x14ac:dyDescent="0.2">
      <c r="A275" s="1522" t="s">
        <v>423</v>
      </c>
      <c r="B275" s="615">
        <v>2640</v>
      </c>
      <c r="C275" s="617"/>
      <c r="D275" s="466">
        <f>12680+13861</f>
        <v>26541</v>
      </c>
      <c r="E275" s="617"/>
      <c r="F275" s="617"/>
      <c r="G275" s="617"/>
      <c r="H275" s="617"/>
      <c r="I275" s="617"/>
      <c r="J275" s="617"/>
      <c r="K275" s="1690">
        <f>D275</f>
        <v>26541</v>
      </c>
      <c r="L275" s="466">
        <v>26500</v>
      </c>
    </row>
    <row r="276" spans="1:12" x14ac:dyDescent="0.2">
      <c r="A276" s="1522" t="s">
        <v>424</v>
      </c>
      <c r="B276" s="615">
        <v>2660</v>
      </c>
      <c r="C276" s="617"/>
      <c r="D276" s="466">
        <f>4347+4552</f>
        <v>8899</v>
      </c>
      <c r="E276" s="617"/>
      <c r="F276" s="617"/>
      <c r="G276" s="617"/>
      <c r="H276" s="617"/>
      <c r="I276" s="617"/>
      <c r="J276" s="617"/>
      <c r="K276" s="1690">
        <f>D276</f>
        <v>8899</v>
      </c>
      <c r="L276" s="466">
        <v>8900</v>
      </c>
    </row>
    <row r="277" spans="1:12" ht="12.75" customHeight="1" thickBot="1" x14ac:dyDescent="0.25">
      <c r="A277" s="1709" t="s">
        <v>37</v>
      </c>
      <c r="B277" s="1687" t="s">
        <v>36</v>
      </c>
      <c r="C277" s="617"/>
      <c r="D277" s="1688">
        <f>SUM(D272:D276)</f>
        <v>35440</v>
      </c>
      <c r="E277" s="617"/>
      <c r="F277" s="617"/>
      <c r="G277" s="617"/>
      <c r="H277" s="617"/>
      <c r="I277" s="617"/>
      <c r="J277" s="617"/>
      <c r="K277" s="1688">
        <f>SUM(K272:K276)</f>
        <v>35440</v>
      </c>
      <c r="L277" s="1688">
        <f>SUM(L272:L276)</f>
        <v>35400</v>
      </c>
    </row>
    <row r="278" spans="1:12" ht="13.5" customHeight="1" thickTop="1" x14ac:dyDescent="0.2">
      <c r="A278" s="1528" t="s">
        <v>1037</v>
      </c>
      <c r="B278" s="656" t="s">
        <v>595</v>
      </c>
      <c r="C278" s="617"/>
      <c r="D278" s="657">
        <v>17169</v>
      </c>
      <c r="E278" s="617"/>
      <c r="F278" s="617"/>
      <c r="G278" s="617"/>
      <c r="H278" s="617"/>
      <c r="I278" s="617"/>
      <c r="J278" s="617"/>
      <c r="K278" s="1703">
        <f>D278</f>
        <v>17169</v>
      </c>
      <c r="L278" s="657">
        <v>17700</v>
      </c>
    </row>
    <row r="279" spans="1:12" ht="12.75" customHeight="1" thickBot="1" x14ac:dyDescent="0.25">
      <c r="A279" s="1716" t="s">
        <v>865</v>
      </c>
      <c r="B279" s="1699">
        <v>2000</v>
      </c>
      <c r="C279" s="617"/>
      <c r="D279" s="1695">
        <f>SUM(D238,D243,D257,D261,D270,D277,D278)</f>
        <v>177861</v>
      </c>
      <c r="E279" s="617"/>
      <c r="F279" s="617"/>
      <c r="G279" s="617"/>
      <c r="H279" s="617"/>
      <c r="I279" s="617"/>
      <c r="J279" s="617"/>
      <c r="K279" s="1695">
        <f>SUM(K238,K243,K257,K261,K270,K277,K278)</f>
        <v>177861</v>
      </c>
      <c r="L279" s="1695">
        <f>SUM(L238,L243,L257,L261,L270,L277,L278)</f>
        <v>178530</v>
      </c>
    </row>
    <row r="280" spans="1:12" ht="15.75" customHeight="1" thickTop="1" thickBot="1" x14ac:dyDescent="0.25">
      <c r="A280" s="1642" t="s">
        <v>930</v>
      </c>
      <c r="B280" s="1631">
        <v>3000</v>
      </c>
      <c r="C280" s="617"/>
      <c r="D280" s="576">
        <v>799</v>
      </c>
      <c r="E280" s="617"/>
      <c r="F280" s="617"/>
      <c r="G280" s="617"/>
      <c r="H280" s="617"/>
      <c r="I280" s="617"/>
      <c r="J280" s="617"/>
      <c r="K280" s="1697">
        <f>D280</f>
        <v>799</v>
      </c>
      <c r="L280" s="576">
        <v>889</v>
      </c>
    </row>
    <row r="281" spans="1:12" ht="15.75" customHeight="1" thickTop="1" x14ac:dyDescent="0.2">
      <c r="A281" s="1632" t="s">
        <v>144</v>
      </c>
      <c r="B281" s="1633" t="s">
        <v>915</v>
      </c>
      <c r="C281" s="617"/>
      <c r="D281" s="566"/>
      <c r="E281" s="617"/>
      <c r="F281" s="617"/>
      <c r="G281" s="617"/>
      <c r="H281" s="617"/>
      <c r="I281" s="617"/>
      <c r="J281" s="617"/>
      <c r="K281" s="617"/>
      <c r="L281" s="617"/>
    </row>
    <row r="282" spans="1:12" ht="15.75" customHeight="1" x14ac:dyDescent="0.2">
      <c r="A282" s="1849" t="s">
        <v>517</v>
      </c>
      <c r="B282" s="691" t="s">
        <v>1957</v>
      </c>
      <c r="C282" s="617"/>
      <c r="D282" s="467"/>
      <c r="E282" s="617"/>
      <c r="F282" s="617"/>
      <c r="G282" s="617"/>
      <c r="H282" s="617"/>
      <c r="I282" s="617"/>
      <c r="J282" s="617"/>
      <c r="K282" s="1689">
        <f>D282</f>
        <v>0</v>
      </c>
      <c r="L282" s="467"/>
    </row>
    <row r="283" spans="1:12" x14ac:dyDescent="0.2">
      <c r="A283" s="1522" t="s">
        <v>322</v>
      </c>
      <c r="B283" s="615">
        <v>4120</v>
      </c>
      <c r="C283" s="617"/>
      <c r="D283" s="466"/>
      <c r="E283" s="617"/>
      <c r="F283" s="617"/>
      <c r="G283" s="617"/>
      <c r="H283" s="617"/>
      <c r="I283" s="617"/>
      <c r="J283" s="617"/>
      <c r="K283" s="1689">
        <f>D283</f>
        <v>0</v>
      </c>
      <c r="L283" s="466"/>
    </row>
    <row r="284" spans="1:12" x14ac:dyDescent="0.2">
      <c r="A284" s="1522" t="s">
        <v>721</v>
      </c>
      <c r="B284" s="615">
        <v>4140</v>
      </c>
      <c r="C284" s="617"/>
      <c r="D284" s="467"/>
      <c r="E284" s="617"/>
      <c r="F284" s="617"/>
      <c r="G284" s="617"/>
      <c r="H284" s="617"/>
      <c r="I284" s="617"/>
      <c r="J284" s="617"/>
      <c r="K284" s="1689">
        <f>D284</f>
        <v>0</v>
      </c>
      <c r="L284" s="466"/>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0" t="s">
        <v>931</v>
      </c>
      <c r="B286" s="1627"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2" t="s">
        <v>89</v>
      </c>
      <c r="B288" s="615">
        <v>5110</v>
      </c>
      <c r="C288" s="617"/>
      <c r="D288" s="617"/>
      <c r="E288" s="617"/>
      <c r="F288" s="617"/>
      <c r="G288" s="617"/>
      <c r="H288" s="466"/>
      <c r="I288" s="617"/>
      <c r="J288" s="617"/>
      <c r="K288" s="1689">
        <f>H288</f>
        <v>0</v>
      </c>
      <c r="L288" s="466"/>
    </row>
    <row r="289" spans="1:14" x14ac:dyDescent="0.2">
      <c r="A289" s="1522" t="s">
        <v>90</v>
      </c>
      <c r="B289" s="615">
        <v>5120</v>
      </c>
      <c r="C289" s="617"/>
      <c r="D289" s="617"/>
      <c r="E289" s="617"/>
      <c r="F289" s="617"/>
      <c r="G289" s="617"/>
      <c r="H289" s="466"/>
      <c r="I289" s="617"/>
      <c r="J289" s="617"/>
      <c r="K289" s="1689">
        <f>H289</f>
        <v>0</v>
      </c>
      <c r="L289" s="466"/>
    </row>
    <row r="290" spans="1:14" ht="12.75" customHeight="1" x14ac:dyDescent="0.2">
      <c r="A290" s="1522" t="s">
        <v>1232</v>
      </c>
      <c r="B290" s="629" t="s">
        <v>638</v>
      </c>
      <c r="C290" s="617"/>
      <c r="D290" s="617"/>
      <c r="E290" s="617"/>
      <c r="F290" s="617"/>
      <c r="G290" s="617"/>
      <c r="H290" s="466"/>
      <c r="I290" s="617"/>
      <c r="J290" s="617"/>
      <c r="K290" s="1689">
        <f>H290</f>
        <v>0</v>
      </c>
      <c r="L290" s="466"/>
    </row>
    <row r="291" spans="1:14" x14ac:dyDescent="0.2">
      <c r="A291" s="1522" t="s">
        <v>91</v>
      </c>
      <c r="B291" s="615" t="s">
        <v>610</v>
      </c>
      <c r="C291" s="617"/>
      <c r="D291" s="617"/>
      <c r="E291" s="617"/>
      <c r="F291" s="617"/>
      <c r="G291" s="617"/>
      <c r="H291" s="466"/>
      <c r="I291" s="617"/>
      <c r="J291" s="617"/>
      <c r="K291" s="1689">
        <f>H291</f>
        <v>0</v>
      </c>
      <c r="L291" s="466"/>
    </row>
    <row r="292" spans="1:14" x14ac:dyDescent="0.2">
      <c r="A292" s="1522"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3" t="s">
        <v>932</v>
      </c>
      <c r="B294" s="1631"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88">
        <f>SUM(D229,D279,D280,D285)</f>
        <v>314831</v>
      </c>
      <c r="E295" s="617"/>
      <c r="F295" s="617"/>
      <c r="G295" s="617"/>
      <c r="H295" s="1688">
        <f>H293</f>
        <v>0</v>
      </c>
      <c r="I295" s="617"/>
      <c r="J295" s="617"/>
      <c r="K295" s="1688">
        <f>SUM(K229,K279,K280,K285,K293,K294)</f>
        <v>314831</v>
      </c>
      <c r="L295" s="1688">
        <f>SUM(L229,L279,L280,L285,L293,L294)</f>
        <v>318719</v>
      </c>
    </row>
    <row r="296" spans="1:14" ht="13.5" thickTop="1" x14ac:dyDescent="0.2">
      <c r="A296" s="2172" t="s">
        <v>1053</v>
      </c>
      <c r="B296" s="2173"/>
      <c r="C296" s="617"/>
      <c r="D296" s="619"/>
      <c r="E296" s="617"/>
      <c r="F296" s="617"/>
      <c r="G296" s="617"/>
      <c r="H296" s="688"/>
      <c r="I296" s="617"/>
      <c r="J296" s="617"/>
      <c r="K296" s="1702">
        <f>'Revenues 9-14'!G275-'Expenditures 15-22'!K295</f>
        <v>196993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69"/>
      <c r="D298" s="1570"/>
      <c r="E298" s="1570"/>
      <c r="F298" s="1570"/>
      <c r="G298" s="1570"/>
      <c r="H298" s="1570"/>
      <c r="I298" s="1570"/>
      <c r="J298" s="1570"/>
      <c r="K298" s="1570"/>
      <c r="L298" s="1571"/>
    </row>
    <row r="299" spans="1:14" ht="15.75" customHeight="1" x14ac:dyDescent="0.2">
      <c r="A299" s="1630" t="s">
        <v>146</v>
      </c>
      <c r="B299" s="1633"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5" t="s">
        <v>629</v>
      </c>
      <c r="B301" s="690">
        <v>2530</v>
      </c>
      <c r="C301" s="466"/>
      <c r="D301" s="466"/>
      <c r="E301" s="466"/>
      <c r="F301" s="466"/>
      <c r="G301" s="466"/>
      <c r="H301" s="466"/>
      <c r="I301" s="467"/>
      <c r="J301" s="467"/>
      <c r="K301" s="1689">
        <f>SUM(C301:J301)</f>
        <v>0</v>
      </c>
      <c r="L301" s="467"/>
    </row>
    <row r="302" spans="1:14" ht="13.5" customHeight="1" x14ac:dyDescent="0.2">
      <c r="A302" s="1535"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0" t="s">
        <v>147</v>
      </c>
      <c r="B304" s="1631"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6" t="s">
        <v>1962</v>
      </c>
      <c r="B306" s="691" t="s">
        <v>1957</v>
      </c>
      <c r="C306" s="617"/>
      <c r="D306" s="617"/>
      <c r="E306" s="467"/>
      <c r="F306" s="617"/>
      <c r="G306" s="617"/>
      <c r="H306" s="467"/>
      <c r="I306" s="617"/>
      <c r="J306" s="617"/>
      <c r="K306" s="1689">
        <f>SUM(E306,H306)</f>
        <v>0</v>
      </c>
      <c r="L306" s="467"/>
    </row>
    <row r="307" spans="1:14" x14ac:dyDescent="0.2">
      <c r="A307" s="1522" t="s">
        <v>322</v>
      </c>
      <c r="B307" s="615">
        <v>4120</v>
      </c>
      <c r="C307" s="617"/>
      <c r="D307" s="617"/>
      <c r="E307" s="467"/>
      <c r="F307" s="617"/>
      <c r="G307" s="617"/>
      <c r="H307" s="467"/>
      <c r="I307" s="477"/>
      <c r="J307" s="617"/>
      <c r="K307" s="1689">
        <f>SUM(E307,H307)</f>
        <v>0</v>
      </c>
      <c r="L307" s="466"/>
    </row>
    <row r="308" spans="1:14" x14ac:dyDescent="0.2">
      <c r="A308" s="1522" t="s">
        <v>721</v>
      </c>
      <c r="B308" s="615">
        <v>4140</v>
      </c>
      <c r="C308" s="617"/>
      <c r="D308" s="617"/>
      <c r="E308" s="467"/>
      <c r="F308" s="617"/>
      <c r="G308" s="617"/>
      <c r="H308" s="467"/>
      <c r="I308" s="477"/>
      <c r="J308" s="617"/>
      <c r="K308" s="1689">
        <f>SUM(E308,H308)</f>
        <v>0</v>
      </c>
      <c r="L308" s="466"/>
    </row>
    <row r="309" spans="1:14" ht="12.75" customHeight="1" x14ac:dyDescent="0.2">
      <c r="A309" s="1526" t="s">
        <v>722</v>
      </c>
      <c r="B309" s="629">
        <v>4190</v>
      </c>
      <c r="C309" s="617"/>
      <c r="D309" s="617"/>
      <c r="E309" s="467"/>
      <c r="F309" s="617"/>
      <c r="G309" s="617"/>
      <c r="H309" s="467"/>
      <c r="I309" s="477"/>
      <c r="J309" s="617"/>
      <c r="K309" s="1689">
        <f>SUM(E309,H309)</f>
        <v>0</v>
      </c>
      <c r="L309" s="466"/>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7" t="s">
        <v>951</v>
      </c>
      <c r="B311" s="1629"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83" t="s">
        <v>1053</v>
      </c>
      <c r="B313" s="2184"/>
      <c r="C313" s="627"/>
      <c r="D313" s="627"/>
      <c r="E313" s="627"/>
      <c r="F313" s="627"/>
      <c r="G313" s="627"/>
      <c r="H313" s="627"/>
      <c r="I313" s="627"/>
      <c r="J313" s="627"/>
      <c r="K313" s="1703">
        <f>'Revenues 9-14'!H275-'Expenditures 15-22'!K312</f>
        <v>196582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4"/>
      <c r="D315" s="1575"/>
      <c r="E315" s="1575"/>
      <c r="F315" s="1575"/>
      <c r="G315" s="1575"/>
      <c r="H315" s="1575"/>
      <c r="I315" s="1575"/>
      <c r="J315" s="1575"/>
      <c r="K315" s="1575"/>
      <c r="L315" s="157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4"/>
      <c r="D317" s="1575"/>
      <c r="E317" s="1575"/>
      <c r="F317" s="1575"/>
      <c r="G317" s="1575"/>
      <c r="H317" s="1575"/>
      <c r="I317" s="1575"/>
      <c r="J317" s="1575"/>
      <c r="K317" s="1575"/>
      <c r="L317" s="1576"/>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7"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1" t="s">
        <v>1908</v>
      </c>
      <c r="B320" s="699" t="s">
        <v>300</v>
      </c>
      <c r="C320" s="467"/>
      <c r="D320" s="467"/>
      <c r="E320" s="467"/>
      <c r="F320" s="467"/>
      <c r="G320" s="467"/>
      <c r="H320" s="467"/>
      <c r="I320" s="467"/>
      <c r="J320" s="467"/>
      <c r="K320" s="1689">
        <f t="shared" ref="K320:K327" si="24">SUM(C320:J320)</f>
        <v>0</v>
      </c>
      <c r="L320" s="467"/>
      <c r="M320" s="666"/>
      <c r="N320" s="666"/>
    </row>
    <row r="321" spans="1:14" s="675" customFormat="1" x14ac:dyDescent="0.2">
      <c r="A321" s="1537" t="s">
        <v>318</v>
      </c>
      <c r="B321" s="698" t="s">
        <v>301</v>
      </c>
      <c r="C321" s="467"/>
      <c r="D321" s="467"/>
      <c r="E321" s="467">
        <v>44676</v>
      </c>
      <c r="F321" s="467"/>
      <c r="G321" s="467"/>
      <c r="H321" s="467"/>
      <c r="I321" s="467"/>
      <c r="J321" s="467"/>
      <c r="K321" s="1689">
        <f t="shared" si="24"/>
        <v>44676</v>
      </c>
      <c r="L321" s="467">
        <v>105000</v>
      </c>
      <c r="M321" s="666"/>
      <c r="N321" s="666"/>
    </row>
    <row r="322" spans="1:14" s="675" customFormat="1" x14ac:dyDescent="0.2">
      <c r="A322" s="1537" t="s">
        <v>256</v>
      </c>
      <c r="B322" s="698" t="s">
        <v>302</v>
      </c>
      <c r="C322" s="467"/>
      <c r="D322" s="467"/>
      <c r="E322" s="467">
        <v>72589</v>
      </c>
      <c r="F322" s="467"/>
      <c r="G322" s="467"/>
      <c r="H322" s="467"/>
      <c r="I322" s="467"/>
      <c r="J322" s="467"/>
      <c r="K322" s="1689">
        <f t="shared" si="24"/>
        <v>72589</v>
      </c>
      <c r="L322" s="467">
        <v>85000</v>
      </c>
      <c r="M322" s="666"/>
      <c r="N322" s="666"/>
    </row>
    <row r="323" spans="1:14" s="675" customFormat="1" x14ac:dyDescent="0.2">
      <c r="A323" s="1537" t="s">
        <v>726</v>
      </c>
      <c r="B323" s="698" t="s">
        <v>303</v>
      </c>
      <c r="C323" s="467"/>
      <c r="D323" s="467"/>
      <c r="E323" s="467">
        <v>31617</v>
      </c>
      <c r="F323" s="467"/>
      <c r="G323" s="467"/>
      <c r="H323" s="467"/>
      <c r="I323" s="467"/>
      <c r="J323" s="467"/>
      <c r="K323" s="1689">
        <f t="shared" si="24"/>
        <v>31617</v>
      </c>
      <c r="L323" s="467">
        <v>50000</v>
      </c>
      <c r="M323" s="666"/>
      <c r="N323" s="666"/>
    </row>
    <row r="324" spans="1:14" s="675" customFormat="1" x14ac:dyDescent="0.2">
      <c r="A324" s="1537"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37" t="s">
        <v>1087</v>
      </c>
      <c r="B325" s="699" t="s">
        <v>305</v>
      </c>
      <c r="C325" s="467"/>
      <c r="D325" s="467"/>
      <c r="E325" s="467"/>
      <c r="F325" s="467"/>
      <c r="G325" s="467"/>
      <c r="H325" s="467"/>
      <c r="I325" s="467"/>
      <c r="J325" s="467"/>
      <c r="K325" s="1689">
        <f t="shared" si="24"/>
        <v>0</v>
      </c>
      <c r="L325" s="467"/>
      <c r="M325" s="666"/>
      <c r="N325" s="666"/>
    </row>
    <row r="326" spans="1:14" s="675" customFormat="1" x14ac:dyDescent="0.2">
      <c r="A326" s="1537" t="s">
        <v>1088</v>
      </c>
      <c r="B326" s="698" t="s">
        <v>306</v>
      </c>
      <c r="C326" s="467"/>
      <c r="D326" s="467"/>
      <c r="E326" s="467"/>
      <c r="F326" s="467"/>
      <c r="G326" s="467"/>
      <c r="H326" s="467"/>
      <c r="I326" s="467"/>
      <c r="J326" s="467"/>
      <c r="K326" s="1689">
        <f t="shared" si="24"/>
        <v>0</v>
      </c>
      <c r="L326" s="467"/>
      <c r="M326" s="666"/>
      <c r="N326" s="666"/>
    </row>
    <row r="327" spans="1:14" s="675" customFormat="1" x14ac:dyDescent="0.2">
      <c r="A327" s="1537" t="s">
        <v>1028</v>
      </c>
      <c r="B327" s="698" t="s">
        <v>307</v>
      </c>
      <c r="C327" s="467"/>
      <c r="D327" s="467"/>
      <c r="E327" s="467">
        <v>167701</v>
      </c>
      <c r="F327" s="467"/>
      <c r="G327" s="467"/>
      <c r="H327" s="467"/>
      <c r="I327" s="467"/>
      <c r="J327" s="467"/>
      <c r="K327" s="1689">
        <f t="shared" si="24"/>
        <v>167701</v>
      </c>
      <c r="L327" s="467">
        <v>190000</v>
      </c>
      <c r="M327" s="666"/>
      <c r="N327" s="666"/>
    </row>
    <row r="328" spans="1:14" s="675" customFormat="1" x14ac:dyDescent="0.2">
      <c r="A328" s="1538"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38"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0</v>
      </c>
      <c r="D330" s="1688">
        <f t="shared" ref="D330:J330" si="25">SUM(D319:D329)</f>
        <v>0</v>
      </c>
      <c r="E330" s="1688">
        <f t="shared" si="25"/>
        <v>316583</v>
      </c>
      <c r="F330" s="1688">
        <f t="shared" si="25"/>
        <v>0</v>
      </c>
      <c r="G330" s="1688">
        <f t="shared" si="25"/>
        <v>0</v>
      </c>
      <c r="H330" s="1688">
        <f t="shared" si="25"/>
        <v>0</v>
      </c>
      <c r="I330" s="1688">
        <f t="shared" si="25"/>
        <v>0</v>
      </c>
      <c r="J330" s="1688">
        <f t="shared" si="25"/>
        <v>0</v>
      </c>
      <c r="K330" s="1688">
        <f>SUM(K319:K329)</f>
        <v>316583</v>
      </c>
      <c r="L330" s="1688">
        <f>SUM(L319:L329)</f>
        <v>430000</v>
      </c>
      <c r="M330" s="666"/>
      <c r="N330" s="666"/>
    </row>
    <row r="331" spans="1:14" s="675" customFormat="1" ht="12.75" customHeight="1" thickTop="1" x14ac:dyDescent="0.2">
      <c r="A331" s="1850" t="s">
        <v>1963</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1957</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1959</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4" t="s">
        <v>955</v>
      </c>
      <c r="B335" s="1625"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6" t="s">
        <v>89</v>
      </c>
      <c r="B337" s="691" t="s">
        <v>956</v>
      </c>
      <c r="C337" s="639"/>
      <c r="D337" s="639"/>
      <c r="E337" s="639"/>
      <c r="F337" s="639"/>
      <c r="G337" s="639"/>
      <c r="H337" s="478"/>
      <c r="I337" s="639"/>
      <c r="J337" s="639"/>
      <c r="K337" s="1689">
        <f>H337</f>
        <v>0</v>
      </c>
      <c r="L337" s="478"/>
    </row>
    <row r="338" spans="1:14" ht="12.75" customHeight="1" x14ac:dyDescent="0.2">
      <c r="A338" s="1536" t="s">
        <v>1232</v>
      </c>
      <c r="B338" s="691" t="s">
        <v>638</v>
      </c>
      <c r="C338" s="639"/>
      <c r="D338" s="639"/>
      <c r="E338" s="639"/>
      <c r="F338" s="639"/>
      <c r="G338" s="639"/>
      <c r="H338" s="478"/>
      <c r="I338" s="639"/>
      <c r="J338" s="639"/>
      <c r="K338" s="1689">
        <f>H338</f>
        <v>0</v>
      </c>
      <c r="L338" s="478"/>
    </row>
    <row r="339" spans="1:14" x14ac:dyDescent="0.2">
      <c r="A339" s="1522"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7" t="s">
        <v>959</v>
      </c>
      <c r="B341" s="1629"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0</v>
      </c>
      <c r="D342" s="1688">
        <f>SUM(D330)</f>
        <v>0</v>
      </c>
      <c r="E342" s="1688">
        <f>SUM(E330)</f>
        <v>316583</v>
      </c>
      <c r="F342" s="1688">
        <f>SUM(F330)</f>
        <v>0</v>
      </c>
      <c r="G342" s="1688">
        <f>SUM(G330)</f>
        <v>0</v>
      </c>
      <c r="H342" s="1688">
        <f>SUM(H330,H334,H340)</f>
        <v>0</v>
      </c>
      <c r="I342" s="1688">
        <f>SUM(I330)</f>
        <v>0</v>
      </c>
      <c r="J342" s="1688">
        <f>SUM(J330)</f>
        <v>0</v>
      </c>
      <c r="K342" s="1688">
        <f>SUM(K330,K334,K340)</f>
        <v>316583</v>
      </c>
      <c r="L342" s="1695">
        <f>SUM(L330,L340,L341)</f>
        <v>430000</v>
      </c>
    </row>
    <row r="343" spans="1:14" ht="12.75" customHeight="1" thickTop="1" x14ac:dyDescent="0.2">
      <c r="A343" s="2185" t="s">
        <v>1053</v>
      </c>
      <c r="B343" s="2186"/>
      <c r="C343" s="617"/>
      <c r="D343" s="617"/>
      <c r="E343" s="617"/>
      <c r="F343" s="617"/>
      <c r="G343" s="617"/>
      <c r="H343" s="617"/>
      <c r="I343" s="617"/>
      <c r="J343" s="617"/>
      <c r="K343" s="1702">
        <f>'Revenues 9-14'!J275-'Expenditures 15-22'!K342</f>
        <v>434955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69"/>
      <c r="D345" s="1570"/>
      <c r="E345" s="1570"/>
      <c r="F345" s="1570"/>
      <c r="G345" s="1570"/>
      <c r="H345" s="1570"/>
      <c r="I345" s="1570"/>
      <c r="J345" s="1570"/>
      <c r="K345" s="1570"/>
      <c r="L345" s="1571"/>
      <c r="M345" s="668"/>
      <c r="N345" s="668"/>
    </row>
    <row r="346" spans="1:14" s="343" customFormat="1" ht="15.75" customHeight="1" x14ac:dyDescent="0.2">
      <c r="A346" s="1641" t="s">
        <v>899</v>
      </c>
      <c r="B346" s="1633"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2" t="s">
        <v>4</v>
      </c>
      <c r="B348" s="615">
        <v>2530</v>
      </c>
      <c r="C348" s="466"/>
      <c r="D348" s="466"/>
      <c r="E348" s="466"/>
      <c r="F348" s="466"/>
      <c r="G348" s="466"/>
      <c r="H348" s="466"/>
      <c r="I348" s="467"/>
      <c r="J348" s="467"/>
      <c r="K348" s="1689">
        <f>SUM(C348:J348)</f>
        <v>0</v>
      </c>
      <c r="L348" s="466"/>
    </row>
    <row r="349" spans="1:14" x14ac:dyDescent="0.2">
      <c r="A349" s="1522" t="s">
        <v>206</v>
      </c>
      <c r="B349" s="615">
        <v>2540</v>
      </c>
      <c r="C349" s="466"/>
      <c r="D349" s="466"/>
      <c r="E349" s="466">
        <f>640+17160</f>
        <v>17800</v>
      </c>
      <c r="F349" s="466">
        <v>0</v>
      </c>
      <c r="G349" s="466"/>
      <c r="H349" s="466"/>
      <c r="I349" s="467"/>
      <c r="J349" s="467"/>
      <c r="K349" s="1689">
        <f>SUM(C349:J349)</f>
        <v>17800</v>
      </c>
      <c r="L349" s="466">
        <v>25000</v>
      </c>
    </row>
    <row r="350" spans="1:14" ht="12.75" customHeight="1" thickBot="1" x14ac:dyDescent="0.25">
      <c r="A350" s="1686" t="s">
        <v>743</v>
      </c>
      <c r="B350" s="1687" t="s">
        <v>35</v>
      </c>
      <c r="C350" s="1688">
        <f>SUM(C348:C349)</f>
        <v>0</v>
      </c>
      <c r="D350" s="1688">
        <f t="shared" ref="D350:L350" si="26">SUM(D348:D349)</f>
        <v>0</v>
      </c>
      <c r="E350" s="1688">
        <f t="shared" si="26"/>
        <v>17800</v>
      </c>
      <c r="F350" s="1688">
        <f t="shared" si="26"/>
        <v>0</v>
      </c>
      <c r="G350" s="1688">
        <f t="shared" si="26"/>
        <v>0</v>
      </c>
      <c r="H350" s="1688">
        <f t="shared" si="26"/>
        <v>0</v>
      </c>
      <c r="I350" s="1688">
        <f t="shared" si="26"/>
        <v>0</v>
      </c>
      <c r="J350" s="1688">
        <f t="shared" si="26"/>
        <v>0</v>
      </c>
      <c r="K350" s="1688">
        <f t="shared" si="26"/>
        <v>17800</v>
      </c>
      <c r="L350" s="1688">
        <f t="shared" si="26"/>
        <v>25000</v>
      </c>
    </row>
    <row r="351" spans="1:14" ht="12.75" customHeight="1" thickTop="1" x14ac:dyDescent="0.2">
      <c r="A351" s="1528"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17800</v>
      </c>
      <c r="F352" s="1688">
        <f t="shared" si="27"/>
        <v>0</v>
      </c>
      <c r="G352" s="1688">
        <f t="shared" si="27"/>
        <v>0</v>
      </c>
      <c r="H352" s="1688">
        <f t="shared" si="27"/>
        <v>0</v>
      </c>
      <c r="I352" s="1688">
        <f t="shared" si="27"/>
        <v>0</v>
      </c>
      <c r="J352" s="1688">
        <f t="shared" si="27"/>
        <v>0</v>
      </c>
      <c r="K352" s="1688">
        <f t="shared" si="27"/>
        <v>17800</v>
      </c>
      <c r="L352" s="1688">
        <f t="shared" si="27"/>
        <v>25000</v>
      </c>
    </row>
    <row r="353" spans="1:14" s="343" customFormat="1" ht="15.75" customHeight="1" thickTop="1" x14ac:dyDescent="0.2">
      <c r="A353" s="1630" t="s">
        <v>646</v>
      </c>
      <c r="B353" s="1627" t="s">
        <v>915</v>
      </c>
      <c r="C353" s="617"/>
      <c r="D353" s="617"/>
      <c r="E353" s="617"/>
      <c r="F353" s="617"/>
      <c r="G353" s="617"/>
      <c r="H353" s="617"/>
      <c r="I353" s="617"/>
      <c r="J353" s="617"/>
      <c r="K353" s="617"/>
      <c r="L353" s="617"/>
      <c r="M353" s="610"/>
      <c r="N353" s="610"/>
    </row>
    <row r="354" spans="1:14" x14ac:dyDescent="0.2">
      <c r="A354" s="1853" t="s">
        <v>1965</v>
      </c>
      <c r="B354" s="684" t="s">
        <v>1957</v>
      </c>
      <c r="C354" s="617"/>
      <c r="D354" s="617"/>
      <c r="E354" s="617"/>
      <c r="F354" s="617"/>
      <c r="G354" s="617"/>
      <c r="H354" s="474"/>
      <c r="I354" s="702"/>
      <c r="J354" s="617"/>
      <c r="K354" s="1717">
        <f>H354</f>
        <v>0</v>
      </c>
      <c r="L354" s="471"/>
    </row>
    <row r="355" spans="1:14" ht="12.75" customHeight="1" x14ac:dyDescent="0.2">
      <c r="A355" s="1531" t="s">
        <v>1966</v>
      </c>
      <c r="B355" s="691" t="s">
        <v>1959</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0" t="s">
        <v>1005</v>
      </c>
      <c r="B358" s="1627"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2" t="s">
        <v>89</v>
      </c>
      <c r="B360" s="615">
        <v>5110</v>
      </c>
      <c r="C360" s="617"/>
      <c r="D360" s="617"/>
      <c r="E360" s="617"/>
      <c r="F360" s="617"/>
      <c r="G360" s="617"/>
      <c r="H360" s="467"/>
      <c r="I360" s="617"/>
      <c r="J360" s="617"/>
      <c r="K360" s="1689">
        <f>SUM(C360:J360)</f>
        <v>0</v>
      </c>
      <c r="L360" s="466"/>
    </row>
    <row r="361" spans="1:14" ht="12.75" customHeight="1" x14ac:dyDescent="0.2">
      <c r="A361" s="1523"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row>
    <row r="365" spans="1:14" s="675" customFormat="1" ht="12.75" customHeight="1" thickBot="1" x14ac:dyDescent="0.25">
      <c r="A365" s="1539"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4" t="s">
        <v>1006</v>
      </c>
      <c r="B366" s="1631"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17800</v>
      </c>
      <c r="F367" s="1688">
        <f t="shared" si="28"/>
        <v>0</v>
      </c>
      <c r="G367" s="1688">
        <f t="shared" si="28"/>
        <v>0</v>
      </c>
      <c r="H367" s="1688">
        <f t="shared" si="28"/>
        <v>0</v>
      </c>
      <c r="I367" s="1688">
        <f t="shared" si="28"/>
        <v>0</v>
      </c>
      <c r="J367" s="1688">
        <f t="shared" si="28"/>
        <v>0</v>
      </c>
      <c r="K367" s="1688">
        <f t="shared" si="28"/>
        <v>17800</v>
      </c>
      <c r="L367" s="1688">
        <f t="shared" si="28"/>
        <v>25000</v>
      </c>
    </row>
    <row r="368" spans="1:14" ht="13.5" thickTop="1" x14ac:dyDescent="0.2">
      <c r="A368" s="2172" t="s">
        <v>1053</v>
      </c>
      <c r="B368" s="2173"/>
      <c r="C368" s="655"/>
      <c r="D368" s="655"/>
      <c r="E368" s="627"/>
      <c r="F368" s="627"/>
      <c r="G368" s="627"/>
      <c r="H368" s="627"/>
      <c r="I368" s="627"/>
      <c r="J368" s="624"/>
      <c r="K368" s="1689">
        <f>'Revenues 9-14'!K275-'Expenditures 15-22'!K367</f>
        <v>11761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microsoft.com/office/infopath/2007/PartnerControls"/>
    <ds:schemaRef ds:uri="http://schemas.microsoft.com/sharepoint/v3"/>
    <ds:schemaRef ds:uri="http://schemas.openxmlformats.org/package/2006/metadata/core-properties"/>
    <ds:schemaRef ds:uri="http://schemas.microsoft.com/office/2006/documentManagement/types"/>
    <ds:schemaRef ds:uri="4d435f69-8686-490b-bd6d-b153bf22ab50"/>
    <ds:schemaRef ds:uri="http://purl.org/dc/dcmitype/"/>
    <ds:schemaRef ds:uri="d21dc803-237d-4c68-8692-8d731fd29118"/>
    <ds:schemaRef ds:uri="http://purl.org/dc/terms/"/>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2018-12-12T17:15:03Z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03A</vt:lpwstr>
  </property>
</Properties>
</file>