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65" windowWidth="28845" windowHeight="646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32" i="8" l="1"/>
  <c r="H79" i="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6833" i="106" s="1"/>
  <c r="D6833" i="106" s="1"/>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J77" i="4" s="1"/>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c r="B6309" i="106"/>
  <c r="D6309" i="106" s="1"/>
  <c r="B6310" i="106"/>
  <c r="D6310" i="106" s="1"/>
  <c r="B6311" i="106"/>
  <c r="D6311" i="106" s="1"/>
  <c r="B6312" i="106"/>
  <c r="D6312" i="106" s="1"/>
  <c r="B6313" i="106"/>
  <c r="D6313" i="106" s="1"/>
  <c r="B6314" i="106"/>
  <c r="D6314" i="106"/>
  <c r="B6315" i="106"/>
  <c r="D6315" i="106" s="1"/>
  <c r="B6316" i="106"/>
  <c r="D6316" i="106" s="1"/>
  <c r="B6317" i="106"/>
  <c r="D6317" i="106" s="1"/>
  <c r="B6319" i="106"/>
  <c r="D6319" i="106"/>
  <c r="B6320" i="106"/>
  <c r="D6320" i="106" s="1"/>
  <c r="B6321" i="106"/>
  <c r="D6321" i="106" s="1"/>
  <c r="B6322" i="106"/>
  <c r="D6322" i="106" s="1"/>
  <c r="B6323" i="106"/>
  <c r="D6323" i="106" s="1"/>
  <c r="B6324" i="106"/>
  <c r="D6324" i="106" s="1"/>
  <c r="B6325" i="106"/>
  <c r="D6325" i="106"/>
  <c r="B6326" i="106"/>
  <c r="D6326" i="106" s="1"/>
  <c r="B6327" i="106"/>
  <c r="D6327" i="106" s="1"/>
  <c r="B6328" i="106"/>
  <c r="D6328" i="106" s="1"/>
  <c r="B6329" i="106"/>
  <c r="D6329" i="106" s="1"/>
  <c r="B6330" i="106"/>
  <c r="D6330" i="106" s="1"/>
  <c r="B6331" i="106"/>
  <c r="D6331" i="106"/>
  <c r="B6332" i="106"/>
  <c r="D6332" i="106" s="1"/>
  <c r="B6333" i="106"/>
  <c r="D6333" i="106" s="1"/>
  <c r="B6334" i="106"/>
  <c r="D6334" i="106" s="1"/>
  <c r="B6335" i="106"/>
  <c r="D6335" i="106"/>
  <c r="B6336" i="106"/>
  <c r="D6336" i="106" s="1"/>
  <c r="B6337" i="106"/>
  <c r="D6337" i="106" s="1"/>
  <c r="B6338" i="106"/>
  <c r="D6338" i="106" s="1"/>
  <c r="B6339" i="106"/>
  <c r="D6339" i="106" s="1"/>
  <c r="B6340" i="106"/>
  <c r="D6340" i="106" s="1"/>
  <c r="B6341" i="106"/>
  <c r="D6341" i="106"/>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c r="B6354" i="106"/>
  <c r="D6354" i="106" s="1"/>
  <c r="B6355" i="106"/>
  <c r="D6355" i="106" s="1"/>
  <c r="B6356" i="106"/>
  <c r="D6356" i="106" s="1"/>
  <c r="B6358" i="106"/>
  <c r="D6358" i="106" s="1"/>
  <c r="B6359" i="106"/>
  <c r="D6359" i="106" s="1"/>
  <c r="B6360" i="106"/>
  <c r="D6360" i="106"/>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c r="B6371" i="106"/>
  <c r="D6371" i="106" s="1"/>
  <c r="B6372" i="106"/>
  <c r="D6372" i="106" s="1"/>
  <c r="B6373" i="106"/>
  <c r="D6373" i="106"/>
  <c r="B6374" i="106"/>
  <c r="D6374" i="106" s="1"/>
  <c r="B6375" i="106"/>
  <c r="D6375" i="106" s="1"/>
  <c r="B6376" i="106"/>
  <c r="D6376" i="106" s="1"/>
  <c r="B6377" i="106"/>
  <c r="D6377" i="106"/>
  <c r="B6378" i="106"/>
  <c r="D6378" i="106" s="1"/>
  <c r="B6379" i="106"/>
  <c r="D6379" i="106" s="1"/>
  <c r="B6380" i="106"/>
  <c r="D6380" i="106" s="1"/>
  <c r="B6381" i="106"/>
  <c r="D6381" i="106"/>
  <c r="B6382" i="106"/>
  <c r="D6382" i="106" s="1"/>
  <c r="B6383" i="106"/>
  <c r="D6383" i="106" s="1"/>
  <c r="B6384" i="106"/>
  <c r="D6384" i="106" s="1"/>
  <c r="B6385" i="106"/>
  <c r="D6385" i="106"/>
  <c r="B6386" i="106"/>
  <c r="D6386" i="106" s="1"/>
  <c r="B6387" i="106"/>
  <c r="D6387" i="106" s="1"/>
  <c r="B6388" i="106"/>
  <c r="D6388" i="106" s="1"/>
  <c r="B6389" i="106"/>
  <c r="D6389" i="106"/>
  <c r="B6390" i="106"/>
  <c r="D6390" i="106" s="1"/>
  <c r="B6391" i="106"/>
  <c r="D6391" i="106" s="1"/>
  <c r="B6392" i="106"/>
  <c r="D6392" i="106" s="1"/>
  <c r="B6393" i="106"/>
  <c r="D6393" i="106"/>
  <c r="B6394" i="106"/>
  <c r="D6394" i="106" s="1"/>
  <c r="B6395" i="106"/>
  <c r="D6395" i="106" s="1"/>
  <c r="B6398" i="106"/>
  <c r="D6398" i="106" s="1"/>
  <c r="B6399" i="106"/>
  <c r="D6399" i="106"/>
  <c r="B6401" i="106"/>
  <c r="D6401" i="106" s="1"/>
  <c r="B6402" i="106"/>
  <c r="D6402" i="106" s="1"/>
  <c r="B6403" i="106"/>
  <c r="D6403" i="106" s="1"/>
  <c r="B6404" i="106"/>
  <c r="D6404" i="106"/>
  <c r="B6405" i="106"/>
  <c r="D6405" i="106" s="1"/>
  <c r="B6406" i="106"/>
  <c r="D6406" i="106" s="1"/>
  <c r="B6407" i="106"/>
  <c r="D6407" i="106" s="1"/>
  <c r="B6408" i="106"/>
  <c r="D6408" i="106"/>
  <c r="B6410" i="106"/>
  <c r="D6410" i="106" s="1"/>
  <c r="B6411" i="106"/>
  <c r="D6411" i="106" s="1"/>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c r="B6629" i="106"/>
  <c r="D6629" i="106" s="1"/>
  <c r="B6630" i="106"/>
  <c r="D6630" i="106" s="1"/>
  <c r="B6631" i="106"/>
  <c r="D6631" i="106" s="1"/>
  <c r="B6632" i="106"/>
  <c r="D6632" i="106"/>
  <c r="B6633" i="106"/>
  <c r="D6633" i="106" s="1"/>
  <c r="B6634" i="106"/>
  <c r="D6634" i="106" s="1"/>
  <c r="B6635" i="106"/>
  <c r="D6635" i="106" s="1"/>
  <c r="B6636" i="106"/>
  <c r="D6636" i="106"/>
  <c r="B6637" i="106"/>
  <c r="D6637" i="106" s="1"/>
  <c r="B6638" i="106"/>
  <c r="D6638" i="106" s="1"/>
  <c r="B6639" i="106"/>
  <c r="D6639" i="106" s="1"/>
  <c r="B6640" i="106"/>
  <c r="D6640" i="106"/>
  <c r="B6641" i="106"/>
  <c r="D6641" i="106" s="1"/>
  <c r="B6642" i="106"/>
  <c r="D6642" i="106" s="1"/>
  <c r="B6643" i="106"/>
  <c r="D6643" i="106" s="1"/>
  <c r="B6644" i="106"/>
  <c r="D6644" i="106"/>
  <c r="B6645" i="106"/>
  <c r="D6645" i="106" s="1"/>
  <c r="B6646" i="106"/>
  <c r="D6646" i="106" s="1"/>
  <c r="B6647" i="106"/>
  <c r="D6647" i="106" s="1"/>
  <c r="B6648" i="106"/>
  <c r="D6648" i="106"/>
  <c r="B6649" i="106"/>
  <c r="D6649" i="106" s="1"/>
  <c r="B6650" i="106"/>
  <c r="D6650" i="106" s="1"/>
  <c r="B6651" i="106"/>
  <c r="D6651" i="106" s="1"/>
  <c r="B6652" i="106"/>
  <c r="D6652" i="106"/>
  <c r="B6653" i="106"/>
  <c r="D6653" i="106" s="1"/>
  <c r="B6654" i="106"/>
  <c r="D6654" i="106" s="1"/>
  <c r="B6655" i="106"/>
  <c r="D6655" i="106" s="1"/>
  <c r="B6656" i="106"/>
  <c r="D6656" i="106"/>
  <c r="B6657" i="106"/>
  <c r="D6657" i="106" s="1"/>
  <c r="B6658" i="106"/>
  <c r="D6658" i="106" s="1"/>
  <c r="B6659" i="106"/>
  <c r="D6659" i="106" s="1"/>
  <c r="B6660" i="106"/>
  <c r="D6660" i="106"/>
  <c r="B6661" i="106"/>
  <c r="D6661" i="106" s="1"/>
  <c r="B6662" i="106"/>
  <c r="D6662" i="106" s="1"/>
  <c r="B6663" i="106"/>
  <c r="D6663" i="106" s="1"/>
  <c r="B6664" i="106"/>
  <c r="D6664" i="106"/>
  <c r="B6665" i="106"/>
  <c r="D6665" i="106" s="1"/>
  <c r="B6666" i="106"/>
  <c r="D6666" i="106" s="1"/>
  <c r="B6667" i="106"/>
  <c r="D6667" i="106" s="1"/>
  <c r="B6668" i="106"/>
  <c r="D6668" i="106"/>
  <c r="B6669" i="106"/>
  <c r="D6669" i="106" s="1"/>
  <c r="B6670" i="106"/>
  <c r="D6670" i="106" s="1"/>
  <c r="B6671" i="106"/>
  <c r="D6671" i="106" s="1"/>
  <c r="B6672" i="106"/>
  <c r="D6672" i="106"/>
  <c r="B6673" i="106"/>
  <c r="D6673" i="106" s="1"/>
  <c r="B6674" i="106"/>
  <c r="D6674" i="106" s="1"/>
  <c r="B6675" i="106"/>
  <c r="D6675" i="106" s="1"/>
  <c r="B6676" i="106"/>
  <c r="D6676" i="106"/>
  <c r="B6677" i="106"/>
  <c r="D6677" i="106" s="1"/>
  <c r="B6678" i="106"/>
  <c r="D6678" i="106" s="1"/>
  <c r="B6679" i="106"/>
  <c r="D6679" i="106" s="1"/>
  <c r="B6680" i="106"/>
  <c r="D6680" i="106"/>
  <c r="B6681" i="106"/>
  <c r="D6681" i="106" s="1"/>
  <c r="B6682" i="106"/>
  <c r="D6682" i="106" s="1"/>
  <c r="B6683" i="106"/>
  <c r="D6683" i="106" s="1"/>
  <c r="B6684" i="106"/>
  <c r="D6684" i="106"/>
  <c r="B6685" i="106"/>
  <c r="D6685" i="106" s="1"/>
  <c r="B6686" i="106"/>
  <c r="D6686" i="106" s="1"/>
  <c r="B6687" i="106"/>
  <c r="D6687" i="106" s="1"/>
  <c r="B6688" i="106"/>
  <c r="D6688" i="106"/>
  <c r="B6689" i="106"/>
  <c r="D6689" i="106" s="1"/>
  <c r="B6690" i="106"/>
  <c r="D6690" i="106" s="1"/>
  <c r="B6691" i="106"/>
  <c r="D6691" i="106" s="1"/>
  <c r="B6692" i="106"/>
  <c r="D6692" i="106"/>
  <c r="B6693" i="106"/>
  <c r="D6693" i="106" s="1"/>
  <c r="B6694" i="106"/>
  <c r="D6694" i="106" s="1"/>
  <c r="B6695" i="106"/>
  <c r="D6695" i="106" s="1"/>
  <c r="B6696" i="106"/>
  <c r="D6696" i="106"/>
  <c r="B6697" i="106"/>
  <c r="D6697" i="106" s="1"/>
  <c r="B6698" i="106"/>
  <c r="D6698" i="106" s="1"/>
  <c r="B6699" i="106"/>
  <c r="D6699" i="106" s="1"/>
  <c r="B6700" i="106"/>
  <c r="D6700" i="106"/>
  <c r="B6701" i="106"/>
  <c r="D6701" i="106" s="1"/>
  <c r="B6702" i="106"/>
  <c r="D6702" i="106" s="1"/>
  <c r="B6703" i="106"/>
  <c r="D6703" i="106" s="1"/>
  <c r="B6704" i="106"/>
  <c r="D6704" i="106"/>
  <c r="B6705" i="106"/>
  <c r="D6705" i="106" s="1"/>
  <c r="B6706" i="106"/>
  <c r="D6706" i="106" s="1"/>
  <c r="B6707" i="106"/>
  <c r="D6707" i="106" s="1"/>
  <c r="B6708" i="106"/>
  <c r="D6708" i="106"/>
  <c r="B6709" i="106"/>
  <c r="D6709" i="106" s="1"/>
  <c r="B6710" i="106"/>
  <c r="D6710" i="106" s="1"/>
  <c r="B6711" i="106"/>
  <c r="D6711" i="106" s="1"/>
  <c r="B6712" i="106"/>
  <c r="D6712" i="106"/>
  <c r="B6713" i="106"/>
  <c r="D6713" i="106" s="1"/>
  <c r="B6714" i="106"/>
  <c r="D6714" i="106" s="1"/>
  <c r="B6715" i="106"/>
  <c r="D6715" i="106" s="1"/>
  <c r="B6716" i="106"/>
  <c r="D6716" i="106"/>
  <c r="B6717" i="106"/>
  <c r="D6717" i="106" s="1"/>
  <c r="B6718" i="106"/>
  <c r="D6718" i="106" s="1"/>
  <c r="B6719" i="106"/>
  <c r="D6719" i="106" s="1"/>
  <c r="B6720" i="106"/>
  <c r="D6720" i="106"/>
  <c r="B6721" i="106"/>
  <c r="D6721" i="106" s="1"/>
  <c r="B6722" i="106"/>
  <c r="D6722" i="106" s="1"/>
  <c r="B6723" i="106"/>
  <c r="D6723" i="106" s="1"/>
  <c r="B6724" i="106"/>
  <c r="D6724" i="106"/>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6" i="108"/>
  <c r="G26" i="108"/>
  <c r="E27" i="108"/>
  <c r="G27" i="108"/>
  <c r="F31" i="108"/>
  <c r="F36" i="108"/>
  <c r="G28" i="108"/>
  <c r="E29" i="108"/>
  <c r="G29"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C45" i="34"/>
  <c r="D45" i="34"/>
  <c r="F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F65" i="34"/>
  <c r="F66"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B4357" i="106" s="1"/>
  <c r="D4357" i="106" s="1"/>
  <c r="G172" i="5"/>
  <c r="G173" i="5" s="1"/>
  <c r="B5778" i="106" s="1"/>
  <c r="D5778"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11" i="37"/>
  <c r="D22" i="37"/>
  <c r="J22" i="37"/>
  <c r="L22" i="37"/>
  <c r="D5" i="7"/>
  <c r="B1761" i="106" s="1"/>
  <c r="D1761" i="106" s="1"/>
  <c r="D9" i="7"/>
  <c r="B1767" i="106" s="1"/>
  <c r="D1767" i="106" s="1"/>
  <c r="F136" i="34"/>
  <c r="F127" i="34"/>
  <c r="B5752" i="106"/>
  <c r="D5752" i="106" s="1"/>
  <c r="B5599" i="106"/>
  <c r="D5599" i="106" s="1"/>
  <c r="H173" i="5"/>
  <c r="B5906" i="106" s="1"/>
  <c r="D5906" i="106" s="1"/>
  <c r="F106" i="34"/>
  <c r="D7" i="7"/>
  <c r="B1763" i="106" s="1"/>
  <c r="D1763" i="106" s="1"/>
  <c r="D17" i="7"/>
  <c r="B4104" i="106" s="1"/>
  <c r="D4104" i="106" s="1"/>
  <c r="D12" i="7"/>
  <c r="B1769" i="106" s="1"/>
  <c r="D1769" i="106" s="1"/>
  <c r="H6" i="4" l="1"/>
  <c r="B2656" i="106" s="1"/>
  <c r="D2656" i="106" s="1"/>
  <c r="K274" i="5"/>
  <c r="F172" i="5"/>
  <c r="B5644" i="106" s="1"/>
  <c r="D5644" i="106" s="1"/>
  <c r="B7235" i="106"/>
  <c r="D7235" i="106" s="1"/>
  <c r="C352" i="29"/>
  <c r="F77" i="4"/>
  <c r="B3255" i="106" s="1"/>
  <c r="D3255" i="106" s="1"/>
  <c r="K173" i="5"/>
  <c r="K6" i="4" s="1"/>
  <c r="B3570" i="106" s="1"/>
  <c r="D3570" i="106" s="1"/>
  <c r="B3254" i="106"/>
  <c r="D3254" i="106" s="1"/>
  <c r="L342" i="29"/>
  <c r="B1746" i="106"/>
  <c r="D1746" i="106" s="1"/>
  <c r="D109" i="5"/>
  <c r="B5356" i="106" s="1"/>
  <c r="D5356" i="106" s="1"/>
  <c r="B5334" i="106"/>
  <c r="D5334" i="106" s="1"/>
  <c r="C172" i="5"/>
  <c r="B5214" i="106" s="1"/>
  <c r="D5214" i="106" s="1"/>
  <c r="B5096" i="106"/>
  <c r="D5096" i="106" s="1"/>
  <c r="C109" i="5"/>
  <c r="B5121" i="106" s="1"/>
  <c r="D5121" i="106" s="1"/>
  <c r="D13" i="7"/>
  <c r="B3726" i="106" s="1"/>
  <c r="D3726" i="106" s="1"/>
  <c r="B5066" i="106"/>
  <c r="D5066" i="106" s="1"/>
  <c r="B3647" i="106"/>
  <c r="D3647" i="106" s="1"/>
  <c r="F37" i="108"/>
  <c r="D27" i="108"/>
  <c r="B1126" i="106"/>
  <c r="D1126" i="106" s="1"/>
  <c r="D37" i="108"/>
  <c r="F72" i="34"/>
  <c r="G14" i="4"/>
  <c r="B2609" i="106" s="1"/>
  <c r="D2609" i="106" s="1"/>
  <c r="F71" i="34"/>
  <c r="F26" i="108"/>
  <c r="D26" i="108"/>
  <c r="F28" i="108"/>
  <c r="E28" i="108"/>
  <c r="G30" i="108"/>
  <c r="E30" i="108"/>
  <c r="K41" i="3"/>
  <c r="B6191" i="106"/>
  <c r="D6191" i="106" s="1"/>
  <c r="J41" i="3"/>
  <c r="D51" i="36" s="1"/>
  <c r="B5770" i="106"/>
  <c r="D5770" i="106" s="1"/>
  <c r="F19" i="7"/>
  <c r="B1807" i="106" s="1"/>
  <c r="D1807" i="106" s="1"/>
  <c r="F130" i="34"/>
  <c r="L5" i="11"/>
  <c r="B2056" i="106" s="1"/>
  <c r="D2056" i="106" s="1"/>
  <c r="N22" i="3"/>
  <c r="B283" i="106" s="1"/>
  <c r="D283" i="106" s="1"/>
  <c r="D11" i="7"/>
  <c r="B1768" i="106" s="1"/>
  <c r="D1768" i="106" s="1"/>
  <c r="H109" i="5"/>
  <c r="F111" i="34"/>
  <c r="F131" i="34"/>
  <c r="D24" i="37"/>
  <c r="B4270" i="106" s="1"/>
  <c r="D4270" i="106" s="1"/>
  <c r="G5" i="4"/>
  <c r="B3409" i="106" s="1"/>
  <c r="D3409" i="106" s="1"/>
  <c r="B7041" i="106"/>
  <c r="D7041" i="106" s="1"/>
  <c r="E109" i="5"/>
  <c r="E4" i="4" s="1"/>
  <c r="B2630" i="106" s="1"/>
  <c r="D2630" i="106" s="1"/>
  <c r="F69" i="34"/>
  <c r="F50" i="34"/>
  <c r="F44" i="34"/>
  <c r="B7074" i="106"/>
  <c r="D7074" i="106" s="1"/>
  <c r="B6261" i="106"/>
  <c r="D6261" i="106" s="1"/>
  <c r="D4" i="7"/>
  <c r="B1760" i="106" s="1"/>
  <c r="D1760" i="106" s="1"/>
  <c r="I173" i="5"/>
  <c r="B4216" i="106" s="1"/>
  <c r="D4216" i="106" s="1"/>
  <c r="B3621" i="106"/>
  <c r="D3621" i="106" s="1"/>
  <c r="C367" i="29"/>
  <c r="L367" i="29"/>
  <c r="F46" i="34"/>
  <c r="D15" i="7"/>
  <c r="B1772" i="106" s="1"/>
  <c r="D1772" i="106" s="1"/>
  <c r="G109" i="5"/>
  <c r="C342" i="29"/>
  <c r="B7216" i="106" s="1"/>
  <c r="D7216" i="106" s="1"/>
  <c r="B3649" i="106"/>
  <c r="D3649" i="106" s="1"/>
  <c r="G367" i="29"/>
  <c r="B3650" i="106" s="1"/>
  <c r="D3650" i="106" s="1"/>
  <c r="B3723" i="106"/>
  <c r="D3723" i="106" s="1"/>
  <c r="K350" i="29"/>
  <c r="F21" i="8"/>
  <c r="B1274" i="106"/>
  <c r="D1274" i="106" s="1"/>
  <c r="B1223" i="106"/>
  <c r="D1223" i="106" s="1"/>
  <c r="K24" i="12"/>
  <c r="D6103" i="106"/>
  <c r="K76" i="4"/>
  <c r="B3586" i="106" s="1"/>
  <c r="D3586" i="106" s="1"/>
  <c r="E174" i="29"/>
  <c r="B1309" i="106" s="1"/>
  <c r="D1309"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2031" i="106"/>
  <c r="D2031"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N21" i="3" s="1"/>
  <c r="B282" i="106" s="1"/>
  <c r="D282" i="106" s="1"/>
  <c r="J19" i="145"/>
  <c r="D82" i="36" s="1"/>
  <c r="L151" i="29"/>
  <c r="C273" i="5"/>
  <c r="J24" i="12"/>
  <c r="B7730" i="106"/>
  <c r="D7730" i="106" s="1"/>
  <c r="H275" i="5"/>
  <c r="B5914" i="106"/>
  <c r="D5914" i="106" s="1"/>
  <c r="J7" i="4"/>
  <c r="B2657" i="106"/>
  <c r="D2657" i="106" s="1"/>
  <c r="D274" i="5"/>
  <c r="B3447" i="106"/>
  <c r="D3447" i="106" s="1"/>
  <c r="B7270" i="106"/>
  <c r="D7250" i="106" l="1"/>
  <c r="N23" i="3"/>
  <c r="B284" i="106" s="1"/>
  <c r="D284" i="106" s="1"/>
  <c r="L16" i="11"/>
  <c r="B2061" i="106" s="1"/>
  <c r="D2061" i="106" s="1"/>
  <c r="D4" i="4"/>
  <c r="B2564" i="106" s="1"/>
  <c r="D2564" i="106" s="1"/>
  <c r="L114" i="29"/>
  <c r="B5527" i="106"/>
  <c r="D5527" i="106" s="1"/>
  <c r="C173" i="5"/>
  <c r="B5223" i="106" s="1"/>
  <c r="D5223" i="106" s="1"/>
  <c r="C4" i="4"/>
  <c r="B2551" i="106" s="1"/>
  <c r="D2551" i="106" s="1"/>
  <c r="B1328" i="106"/>
  <c r="D1328" i="106" s="1"/>
  <c r="B1266" i="106"/>
  <c r="D1266" i="106" s="1"/>
  <c r="F41" i="108"/>
  <c r="G43" i="108" s="1"/>
  <c r="D41" i="108"/>
  <c r="E43" i="108" s="1"/>
  <c r="C114" i="29"/>
  <c r="B757" i="106" s="1"/>
  <c r="D757" i="106" s="1"/>
  <c r="B3568" i="106"/>
  <c r="D3568" i="106" s="1"/>
  <c r="D52" i="36"/>
  <c r="D44" i="36"/>
  <c r="D19" i="7"/>
  <c r="B1775" i="106" s="1"/>
  <c r="D1775" i="106" s="1"/>
  <c r="K77" i="4"/>
  <c r="B3587" i="106" s="1"/>
  <c r="D3587" i="106" s="1"/>
  <c r="B7733" i="106"/>
  <c r="D7733" i="106" s="1"/>
  <c r="K26" i="12"/>
  <c r="B7743" i="106" s="1"/>
  <c r="D7743" i="106" s="1"/>
  <c r="B3670" i="106"/>
  <c r="D3670" i="106" s="1"/>
  <c r="K352" i="29"/>
  <c r="K367" i="29" s="1"/>
  <c r="B6025" i="106"/>
  <c r="D6025" i="106" s="1"/>
  <c r="H4" i="4"/>
  <c r="B6024" i="106"/>
  <c r="D6024" i="106" s="1"/>
  <c r="G4" i="4"/>
  <c r="B2603" i="106" s="1"/>
  <c r="D2603" i="106" s="1"/>
  <c r="D7253" i="106"/>
  <c r="F274" i="5"/>
  <c r="F275" i="5" s="1"/>
  <c r="B5720" i="106" s="1"/>
  <c r="D5720" i="106" s="1"/>
  <c r="H367" i="29"/>
  <c r="B3660" i="106" s="1"/>
  <c r="D3660" i="106" s="1"/>
  <c r="K342" i="29"/>
  <c r="F13" i="34"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C6" i="4" l="1"/>
  <c r="B2553" i="106" s="1"/>
  <c r="D2553" i="106" s="1"/>
  <c r="J17" i="4"/>
  <c r="J19" i="4" s="1"/>
  <c r="B6229" i="106" s="1"/>
  <c r="D6229" i="106" s="1"/>
  <c r="G41" i="108"/>
  <c r="G44" i="108" s="1"/>
  <c r="G45" i="108" s="1"/>
  <c r="K13" i="4"/>
  <c r="B3572" i="106" s="1"/>
  <c r="D3572" i="106" s="1"/>
  <c r="B3672" i="106"/>
  <c r="D3672" i="106" s="1"/>
  <c r="J8" i="4"/>
  <c r="F8" i="4"/>
  <c r="D8" i="146" s="1"/>
  <c r="E41" i="108"/>
  <c r="E44" i="108" s="1"/>
  <c r="E45" i="108" s="1"/>
  <c r="B7224" i="106"/>
  <c r="D7224"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B2595" i="106" l="1"/>
  <c r="D2595" i="106" s="1"/>
  <c r="F10" i="4"/>
  <c r="B4125" i="106" s="1"/>
  <c r="D4125" i="106" s="1"/>
  <c r="D8" i="4"/>
  <c r="B6227" i="106"/>
  <c r="D6227" i="106" s="1"/>
  <c r="J20" i="4"/>
  <c r="B6230" i="106" s="1"/>
  <c r="D6230" i="106" s="1"/>
  <c r="B6223" i="106"/>
  <c r="D6223" i="106"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<sst xmlns="http://schemas.openxmlformats.org/spreadsheetml/2006/main" count="5108" uniqueCount="2143">
  <si>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</si>
  <si>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</si>
  <si>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</si>
  <si>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</si>
  <si>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</si>
  <si>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</si>
  <si>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</si>
  <si>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</si>
  <si>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</si>
  <si>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</si>
  <si>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</si>
  <si>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</si>
  <si>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</si>
  <si>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</si>
  <si>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</si>
  <si>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</si>
  <si>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</si>
  <si>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</si>
  <si>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</si>
  <si>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</si>
  <si>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</si>
  <si>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</si>
  <si>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</si>
  <si>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</si>
  <si>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</si>
  <si>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</si>
  <si>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</si>
  <si>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</si>
  <si>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</si>
  <si>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</si>
  <si>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</si>
  <si>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</si>
  <si>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</si>
  <si>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</si>
  <si>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</si>
  <si>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</si>
  <si>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</si>
  <si>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</si>
  <si>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</si>
  <si>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</si>
  <si>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</si>
  <si>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</si>
  <si>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</si>
  <si>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</si>
  <si>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</si>
  <si>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</si>
  <si>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</si>
  <si>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</si>
  <si>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</si>
  <si>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</si>
  <si>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</si>
  <si>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</si>
  <si>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</si>
  <si>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</si>
  <si>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</si>
  <si>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</si>
  <si>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</si>
  <si>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</si>
  <si>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</si>
  <si>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</si>
  <si>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</si>
  <si>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</si>
  <si>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</si>
  <si>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</si>
  <si>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</si>
  <si>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</si>
  <si>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</si>
  <si>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</si>
  <si>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</si>
  <si>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</si>
  <si>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</si>
  <si>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</si>
  <si>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</si>
  <si>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</si>
  <si>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</si>
  <si>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</si>
  <si>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</si>
  <si>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</si>
  <si>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</si>
  <si>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</si>
  <si>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</si>
  <si>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</si>
  <si>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</si>
  <si>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</si>
  <si>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</si>
  <si>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</si>
  <si>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</si>
  <si>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</si>
  <si>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</si>
  <si>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</si>
  <si>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</si>
  <si>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</si>
  <si>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</si>
  <si>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</si>
  <si>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</si>
  <si>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</si>
  <si>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</si>
  <si>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</si>
  <si>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</si>
  <si>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</si>
  <si>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</si>
  <si>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</si>
  <si>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</si>
  <si>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</si>
  <si>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</si>
  <si>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</si>
  <si>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</si>
  <si>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</si>
  <si>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</si>
  <si>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</si>
  <si>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</si>
  <si>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</si>
  <si>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</si>
  <si>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</si>
  <si>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</si>
  <si>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</si>
  <si>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</si>
  <si>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</si>
  <si>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</si>
  <si>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</si>
  <si>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</si>
  <si>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</si>
  <si>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</si>
  <si>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</si>
  <si>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</si>
  <si>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</si>
  <si>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</si>
  <si>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</si>
  <si>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</si>
  <si>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</si>
  <si>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</si>
  <si>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</si>
  <si>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</si>
  <si>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</si>
  <si>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</si>
  <si>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</si>
  <si>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</si>
  <si>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</si>
  <si>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</si>
  <si>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</si>
  <si>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</si>
  <si>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</si>
  <si>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</si>
  <si>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</si>
  <si>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</si>
  <si>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</si>
  <si>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</si>
  <si>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</si>
  <si>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</si>
  <si>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</si>
  <si>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</si>
  <si>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</si>
  <si>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</si>
  <si>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</si>
  <si>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</si>
  <si>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</si>
  <si>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</si>
  <si>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</si>
  <si>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</si>
  <si>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</si>
  <si>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</si>
  <si>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</si>
  <si>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</si>
  <si>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</si>
  <si>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</si>
  <si>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</si>
  <si>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</si>
  <si>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</si>
  <si>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</si>
  <si>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</si>
  <si>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</si>
  <si>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</si>
  <si>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</si>
  <si>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</si>
  <si>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</si>
  <si>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</si>
  <si>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</si>
  <si>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</si>
  <si>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</si>
  <si>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</si>
  <si>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</si>
  <si>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</si>
  <si>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</si>
  <si>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</si>
  <si>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</si>
  <si>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</si>
  <si>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</si>
  <si>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</si>
  <si>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</si>
  <si>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</si>
  <si>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</si>
  <si>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</si>
  <si>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</si>
  <si>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</si>
  <si>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</si>
  <si>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</si>
  <si>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</si>
  <si>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</si>
  <si>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</si>
  <si>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</si>
  <si>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</si>
  <si>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</si>
  <si>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</si>
  <si>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</si>
  <si>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</si>
  <si>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</si>
  <si>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</si>
  <si>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</si>
  <si>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</si>
  <si>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</si>
  <si>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</si>
  <si>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</si>
  <si>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</si>
  <si>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</si>
  <si>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</si>
  <si>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</si>
  <si>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</si>
  <si>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</si>
  <si>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</si>
  <si>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</si>
  <si>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</si>
  <si>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</si>
  <si>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</si>
  <si>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</si>
  <si>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</si>
  <si>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</si>
  <si>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</si>
  <si>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</si>
  <si>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</si>
  <si>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</si>
  <si>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</si>
  <si>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</si>
  <si>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</si>
  <si>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</si>
  <si>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</si>
  <si>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</si>
  <si>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</si>
  <si>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</si>
  <si>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</si>
  <si>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</si>
  <si>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</si>
  <si>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</si>
  <si>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</si>
  <si>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</si>
  <si>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</si>
  <si>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</si>
  <si>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</si>
  <si>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</si>
  <si>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</si>
  <si>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</si>
  <si>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</si>
  <si>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</si>
  <si>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</si>
  <si>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</si>
  <si>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</si>
  <si>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</si>
  <si>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</si>
  <si>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</si>
  <si>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</si>
  <si>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</si>
  <si>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</si>
  <si>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</si>
  <si>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</si>
  <si>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</si>
  <si>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</si>
  <si>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</si>
  <si>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</si>
  <si>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</si>
  <si>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</si>
  <si>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</si>
  <si>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</si>
  <si>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</si>
  <si>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</si>
  <si>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</si>
  <si>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</si>
  <si>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</si>
  <si>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</si>
  <si>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</si>
  <si>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</si>
  <si>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</si>
  <si>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</si>
  <si>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</si>
  <si>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</si>
  <si>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</si>
  <si>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</si>
  <si>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</si>
  <si>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</si>
  <si>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</si>
  <si>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</si>
  <si>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</si>
  <si>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</si>
  <si>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</si>
  <si>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</si>
  <si>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</si>
  <si>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</si>
  <si>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</si>
  <si>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</si>
  <si>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</si>
  <si>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</si>
  <si>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</si>
  <si>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</si>
  <si>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</si>
  <si>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</si>
  <si>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</si>
  <si>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</si>
  <si>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</si>
  <si>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</si>
  <si>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</si>
  <si>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</si>
  <si>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</si>
  <si>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</si>
  <si>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</si>
  <si>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</si>
  <si>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</si>
  <si>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</si>
  <si>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</si>
  <si>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</si>
  <si>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</si>
  <si>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</si>
  <si>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</si>
  <si>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</si>
  <si>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</si>
  <si>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</si>
  <si>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</si>
  <si>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</si>
  <si>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</si>
  <si>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</si>
  <si>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</si>
  <si>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</si>
  <si>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</si>
  <si>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</si>
  <si>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</si>
  <si>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</si>
  <si>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</si>
  <si>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</si>
  <si>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</si>
  <si>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</si>
  <si>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</si>
  <si>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</si>
  <si>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</si>
  <si>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</si>
  <si>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</si>
  <si>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</si>
  <si>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</si>
  <si>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</si>
  <si>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</si>
  <si>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</si>
  <si>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</si>
  <si>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</si>
  <si>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</si>
  <si>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</si>
  <si>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</si>
  <si>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</si>
  <si>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</si>
  <si>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</si>
  <si>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</si>
  <si>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</si>
  <si>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</si>
  <si>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</si>
  <si>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</si>
  <si>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</si>
  <si>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</si>
  <si>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</si>
  <si>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</si>
  <si>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</si>
  <si>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</si>
  <si>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</si>
  <si>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</si>
  <si>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</si>
  <si>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</si>
  <si>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</si>
  <si>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</si>
  <si>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</si>
  <si>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</si>
  <si>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</si>
  <si>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</si>
  <si>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</si>
  <si>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</si>
  <si>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</si>
  <si>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</si>
  <si>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</si>
  <si>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</si>
  <si>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</si>
  <si>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</si>
  <si>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</si>
  <si>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</si>
  <si>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</si>
  <si>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</si>
  <si>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</si>
  <si>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</si>
  <si>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</si>
  <si>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</si>
  <si>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</si>
  <si>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</si>
  <si>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</si>
  <si>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</si>
  <si>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</si>
  <si>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</si>
  <si>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</si>
  <si>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</si>
  <si>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</si>
  <si>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</si>
  <si>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</si>
  <si>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</si>
  <si>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</si>
  <si>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</si>
  <si>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</si>
  <si>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</si>
  <si>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</si>
  <si>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</si>
  <si>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</si>
  <si>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</si>
  <si>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</si>
  <si>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</si>
  <si>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</si>
  <si>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</si>
  <si>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</si>
  <si>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</si>
  <si>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</si>
  <si>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</si>
  <si>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</si>
  <si>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</si>
  <si>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</si>
  <si>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</si>
  <si>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</si>
  <si>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</si>
  <si>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</si>
  <si>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</si>
  <si>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</si>
  <si>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</si>
  <si>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</si>
  <si>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</si>
  <si>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</si>
  <si>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</si>
  <si>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</si>
  <si>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</si>
  <si>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</si>
  <si>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</si>
  <si>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</si>
  <si>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</si>
  <si>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</si>
  <si>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</si>
  <si>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</si>
  <si>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</si>
  <si>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</si>
  <si>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</si>
  <si>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</si>
  <si>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</si>
  <si>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</si>
  <si>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</si>
  <si>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</si>
  <si>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</si>
  <si>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</si>
  <si>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</si>
  <si>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</si>
  <si>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</si>
  <si>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</si>
  <si>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</si>
  <si>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</si>
  <si>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</si>
  <si>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</si>
  <si>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</si>
  <si>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</si>
  <si>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</si>
  <si>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</si>
  <si>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</si>
  <si>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</si>
  <si>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</si>
  <si>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</si>
  <si>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</si>
  <si>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</si>
  <si>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</si>
  <si>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</si>
  <si>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</si>
  <si>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</si>
  <si>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</si>
  <si>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</si>
  <si>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</si>
  <si>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</si>
  <si>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</si>
  <si>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</si>
  <si>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</si>
  <si>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</si>
  <si>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</si>
  <si>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</si>
  <si>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</si>
  <si>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</si>
  <si>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</si>
  <si>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</si>
  <si>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</si>
  <si>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</si>
  <si>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</si>
  <si>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</si>
  <si>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</si>
  <si>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</si>
  <si>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</si>
  <si>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</si>
  <si>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</si>
  <si>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</si>
  <si>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</si>
  <si>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</si>
  <si>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</si>
  <si>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</si>
  <si>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</si>
  <si>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</si>
  <si>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</si>
  <si>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</si>
  <si>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</si>
  <si>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</si>
  <si>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</si>
  <si>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</si>
  <si>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</si>
  <si>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</si>
  <si>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</si>
  <si>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</si>
  <si>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</si>
  <si>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</si>
  <si>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</si>
  <si>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</si>
  <si>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</si>
  <si>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</si>
  <si>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</si>
  <si>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</si>
  <si>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</si>
  <si>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</si>
  <si>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</si>
  <si>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</si>
  <si>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</si>
  <si>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</si>
  <si>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</si>
  <si>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</si>
  <si>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</si>
  <si>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</si>
  <si>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</si>
  <si>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</si>
  <si>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</si>
  <si>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</si>
  <si>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</si>
  <si>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</si>
  <si>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</si>
  <si>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</si>
  <si>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</si>
  <si>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</si>
  <si>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</si>
  <si>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</si>
  <si>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</si>
  <si>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</si>
  <si>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</si>
  <si>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</si>
  <si>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</si>
  <si>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</si>
  <si>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</si>
  <si>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</si>
  <si>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</si>
  <si>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</si>
  <si>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</si>
  <si>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</si>
  <si>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</si>
  <si>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</si>
  <si>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</si>
  <si>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</si>
  <si>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</si>
  <si>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</si>
  <si>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</si>
  <si>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</si>
  <si>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</si>
  <si>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</si>
  <si>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</si>
  <si>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</si>
  <si>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</si>
  <si>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</si>
  <si>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</si>
  <si>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</si>
  <si>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</si>
  <si>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</si>
  <si>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</si>
  <si>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</si>
  <si>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</si>
  <si>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</si>
  <si>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</si>
  <si>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</si>
  <si>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</si>
  <si>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</si>
  <si>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</si>
  <si>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</si>
  <si>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</si>
  <si>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</si>
  <si>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</si>
  <si>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</si>
  <si>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</si>
  <si>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</si>
  <si>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</si>
  <si>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</si>
  <si>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</si>
  <si>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</si>
  <si>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</si>
  <si>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</si>
  <si>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</si>
  <si>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</si>
  <si>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</si>
  <si>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</si>
  <si>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</si>
  <si>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</si>
  <si>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</si>
  <si>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</si>
  <si>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</si>
  <si>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</si>
  <si>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</si>
  <si>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</si>
  <si>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</si>
  <si>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</si>
  <si>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</si>
  <si>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</si>
  <si>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</si>
  <si>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</si>
  <si>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</si>
  <si>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</si>
  <si>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</si>
  <si>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</si>
  <si>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</si>
  <si>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</si>
  <si>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</si>
  <si>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</si>
  <si>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</si>
  <si>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</si>
  <si>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</si>
  <si>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</si>
  <si>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</si>
  <si>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</si>
  <si>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</si>
  <si>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</si>
  <si>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</si>
  <si>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</si>
  <si>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</si>
  <si>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</si>
  <si>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</si>
  <si>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</si>
  <si>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</si>
  <si>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</si>
  <si>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</si>
  <si>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</si>
  <si>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</si>
  <si>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</si>
  <si>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</si>
  <si>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</si>
  <si>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</si>
  <si>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</si>
  <si>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</si>
  <si>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</si>
  <si>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</si>
  <si>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</si>
  <si>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</si>
  <si>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</si>
  <si>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</si>
  <si>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</si>
  <si>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</si>
  <si>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</si>
  <si>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</si>
  <si>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</si>
  <si>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</si>
  <si>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</si>
  <si>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</si>
  <si>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</si>
  <si>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</si>
  <si>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</si>
  <si>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</si>
  <si>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</si>
  <si>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</si>
  <si>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</si>
  <si>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</si>
  <si>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</si>
  <si>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</si>
  <si>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</si>
  <si>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</si>
  <si>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</si>
  <si>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</si>
  <si>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</si>
  <si>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</si>
  <si>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</si>
  <si>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</si>
  <si>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</si>
  <si>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</si>
  <si>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</si>
  <si>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</si>
  <si>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</si>
  <si>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</si>
  <si>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</si>
  <si>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</si>
  <si>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</si>
  <si>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</si>
  <si>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</si>
  <si>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</si>
  <si>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</si>
  <si>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</si>
  <si>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</si>
  <si>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</si>
  <si>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</si>
  <si>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</si>
  <si>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</si>
  <si>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</si>
  <si>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</si>
  <si>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</si>
  <si>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</si>
  <si>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</si>
  <si>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</si>
  <si>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</si>
  <si>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</si>
  <si>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</si>
  <si>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</si>
  <si>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</si>
  <si>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</si>
  <si>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</si>
  <si>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</si>
  <si>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</si>
  <si>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</si>
  <si>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</si>
  <si>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</si>
  <si>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</si>
  <si>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</si>
  <si>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</si>
  <si>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</si>
  <si>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</si>
  <si>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</si>
  <si>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</si>
  <si>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</si>
  <si>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</si>
  <si>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</si>
  <si>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</si>
  <si>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</si>
  <si>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</si>
  <si>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</si>
  <si>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</si>
  <si>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</si>
  <si>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</si>
  <si>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</si>
  <si>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</si>
  <si>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</si>
  <si>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</si>
  <si>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</si>
  <si>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</si>
  <si>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</si>
  <si>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</si>
  <si>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</si>
  <si>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</si>
  <si>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</si>
  <si>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</si>
  <si>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</si>
  <si>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</si>
  <si>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</si>
  <si>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</si>
  <si>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</si>
  <si>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</si>
  <si>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</si>
  <si>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</si>
  <si>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</si>
  <si>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</si>
  <si>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</si>
  <si>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</si>
  <si>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</si>
  <si>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</si>
  <si>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</si>
  <si>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</si>
  <si>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</si>
  <si>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</si>
  <si>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</si>
  <si>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</si>
  <si>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</si>
  <si>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</si>
  <si>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</si>
  <si>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</si>
  <si>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</si>
  <si>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</si>
  <si>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</si>
  <si>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</si>
  <si>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</si>
  <si>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</si>
  <si>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</si>
  <si>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</si>
  <si>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</si>
  <si>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</si>
  <si>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</si>
  <si>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</si>
  <si>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</si>
  <si>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</si>
  <si>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</si>
  <si>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</si>
  <si>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</si>
  <si>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</si>
  <si>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</si>
  <si>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</si>
  <si>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</si>
  <si>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</si>
  <si>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</si>
  <si>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</si>
  <si>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</si>
  <si>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</si>
  <si>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</si>
  <si>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</si>
  <si>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</si>
  <si>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</si>
  <si>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</si>
  <si>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</si>
  <si>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</si>
  <si>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</si>
  <si>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</si>
  <si>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</si>
  <si>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</si>
  <si>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</si>
  <si>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</si>
  <si>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</si>
  <si>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</si>
  <si>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</si>
  <si>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</si>
  <si>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</si>
  <si>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</si>
  <si>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</si>
  <si>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</si>
  <si>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</si>
  <si>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</si>
  <si>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</si>
  <si>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</si>
  <si>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</si>
  <si>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</si>
  <si>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</si>
  <si>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</si>
  <si>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</si>
  <si>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</si>
  <si>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</si>
  <si>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</si>
  <si>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</si>
  <si>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</si>
  <si>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</si>
  <si>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</si>
  <si>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</si>
  <si>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</si>
  <si>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</si>
  <si>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</si>
  <si>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</si>
  <si>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</si>
  <si>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</si>
  <si>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</si>
  <si>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</si>
  <si>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</si>
  <si>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</si>
  <si>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</si>
  <si>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</si>
  <si>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</si>
  <si>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</si>
  <si>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</si>
  <si>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</si>
  <si>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</si>
  <si>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</si>
  <si>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</si>
  <si>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</si>
  <si>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</si>
  <si>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</si>
  <si>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</si>
  <si>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</si>
  <si>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</si>
  <si>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</si>
  <si>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</si>
  <si>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</si>
  <si>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</si>
  <si>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</si>
  <si>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</si>
  <si>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</si>
  <si>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</si>
  <si>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</si>
  <si>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</si>
  <si>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</si>
  <si>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</si>
  <si>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</si>
  <si>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</si>
  <si>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</si>
  <si>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</si>
  <si>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</si>
  <si>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</si>
  <si>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</si>
  <si>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</si>
  <si>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</si>
  <si>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</si>
  <si>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</si>
  <si>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</si>
  <si>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</si>
  <si>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</si>
  <si>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</si>
  <si>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</si>
  <si>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</si>
  <si>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</si>
  <si>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</si>
  <si>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</si>
  <si>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</si>
  <si>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</si>
  <si>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</si>
  <si>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</si>
  <si>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</si>
  <si>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</si>
  <si>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</si>
  <si>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</si>
  <si>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</si>
  <si>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</si>
  <si>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</si>
  <si>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</si>
  <si>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</si>
  <si>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</si>
  <si>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</si>
  <si>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</si>
  <si>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</si>
  <si>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</si>
  <si>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</si>
  <si>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</si>
  <si>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</si>
  <si>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</si>
  <si>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</si>
  <si>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</si>
  <si>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</si>
  <si>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</si>
  <si>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</si>
  <si>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</si>
  <si>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</si>
  <si>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</si>
  <si>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</si>
  <si>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</si>
  <si>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</si>
  <si>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</si>
  <si>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</si>
  <si>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</si>
  <si>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</si>
  <si>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</si>
  <si>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</si>
  <si>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</si>
  <si>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</si>
  <si>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</si>
  <si>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</si>
  <si>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</si>
  <si>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</si>
  <si>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</si>
  <si>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</si>
  <si>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</si>
  <si>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</si>
  <si>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</si>
  <si>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</si>
  <si>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</si>
  <si>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</si>
  <si>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</si>
  <si>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</si>
  <si>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</si>
  <si>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</si>
  <si>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</si>
  <si>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</si>
  <si>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</si>
  <si>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</si>
  <si>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</si>
  <si>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</si>
  <si>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</si>
  <si>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</si>
  <si>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</si>
  <si>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</si>
  <si>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</si>
  <si>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</si>
  <si>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</si>
  <si>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</si>
  <si>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</si>
  <si>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</si>
  <si>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</si>
  <si>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</si>
  <si>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</si>
  <si>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</si>
  <si>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</si>
  <si>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</si>
  <si>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</si>
  <si>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</si>
  <si>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</si>
  <si>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</si>
  <si>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</si>
  <si>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</si>
  <si>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</si>
  <si>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</si>
  <si>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</si>
  <si>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</si>
  <si>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</si>
  <si>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</si>
  <si>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</si>
  <si>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</si>
  <si>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</si>
  <si>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</si>
  <si>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</si>
  <si>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</si>
  <si>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</si>
  <si>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</si>
  <si>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</si>
  <si>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</si>
  <si>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</si>
  <si>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</si>
  <si>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</si>
  <si>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</si>
  <si>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</si>
  <si>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</si>
  <si>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</si>
  <si>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</si>
  <si>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</si>
  <si>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</si>
  <si>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</si>
  <si>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</si>
  <si>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</si>
  <si>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</si>
  <si>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</si>
  <si>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</si>
  <si>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</si>
  <si>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</si>
  <si>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</si>
  <si>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</si>
  <si>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</si>
  <si>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</si>
  <si>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</si>
  <si>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</si>
  <si>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</si>
  <si>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</si>
  <si>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</si>
  <si>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</si>
  <si>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</si>
  <si>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</si>
  <si>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</si>
  <si>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</si>
  <si>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</si>
  <si>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</si>
  <si>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</si>
  <si>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</si>
  <si>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</si>
  <si>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</si>
  <si>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</si>
  <si>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</si>
  <si>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</si>
  <si>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</si>
  <si>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</si>
  <si>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</si>
  <si>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</si>
  <si>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</si>
  <si>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</si>
  <si>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</si>
  <si>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</si>
  <si>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</si>
  <si>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</si>
  <si>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</si>
  <si>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</si>
  <si>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</si>
  <si>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</si>
  <si>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</si>
  <si>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</si>
  <si>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</si>
  <si>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</si>
  <si>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</si>
  <si>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</si>
  <si>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</si>
  <si>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</si>
  <si>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</si>
  <si>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</si>
  <si>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</si>
  <si>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</si>
  <si>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</si>
  <si>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</si>
  <si>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</si>
  <si>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</si>
  <si>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</si>
  <si>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</si>
  <si>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</si>
  <si>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</si>
  <si>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</si>
  <si>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</si>
  <si>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</si>
  <si>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</si>
  <si>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</si>
  <si>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</si>
  <si>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</si>
  <si>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</si>
  <si>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</si>
  <si>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</si>
  <si>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</si>
  <si>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</si>
  <si>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</si>
  <si>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</si>
  <si>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</si>
  <si>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</si>
  <si>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</si>
  <si>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</si>
  <si>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</si>
  <si>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</si>
  <si>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</si>
  <si>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</si>
  <si>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</si>
  <si>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</si>
  <si>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</si>
  <si>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</si>
  <si>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</si>
  <si>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</si>
  <si>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</si>
  <si>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</si>
  <si>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</si>
  <si>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</si>
  <si>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</si>
  <si>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</si>
  <si>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</si>
  <si>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</si>
  <si>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</si>
  <si>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</si>
  <si>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</si>
  <si>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</si>
  <si>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</si>
  <si>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</si>
  <si>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</si>
  <si>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</si>
  <si>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</si>
  <si>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</si>
  <si>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</si>
  <si>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</si>
  <si>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</si>
  <si>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</si>
  <si>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</si>
  <si>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</si>
  <si>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</si>
  <si>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</si>
  <si>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</si>
  <si>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</si>
  <si>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</si>
  <si>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</si>
  <si>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</si>
  <si>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</si>
  <si>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</si>
  <si>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</si>
  <si>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</si>
  <si>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</si>
  <si>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</si>
  <si>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</si>
  <si>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</si>
  <si>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</si>
  <si>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</si>
  <si>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</si>
  <si>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</si>
  <si>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</si>
  <si>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</si>
  <si>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</si>
  <si>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</si>
  <si>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</si>
  <si>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</si>
  <si>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</si>
  <si>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</si>
  <si>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</si>
  <si>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</si>
  <si>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</si>
  <si>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</si>
  <si>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</si>
  <si>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</si>
  <si>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</si>
  <si>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</si>
  <si>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</si>
  <si>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</si>
  <si>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</si>
  <si>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</si>
  <si>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</si>
  <si>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</si>
  <si>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</si>
  <si>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</si>
  <si>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</si>
  <si>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</si>
  <si>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</si>
  <si>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</si>
  <si>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</si>
  <si>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</si>
  <si>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</si>
  <si>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</si>
  <si>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</si>
  <si>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</si>
  <si>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</si>
  <si>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</si>
  <si>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</si>
  <si>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</si>
  <si>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</si>
  <si>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</si>
  <si>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</si>
  <si>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</si>
  <si>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</si>
  <si>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</si>
  <si>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</si>
  <si>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</si>
  <si>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</si>
  <si>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</si>
  <si>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</si>
  <si>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</si>
  <si>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</si>
  <si>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</si>
  <si>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</si>
  <si>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</si>
  <si>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</si>
  <si>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</si>
  <si>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</si>
  <si>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</si>
  <si>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</si>
  <si>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</si>
  <si>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</si>
  <si>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</si>
  <si>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</si>
  <si>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</si>
  <si>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</si>
  <si>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</si>
  <si>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</si>
  <si>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</si>
  <si>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</si>
  <si>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</si>
  <si>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</si>
  <si>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</si>
  <si>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</si>
  <si>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</si>
  <si>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</si>
  <si>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</si>
  <si>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</si>
  <si>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</si>
  <si>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</si>
  <si>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</si>
  <si>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</si>
  <si>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</si>
  <si>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</si>
  <si>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</si>
  <si>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</si>
  <si>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</si>
  <si>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</si>
  <si>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</si>
  <si>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</si>
  <si>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</si>
  <si>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</si>
  <si>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</si>
  <si>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</si>
  <si>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</si>
  <si>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</si>
  <si>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</si>
  <si>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</si>
  <si>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</si>
  <si>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</si>
  <si>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</si>
  <si>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</si>
  <si>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</si>
  <si>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</si>
  <si>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</si>
  <si>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</si>
  <si>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</si>
  <si>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</si>
  <si>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</si>
  <si>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</si>
  <si>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</si>
  <si>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</si>
  <si>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</si>
  <si>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</si>
  <si>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</si>
  <si>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</si>
  <si>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</si>
  <si>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</si>
  <si>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</si>
  <si>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</si>
  <si>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</si>
  <si>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</si>
  <si>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</si>
  <si>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</si>
  <si>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</si>
  <si>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</si>
  <si>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</si>
  <si>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</si>
  <si>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</si>
  <si>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</si>
  <si>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</si>
  <si>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</si>
  <si>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</si>
  <si>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</si>
  <si>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</si>
  <si>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</si>
  <si>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</si>
  <si>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</si>
  <si>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</si>
  <si>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</si>
  <si>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</si>
  <si>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</si>
  <si>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</si>
  <si>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</si>
  <si>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</si>
  <si>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</si>
  <si>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</si>
  <si>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</si>
  <si>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</si>
  <si>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</si>
  <si>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</si>
  <si>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</si>
  <si>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</si>
  <si>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</si>
  <si>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</si>
  <si>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</si>
  <si>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</si>
  <si>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</si>
  <si>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</si>
  <si>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</si>
  <si>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</si>
  <si>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</si>
  <si>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</si>
  <si>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</si>
  <si>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</si>
  <si>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</si>
  <si>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</si>
  <si>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</si>
  <si>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</si>
  <si>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</si>
  <si>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</si>
  <si>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</si>
  <si>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</si>
  <si>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</si>
  <si>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</si>
  <si>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</si>
  <si>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</si>
  <si>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</si>
  <si>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</si>
  <si>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</si>
  <si>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</si>
  <si>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</si>
  <si>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</si>
  <si>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</si>
  <si>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</si>
  <si>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</si>
  <si>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</si>
  <si>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</si>
  <si>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</si>
  <si>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</si>
  <si>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</si>
  <si>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</si>
  <si>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</si>
  <si>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</si>
  <si>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</si>
  <si>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</si>
  <si>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</si>
  <si>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</si>
  <si>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</si>
  <si>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</si>
  <si>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</si>
  <si>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</si>
  <si>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</si>
  <si>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</si>
  <si>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</si>
  <si>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</si>
  <si>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</si>
  <si>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</si>
  <si>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</si>
  <si>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</si>
  <si>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</si>
  <si>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</si>
  <si>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</si>
  <si>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</si>
  <si>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</si>
  <si>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</si>
  <si>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</si>
  <si>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</si>
  <si>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</si>
  <si>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</si>
  <si>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</si>
  <si>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</si>
  <si>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</si>
  <si>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</si>
  <si>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</si>
  <si>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</si>
  <si>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</si>
  <si>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</si>
  <si>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</si>
  <si>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</si>
  <si>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</si>
  <si>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</si>
  <si>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</si>
  <si>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</si>
  <si>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</si>
  <si>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</si>
  <si>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</si>
  <si>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</si>
  <si>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</si>
  <si>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</si>
  <si>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</si>
  <si>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</si>
  <si>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</si>
  <si>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</si>
  <si>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</si>
  <si>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</si>
  <si>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</si>
  <si>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</si>
  <si>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</si>
  <si>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</si>
  <si>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</si>
  <si>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</si>
  <si>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</si>
  <si>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</si>
  <si>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</si>
  <si>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</si>
  <si>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</si>
  <si>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</si>
  <si>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</si>
  <si>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</si>
  <si>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</si>
  <si>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</si>
  <si>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</si>
  <si>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</si>
  <si>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</si>
  <si>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</si>
  <si>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</si>
  <si>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</si>
  <si>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</si>
  <si>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</si>
  <si>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</si>
  <si>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</si>
  <si>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</si>
  <si>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</si>
  <si>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</si>
  <si>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</si>
  <si>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</si>
  <si>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</si>
  <si>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</si>
  <si>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</si>
  <si>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</si>
  <si>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</si>
  <si>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</si>
  <si>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</si>
  <si>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</si>
  <si>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</si>
  <si>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</si>
  <si>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</si>
  <si>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</si>
  <si>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</si>
  <si>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</si>
  <si>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</si>
  <si>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</si>
  <si>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</si>
  <si>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</si>
  <si>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</si>
  <si>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</si>
  <si>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</si>
  <si>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</si>
  <si>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</si>
  <si>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</si>
  <si>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</si>
  <si>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</si>
  <si>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</si>
  <si>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</si>
  <si>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</si>
  <si>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</si>
  <si>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</si>
  <si>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</si>
  <si>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</si>
  <si>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</si>
  <si>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</si>
  <si>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</si>
  <si>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</si>
  <si>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</si>
  <si>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</si>
  <si>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</si>
  <si>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</si>
  <si>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</si>
  <si>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</si>
  <si>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</si>
  <si>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</si>
  <si>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</si>
  <si>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</si>
  <si>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</si>
  <si>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</si>
  <si>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</si>
  <si>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</si>
  <si>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</si>
  <si>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</si>
  <si>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</si>
  <si>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</si>
  <si>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</si>
  <si>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</si>
  <si>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</si>
  <si>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</si>
  <si>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</si>
  <si>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</si>
  <si>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</si>
  <si>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</si>
  <si>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</si>
  <si>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</si>
  <si>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</si>
  <si>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</si>
  <si>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</si>
  <si>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</si>
  <si>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</si>
  <si>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</si>
  <si>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</si>
  <si>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</si>
  <si>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</si>
  <si>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</si>
  <si>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</si>
  <si>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</si>
  <si>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</si>
  <si>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</si>
  <si>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</si>
  <si>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</si>
  <si>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</si>
  <si>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</si>
  <si>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</si>
  <si>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</si>
  <si>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</si>
  <si>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</si>
  <si>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</si>
  <si>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</si>
  <si>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</si>
  <si>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</si>
  <si>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</si>
  <si>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</si>
  <si>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</si>
  <si>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</si>
  <si>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</si>
  <si>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</si>
  <si>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</si>
  <si>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</si>
  <si>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</si>
  <si>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</si>
  <si>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</si>
  <si>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</si>
  <si>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</si>
  <si>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</si>
  <si>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</si>
  <si>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</si>
  <si>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</si>
  <si>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</si>
  <si>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</si>
  <si>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</si>
  <si>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</si>
  <si>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</si>
  <si>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</si>
  <si>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</si>
  <si>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</si>
  <si>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</si>
  <si>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</si>
  <si>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</si>
  <si>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</si>
  <si>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</si>
  <si>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</si>
  <si>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</si>
  <si>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</si>
  <si>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</si>
  <si>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</si>
  <si>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</si>
  <si>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</si>
  <si>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</si>
  <si>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</si>
  <si>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</si>
  <si>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</si>
  <si>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</si>
  <si>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</si>
  <si>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</si>
  <si>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</si>
  <si>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</si>
  <si>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</si>
  <si>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</si>
  <si>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</si>
  <si>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</si>
  <si>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</si>
  <si>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</si>
  <si>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</si>
  <si>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</si>
  <si>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</si>
  <si>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</si>
  <si>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</si>
  <si>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</si>
  <si>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</si>
  <si>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</si>
  <si>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</si>
  <si>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</si>
  <si>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</si>
  <si>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</si>
  <si>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</si>
  <si>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</si>
  <si>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</si>
  <si>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</si>
  <si>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</si>
  <si>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</si>
  <si>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</si>
  <si>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</si>
  <si>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</si>
  <si>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</si>
  <si>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</si>
  <si>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</si>
  <si>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</si>
  <si>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</si>
  <si>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</si>
  <si>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</si>
  <si>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</si>
  <si>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</si>
  <si>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</si>
  <si>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</si>
  <si>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</si>
  <si>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</si>
  <si>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</si>
  <si>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</si>
  <si>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</si>
  <si>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</si>
  <si>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</si>
  <si>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</si>
  <si>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</si>
  <si>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</si>
  <si>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</si>
  <si>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</si>
  <si>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</si>
  <si>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</si>
  <si>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</si>
  <si>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</si>
  <si>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</si>
  <si>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</si>
  <si>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</si>
  <si>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</si>
  <si>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</si>
  <si>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</si>
  <si>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</si>
  <si>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</si>
  <si>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</si>
  <si>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</si>
  <si>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</si>
  <si>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</si>
  <si>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</si>
  <si>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</si>
  <si>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</si>
  <si>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</si>
  <si>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</si>
  <si>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</si>
  <si>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</si>
  <si>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</si>
  <si>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</si>
  <si>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</si>
  <si>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</si>
  <si>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</si>
  <si>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</si>
  <si>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</si>
  <si>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</si>
  <si>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</si>
  <si>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</si>
  <si>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</si>
  <si>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</si>
  <si>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</si>
  <si>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</si>
  <si>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</si>
  <si>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</si>
  <si>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</si>
  <si>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</si>
  <si>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</si>
  <si>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</si>
  <si>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</si>
  <si>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</si>
  <si>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</si>
  <si>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</si>
  <si>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</si>
  <si>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</si>
  <si>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</si>
  <si>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</si>
  <si>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</si>
  <si>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</si>
  <si>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</si>
  <si>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</si>
  <si>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</si>
  <si>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</si>
  <si>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</si>
  <si>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</si>
  <si>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</si>
  <si>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</si>
  <si>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</si>
  <si>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</si>
  <si>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</si>
  <si>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</si>
  <si>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</si>
  <si>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</si>
  <si>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</si>
  <si>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</si>
  <si>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</si>
  <si>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</si>
  <si>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</si>
  <si>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</si>
  <si>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</si>
  <si>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</si>
  <si>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</si>
  <si>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</si>
  <si>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</si>
  <si>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</si>
  <si>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</si>
  <si>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</si>
  <si>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</si>
  <si>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</si>
  <si>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</si>
  <si>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</si>
  <si>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</si>
  <si>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</si>
  <si>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</si>
  <si>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</si>
  <si>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</si>
  <si>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</si>
  <si>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</si>
  <si>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</si>
  <si>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</si>
  <si>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</si>
  <si>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</si>
  <si>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</si>
  <si>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</si>
  <si>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</si>
  <si>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</si>
  <si>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</si>
  <si>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</si>
  <si>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</si>
  <si>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</si>
  <si>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</si>
  <si>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</si>
  <si>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</si>
  <si>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</si>
  <si>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</si>
  <si>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</si>
  <si>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</si>
  <si>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</si>
  <si>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</si>
  <si>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</si>
  <si>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</si>
  <si>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</si>
  <si>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</si>
  <si>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</si>
  <si>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</si>
  <si>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</si>
  <si>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</si>
  <si>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</si>
  <si>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</si>
  <si>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</si>
  <si>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</si>
  <si>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</si>
  <si>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</si>
  <si>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</si>
  <si>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</si>
  <si>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</si>
  <si>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</si>
  <si>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</si>
  <si>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</si>
  <si>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</si>
  <si>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</si>
  <si>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</si>
  <si>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</si>
  <si>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</si>
  <si>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</si>
  <si>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</si>
  <si>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</si>
  <si>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</si>
  <si>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</si>
  <si>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</si>
  <si>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</si>
  <si>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</si>
  <si>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</si>
  <si>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</si>
  <si>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</si>
  <si>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</si>
  <si>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</si>
  <si>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</si>
  <si>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</si>
  <si>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</si>
  <si>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</si>
  <si>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</si>
  <si>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</si>
  <si>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</si>
  <si>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</si>
  <si>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</si>
  <si>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</si>
  <si>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</si>
  <si>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</si>
  <si>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</si>
  <si>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</si>
  <si>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</si>
  <si>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</si>
  <si>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</si>
  <si>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</si>
  <si>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</si>
  <si>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</si>
  <si>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</si>
  <si>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</si>
  <si>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</si>
  <si>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</si>
  <si>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</si>
  <si>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</si>
  <si>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</si>
  <si>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</si>
  <si>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</si>
  <si>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</si>
  <si>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</si>
  <si>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</si>
  <si>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</si>
  <si>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</si>
  <si>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</si>
  <si>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</si>
  <si>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</si>
  <si>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</si>
  <si>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</si>
  <si>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</si>
  <si>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</si>
  <si>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</si>
  <si>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</si>
  <si>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</si>
  <si>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</si>
  <si>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</si>
  <si>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</si>
  <si>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</si>
  <si>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</si>
  <si>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</si>
  <si>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</si>
  <si>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</si>
  <si>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</si>
  <si>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</si>
  <si>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</si>
  <si>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</si>
  <si>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</si>
  <si>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</si>
  <si>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</si>
  <si>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</si>
  <si>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</si>
  <si>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</si>
  <si>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</si>
  <si>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</si>
  <si>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</si>
  <si>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</si>
  <si>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</si>
  <si>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</si>
  <si>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</si>
  <si>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</si>
  <si>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</si>
  <si>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</si>
  <si>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</si>
  <si>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</si>
  <si>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</si>
  <si>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</si>
  <si>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</si>
  <si>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</si>
  <si>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</si>
  <si>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</si>
  <si>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</si>
  <si>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</si>
  <si>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</si>
  <si>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</si>
  <si>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</si>
  <si>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</si>
  <si>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</si>
  <si>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</si>
  <si>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</si>
  <si>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</si>
  <si>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</si>
  <si>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</si>
  <si>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</si>
  <si>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</si>
  <si>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</si>
  <si>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</si>
  <si>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</si>
  <si>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</si>
  <si>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</si>
  <si>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</si>
  <si>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</si>
  <si>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</si>
  <si>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</si>
  <si>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</si>
  <si>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</si>
  <si>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</si>
  <si>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</si>
  <si>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</si>
  <si>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</si>
  <si>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</si>
  <si>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</si>
  <si>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</si>
  <si>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</si>
  <si>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</si>
  <si>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</si>
  <si>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</si>
  <si>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</si>
  <si>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</si>
  <si>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</si>
  <si>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</si>
  <si>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</si>
  <si>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</si>
  <si>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</si>
  <si>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</si>
  <si>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</si>
  <si>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</si>
  <si>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</si>
  <si>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</si>
  <si>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</si>
  <si>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</si>
  <si>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</si>
  <si>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</si>
  <si>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</si>
  <si>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</si>
  <si>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</si>
  <si>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</si>
  <si>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</si>
  <si>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</si>
  <si>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</si>
  <si>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</si>
  <si>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</si>
  <si>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</si>
  <si>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</si>
  <si>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</si>
  <si>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</si>
  <si>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</si>
  <si>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</si>
  <si>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</si>
  <si>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</si>
  <si>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</si>
  <si>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</si>
  <si>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</si>
  <si>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</si>
  <si>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</si>
  <si>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</si>
  <si>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</si>
  <si>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</si>
  <si>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</si>
  <si>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</si>
  <si>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</si>
  <si>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</si>
  <si>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</si>
  <si>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</si>
  <si>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</si>
  <si>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</si>
  <si>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</si>
  <si>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</si>
  <si>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</si>
  <si>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</si>
  <si>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</si>
  <si>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</si>
  <si>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</si>
  <si>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</si>
  <si>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</si>
  <si>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</si>
  <si>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</si>
  <si>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</si>
  <si>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</si>
  <si>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</si>
  <si>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</si>
  <si>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</si>
  <si>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</si>
  <si>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</si>
  <si>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</si>
  <si>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</si>
  <si>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</si>
  <si>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</si>
  <si>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</si>
  <si>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</si>
  <si>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</si>
  <si>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</si>
  <si>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</si>
  <si>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</si>
  <si>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</si>
  <si>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</si>
  <si>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</si>
  <si>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</si>
  <si>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</si>
  <si>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</si>
  <si>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</si>
  <si>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</si>
  <si>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</si>
  <si>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</si>
  <si>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</si>
  <si>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</si>
  <si>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</si>
  <si>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</si>
  <si>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</si>
  <si>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</si>
  <si>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</si>
  <si>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</si>
  <si>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</si>
  <si>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</si>
  <si>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</si>
  <si>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</si>
  <si>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</si>
  <si>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</si>
  <si>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</si>
  <si>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</si>
  <si>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</si>
  <si>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</si>
  <si>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</si>
  <si>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</si>
  <si>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</si>
  <si>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</si>
  <si>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</si>
  <si>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</si>
  <si>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</si>
  <si>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</si>
  <si>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</si>
  <si>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</si>
  <si>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</si>
  <si>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</si>
  <si>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</si>
  <si>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</si>
  <si>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</si>
  <si>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</si>
  <si>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</si>
  <si>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</si>
  <si>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</si>
  <si>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</si>
  <si>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</si>
  <si>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</si>
  <si>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</si>
  <si>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</si>
  <si>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</si>
  <si>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</si>
  <si>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</si>
  <si>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</si>
  <si>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</si>
  <si>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</si>
  <si>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</si>
  <si>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</si>
  <si>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</si>
  <si>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</si>
  <si>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</si>
  <si>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</si>
  <si>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</si>
  <si>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</si>
  <si>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</si>
  <si>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</si>
  <si>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</si>
  <si>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</si>
  <si>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</si>
  <si>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</si>
  <si>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</si>
  <si>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</si>
  <si>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</si>
  <si>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</si>
  <si>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</si>
  <si>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</si>
  <si>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</si>
  <si>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</si>
  <si>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</si>
  <si>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</si>
  <si>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</si>
  <si>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</si>
  <si>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</si>
  <si>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</si>
  <si>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</si>
  <si>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</si>
  <si>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</si>
  <si>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</si>
  <si>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</si>
  <si>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</si>
  <si>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</si>
  <si>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</si>
  <si>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</si>
  <si>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</si>
  <si>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</si>
  <si>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</si>
  <si>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</si>
  <si>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</si>
  <si>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</si>
  <si>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</si>
  <si>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</si>
  <si>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</si>
  <si>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</si>
  <si>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</si>
  <si>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</si>
  <si>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</si>
  <si>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</si>
  <si>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</si>
  <si>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</si>
  <si>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</si>
  <si>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</si>
  <si>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</si>
  <si>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</si>
  <si>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</si>
  <si>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</si>
  <si>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</si>
  <si>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</si>
  <si>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</si>
  <si>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</si>
  <si>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</si>
  <si>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</si>
  <si>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</si>
  <si>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</si>
  <si>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</si>
  <si>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</si>
  <si>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</si>
  <si>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</si>
  <si>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</si>
  <si>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</si>
  <si>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</si>
  <si>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</si>
  <si>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</si>
  <si>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11218 S Ridgeland Avenue</t>
  </si>
  <si>
    <t>Worth</t>
  </si>
  <si>
    <t>Dr. Rita Wojtylewski</t>
  </si>
  <si>
    <t>708-448-2800</t>
  </si>
  <si>
    <t>708-448-4631</t>
  </si>
  <si>
    <t>Terry La Bella</t>
  </si>
  <si>
    <t>tlabella@sbcglobal.net</t>
  </si>
  <si>
    <t>708-952-0620</t>
  </si>
  <si>
    <t>708-952-9340</t>
  </si>
  <si>
    <t>RSM US LLP</t>
  </si>
  <si>
    <t>Mandy Pittman</t>
  </si>
  <si>
    <t>One South Wacker Drive, Suite 800</t>
  </si>
  <si>
    <t>Chicago</t>
  </si>
  <si>
    <t>Illinois</t>
  </si>
  <si>
    <t>312-634-4414</t>
  </si>
  <si>
    <t>312-634-5523</t>
  </si>
  <si>
    <t>06-5035081</t>
  </si>
  <si>
    <t>mandy.pittman@rsmus.com</t>
  </si>
  <si>
    <t>Dr. Vanessa Kinder</t>
  </si>
  <si>
    <t>vkinder@s-cook.org</t>
  </si>
  <si>
    <t>708-754-6600</t>
  </si>
  <si>
    <t>708-754-8687</t>
  </si>
  <si>
    <t>2017-001</t>
  </si>
  <si>
    <t>The District did not submit its annual data collection form within 30 calendar days of the auditor's report issuance, or nine months after year-end</t>
  </si>
  <si>
    <t>Rectified for the year ended June 30, 2017.</t>
  </si>
  <si>
    <t>Unmodified</t>
  </si>
  <si>
    <t>10.553 / 10.555 / 10.556</t>
  </si>
  <si>
    <t>Child Nutrition Cluster</t>
  </si>
  <si>
    <t>South Suburban Benefits Cooperative</t>
  </si>
  <si>
    <t>Illinois Energy Consortium (IEC)</t>
  </si>
  <si>
    <t>Worth Township Treasurer</t>
  </si>
  <si>
    <t>Eisenhower Cooperative</t>
  </si>
  <si>
    <t>Suburban School Cooperative Insurance Poool (Property/Casualty) / School Employees Loss Fund (Workers Comp)</t>
  </si>
  <si>
    <t>Capital Appreciation Bond Issue of May 27, 1998</t>
  </si>
  <si>
    <t>Capital Appreciation Bond Issue of November 24, 2004</t>
  </si>
  <si>
    <t>Capital Appreciation Bond Issue of August 31, 2005</t>
  </si>
  <si>
    <t>x</t>
  </si>
  <si>
    <t>N/A</t>
  </si>
  <si>
    <t>Transportation - Pupil Transportation Services - Transportation Services</t>
  </si>
  <si>
    <t>Operation and Maintenance - Operation and Maintenance of Plant Services - Communications</t>
  </si>
  <si>
    <t>Operation and Maintenance - Operation and Maintenance of Plant Services - Professional and Technical Services</t>
  </si>
  <si>
    <t>Ed - Special Education Programs K-12 - Other Purchased Services</t>
  </si>
  <si>
    <t>Ed - Payments for Special Education Programs - Tuition</t>
  </si>
  <si>
    <t>10-4120-670</t>
  </si>
  <si>
    <t>Alpha School Bus Company</t>
  </si>
  <si>
    <t>CallOne</t>
  </si>
  <si>
    <t>DLA, Ltd</t>
  </si>
  <si>
    <t>Elim Christian Services</t>
  </si>
  <si>
    <t>SASED</t>
  </si>
  <si>
    <t>SELF</t>
  </si>
  <si>
    <t>SSCIP</t>
  </si>
  <si>
    <t>Sunbelt Staffing</t>
  </si>
  <si>
    <t>US Bank Equipment &amp; Finance</t>
  </si>
  <si>
    <t>Operations and Maintenance - Operations and Maintenance of Plant Services - Other Property Services</t>
  </si>
  <si>
    <t>Ed - Health Services - Professional and Technical Services</t>
  </si>
  <si>
    <t>Tort - Insurance Payments - Insurance (Other than Employee Benefits)</t>
  </si>
  <si>
    <t>Tort - Workers Compensation Payments - Insurance (Other than Employee Benefits)</t>
  </si>
  <si>
    <t>Worth SD 127</t>
  </si>
  <si>
    <t>40-2550-300</t>
  </si>
  <si>
    <t>20-2540-300</t>
  </si>
  <si>
    <t>10-4000-600</t>
  </si>
  <si>
    <t>10-1000-300</t>
  </si>
  <si>
    <t>80-2300-300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</si>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</sst>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28575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3" sqref="A13:H13"/>
    </sheetView>
  </sheetViews>
  <sheetFormatPr defaultColWidth="8.5703125" defaultRowHeight="12.75" x14ac:dyDescent="0.2"/>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4" t="s">
        <v>1685</v>
      </c>
      <c r="B3" s="155"/>
      <c r="C3" s="155"/>
      <c r="D3" s="156"/>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3" t="s">
        <v>2077</v>
      </c>
      <c r="C5" s="26" t="s">
        <v>966</v>
      </c>
      <c r="D5" s="84"/>
      <c r="E5" s="84"/>
      <c r="H5" s="38"/>
      <c r="I5" s="2009" t="s">
        <v>701</v>
      </c>
      <c r="J5" s="2008"/>
      <c r="K5" s="2008"/>
      <c r="L5" s="2008"/>
      <c r="M5" s="2008"/>
      <c r="N5" s="2008"/>
      <c r="O5" s="2008"/>
      <c r="P5" s="2008"/>
      <c r="Q5" s="2008"/>
      <c r="R5" s="2008"/>
      <c r="S5" s="2008"/>
    </row>
    <row r="6" spans="1:28" ht="14.1" customHeight="1" x14ac:dyDescent="0.2">
      <c r="B6" s="103"/>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7"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34">
        <v>7016127002</v>
      </c>
      <c r="B13" s="2035"/>
      <c r="C13" s="2035"/>
      <c r="D13" s="2035"/>
      <c r="E13" s="2035"/>
      <c r="F13" s="2035"/>
      <c r="G13" s="2035"/>
      <c r="H13" s="2036"/>
      <c r="I13" s="31"/>
      <c r="J13" s="30"/>
      <c r="K13" s="28"/>
      <c r="L13" s="30"/>
      <c r="M13" s="30"/>
      <c r="N13" s="30"/>
      <c r="O13" s="30"/>
      <c r="P13" s="30"/>
      <c r="Q13" s="30"/>
      <c r="R13" s="30"/>
      <c r="S13" s="30"/>
      <c r="T13" s="2039" t="s">
        <v>2088</v>
      </c>
      <c r="U13" s="2040"/>
      <c r="V13" s="2040"/>
      <c r="W13" s="2040"/>
      <c r="X13" s="2040"/>
      <c r="Y13" s="2041"/>
      <c r="Z13" s="2041"/>
      <c r="AA13" s="2042"/>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33" t="s">
        <v>2078</v>
      </c>
      <c r="B15" s="2037"/>
      <c r="C15" s="2037"/>
      <c r="D15" s="2037"/>
      <c r="E15" s="2037"/>
      <c r="F15" s="2037"/>
      <c r="G15" s="2037"/>
      <c r="H15" s="2038"/>
      <c r="T15" s="2043" t="s">
        <v>2089</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2136</v>
      </c>
      <c r="B17" s="1994"/>
      <c r="C17" s="1994"/>
      <c r="D17" s="1994"/>
      <c r="E17" s="1994"/>
      <c r="F17" s="1994"/>
      <c r="G17" s="1994"/>
      <c r="H17" s="2019"/>
      <c r="T17" s="2050" t="s">
        <v>2090</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8" t="s">
        <v>698</v>
      </c>
      <c r="AA18" s="46"/>
    </row>
    <row r="19" spans="1:27" ht="13.5" customHeight="1" x14ac:dyDescent="0.2">
      <c r="A19" s="2033" t="s">
        <v>2079</v>
      </c>
      <c r="B19" s="1979"/>
      <c r="C19" s="1979"/>
      <c r="D19" s="1979"/>
      <c r="E19" s="1979"/>
      <c r="F19" s="1979"/>
      <c r="G19" s="1979"/>
      <c r="H19" s="1959"/>
      <c r="I19" s="30"/>
      <c r="J19" s="99"/>
      <c r="K19" s="40"/>
      <c r="L19" s="38"/>
      <c r="M19" s="111" t="s">
        <v>333</v>
      </c>
      <c r="P19" s="27"/>
      <c r="Q19" s="27"/>
      <c r="R19" s="27"/>
      <c r="S19" s="31"/>
      <c r="T19" s="2033" t="s">
        <v>2091</v>
      </c>
      <c r="U19" s="1958"/>
      <c r="V19" s="1958"/>
      <c r="W19" s="1959"/>
      <c r="X19" s="2048" t="s">
        <v>2092</v>
      </c>
      <c r="Y19" s="2049"/>
      <c r="Z19" s="2046">
        <v>60606</v>
      </c>
      <c r="AA19" s="2047"/>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57" t="s">
        <v>2080</v>
      </c>
      <c r="B21" s="1958"/>
      <c r="C21" s="1958"/>
      <c r="D21" s="1958"/>
      <c r="E21" s="1958"/>
      <c r="F21" s="1958"/>
      <c r="G21" s="1958"/>
      <c r="H21" s="1959"/>
      <c r="I21" s="2013" t="s">
        <v>699</v>
      </c>
      <c r="J21" s="2008"/>
      <c r="K21" s="2008"/>
      <c r="L21" s="2008"/>
      <c r="M21" s="2008"/>
      <c r="N21" s="2008"/>
      <c r="O21" s="2008"/>
      <c r="P21" s="2008"/>
      <c r="Q21" s="2008"/>
      <c r="R21" s="2008"/>
      <c r="S21" s="2014"/>
      <c r="T21" s="2057" t="s">
        <v>2093</v>
      </c>
      <c r="U21" s="2058"/>
      <c r="V21" s="2058"/>
      <c r="W21" s="2058"/>
      <c r="X21" s="2063" t="s">
        <v>2094</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59" t="s">
        <v>1385</v>
      </c>
      <c r="Z22" s="45"/>
      <c r="AA22" s="46"/>
    </row>
    <row r="23" spans="1:27" ht="13.5" customHeight="1" x14ac:dyDescent="0.2">
      <c r="A23" s="2010"/>
      <c r="B23" s="2011"/>
      <c r="C23" s="2011"/>
      <c r="D23" s="2011"/>
      <c r="E23" s="2011"/>
      <c r="F23" s="2011"/>
      <c r="G23" s="2011"/>
      <c r="H23" s="2012"/>
      <c r="T23" s="1993" t="s">
        <v>2095</v>
      </c>
      <c r="U23" s="2056"/>
      <c r="V23" s="2056"/>
      <c r="W23" s="2056"/>
      <c r="X23" s="2060">
        <v>44469</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4" t="s">
        <v>552</v>
      </c>
      <c r="U24" s="105"/>
      <c r="V24" s="105"/>
      <c r="W24" s="105"/>
      <c r="X24" s="106"/>
      <c r="Y24" s="106"/>
      <c r="Z24" s="106"/>
      <c r="AA24" s="107"/>
    </row>
    <row r="25" spans="1:27" ht="14.1" customHeight="1" x14ac:dyDescent="0.2">
      <c r="A25" s="1957">
        <v>60482</v>
      </c>
      <c r="B25" s="1958"/>
      <c r="C25" s="1958"/>
      <c r="D25" s="1958"/>
      <c r="E25" s="1958"/>
      <c r="F25" s="1958"/>
      <c r="G25" s="1958"/>
      <c r="H25" s="1959"/>
      <c r="I25" s="112"/>
      <c r="J25" s="1982"/>
      <c r="K25" s="1982"/>
      <c r="L25" s="1982"/>
      <c r="M25" s="1982"/>
      <c r="N25" s="1982"/>
      <c r="O25" s="1982"/>
      <c r="P25" s="1982"/>
      <c r="Q25" s="1982"/>
      <c r="R25" s="1982"/>
      <c r="S25" s="1983"/>
      <c r="T25" s="2053" t="s">
        <v>2096</v>
      </c>
      <c r="U25" s="2054"/>
      <c r="V25" s="2054"/>
      <c r="W25" s="2054"/>
      <c r="X25" s="2054"/>
      <c r="Y25" s="2054"/>
      <c r="Z25" s="2054"/>
      <c r="AA25" s="205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68" t="s">
        <v>1591</v>
      </c>
      <c r="J27" s="1969"/>
      <c r="K27" s="1969"/>
      <c r="L27" s="1969"/>
      <c r="M27" s="1969"/>
      <c r="N27" s="1969"/>
      <c r="O27" s="1969"/>
      <c r="P27" s="1969"/>
      <c r="Q27" s="1969"/>
      <c r="R27" s="1969"/>
      <c r="S27" s="1970"/>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2077</v>
      </c>
      <c r="F29" s="140" t="s">
        <v>1383</v>
      </c>
      <c r="G29" s="113"/>
      <c r="I29" s="54"/>
      <c r="J29" s="147" t="s">
        <v>2077</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2077</v>
      </c>
      <c r="K30" s="28" t="s">
        <v>597</v>
      </c>
      <c r="L30" s="101"/>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2077</v>
      </c>
      <c r="K31" s="40" t="s">
        <v>940</v>
      </c>
      <c r="L31" s="101"/>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2115</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3" t="s">
        <v>2081</v>
      </c>
      <c r="B38" s="1994"/>
      <c r="C38" s="1994"/>
      <c r="D38" s="1994"/>
      <c r="E38" s="1994"/>
      <c r="F38" s="1958"/>
      <c r="G38" s="1958"/>
      <c r="H38" s="1959"/>
      <c r="I38" s="1986" t="s">
        <v>2084</v>
      </c>
      <c r="J38" s="1987"/>
      <c r="K38" s="1987"/>
      <c r="L38" s="1987"/>
      <c r="M38" s="1987"/>
      <c r="N38" s="1987"/>
      <c r="O38" s="1987"/>
      <c r="P38" s="1988"/>
      <c r="Q38" s="1988"/>
      <c r="R38" s="1988"/>
      <c r="S38" s="1989"/>
      <c r="T38" s="2043" t="s">
        <v>2097</v>
      </c>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c r="B40" s="1972"/>
      <c r="C40" s="1973"/>
      <c r="D40" s="1973"/>
      <c r="E40" s="1973"/>
      <c r="F40" s="1974"/>
      <c r="G40" s="1974"/>
      <c r="H40" s="1975"/>
      <c r="I40" s="1996" t="s">
        <v>2085</v>
      </c>
      <c r="J40" s="1997"/>
      <c r="K40" s="1997"/>
      <c r="L40" s="1997"/>
      <c r="M40" s="1997"/>
      <c r="N40" s="1997"/>
      <c r="O40" s="1997"/>
      <c r="P40" s="1997"/>
      <c r="Q40" s="1997"/>
      <c r="R40" s="1997"/>
      <c r="S40" s="1998"/>
      <c r="T40" s="1996" t="s">
        <v>2098</v>
      </c>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2082</v>
      </c>
      <c r="B42" s="1977"/>
      <c r="C42" s="1978"/>
      <c r="D42" s="1976" t="s">
        <v>2083</v>
      </c>
      <c r="E42" s="1977"/>
      <c r="F42" s="1977"/>
      <c r="G42" s="1977"/>
      <c r="H42" s="1978"/>
      <c r="I42" s="1960" t="s">
        <v>2086</v>
      </c>
      <c r="J42" s="1961"/>
      <c r="K42" s="1961"/>
      <c r="L42" s="1961"/>
      <c r="M42" s="1961"/>
      <c r="N42" s="1961"/>
      <c r="O42" s="1962"/>
      <c r="P42" s="1995" t="s">
        <v>2087</v>
      </c>
      <c r="Q42" s="1961"/>
      <c r="R42" s="1961"/>
      <c r="S42" s="1962"/>
      <c r="T42" s="1960" t="s">
        <v>2099</v>
      </c>
      <c r="U42" s="1961"/>
      <c r="V42" s="1961"/>
      <c r="W42" s="1962"/>
      <c r="X42" s="1995" t="s">
        <v>2100</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7" zoomScale="110" zoomScaleNormal="110" workbookViewId="0">
      <selection activeCell="B23" sqref="B23"/>
    </sheetView>
  </sheetViews>
  <sheetFormatPr defaultColWidth="9.140625" defaultRowHeight="12" x14ac:dyDescent="0.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58" t="s">
        <v>1709</v>
      </c>
    </row>
    <row r="23" spans="1:5" x14ac:dyDescent="0.2">
      <c r="A23" s="167"/>
      <c r="B23" s="161" t="s">
        <v>1969</v>
      </c>
      <c r="D23" s="166" t="s">
        <v>658</v>
      </c>
      <c r="E23" s="1858"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69" t="s">
        <v>1125</v>
      </c>
      <c r="B35" s="2069"/>
      <c r="C35" s="2069"/>
      <c r="D35" s="2069"/>
      <c r="E35" s="206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0" t="s">
        <v>1230</v>
      </c>
      <c r="B2" s="2070"/>
      <c r="C2" s="2070"/>
      <c r="D2" s="2070"/>
      <c r="E2" s="2070"/>
      <c r="F2" s="2070"/>
      <c r="G2" s="2070"/>
      <c r="H2" s="2070"/>
      <c r="I2" s="2070"/>
      <c r="J2" s="2070"/>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4" t="s">
        <v>1731</v>
      </c>
      <c r="B35" s="2085"/>
      <c r="C35" s="2085"/>
      <c r="D35" s="2085"/>
      <c r="E35" s="2086"/>
      <c r="F35" s="2086"/>
      <c r="G35" s="2086"/>
      <c r="H35" s="2086"/>
      <c r="I35" s="2086"/>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4" t="s">
        <v>331</v>
      </c>
      <c r="B47" s="2087"/>
      <c r="C47" s="2087"/>
      <c r="D47" s="2087"/>
      <c r="E47" s="2088"/>
      <c r="F47" s="2088"/>
      <c r="G47" s="2088"/>
      <c r="H47" s="2088"/>
      <c r="I47" s="2088"/>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2077</v>
      </c>
      <c r="C53" s="178">
        <v>22</v>
      </c>
      <c r="D53" s="246" t="s">
        <v>1537</v>
      </c>
      <c r="E53" s="247"/>
      <c r="F53" s="248"/>
      <c r="G53" s="248" t="s">
        <v>1536</v>
      </c>
      <c r="H53" s="249">
        <v>34700</v>
      </c>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1"/>
      <c r="C57" s="2092"/>
      <c r="D57" s="2092"/>
      <c r="E57" s="2092"/>
      <c r="F57" s="2092"/>
      <c r="G57" s="2092"/>
      <c r="H57" s="2092"/>
      <c r="I57" s="2092"/>
      <c r="J57" s="2093"/>
    </row>
    <row r="58" spans="1:10" s="180" customFormat="1" x14ac:dyDescent="0.2">
      <c r="A58" s="252"/>
      <c r="B58" s="2094"/>
      <c r="C58" s="2095"/>
      <c r="D58" s="2095"/>
      <c r="E58" s="2095"/>
      <c r="F58" s="2095"/>
      <c r="G58" s="2095"/>
      <c r="H58" s="2095"/>
      <c r="I58" s="2095"/>
      <c r="J58" s="2096"/>
    </row>
    <row r="59" spans="1:10" s="180" customFormat="1" x14ac:dyDescent="0.2">
      <c r="A59" s="252"/>
      <c r="B59" s="2094"/>
      <c r="C59" s="2095"/>
      <c r="D59" s="2095"/>
      <c r="E59" s="2095"/>
      <c r="F59" s="2095"/>
      <c r="G59" s="2095"/>
      <c r="H59" s="2095"/>
      <c r="I59" s="2095"/>
      <c r="J59" s="2096"/>
    </row>
    <row r="60" spans="1:10" s="180" customFormat="1" x14ac:dyDescent="0.2">
      <c r="A60" s="252"/>
      <c r="B60" s="2094"/>
      <c r="C60" s="2095"/>
      <c r="D60" s="2095"/>
      <c r="E60" s="2095"/>
      <c r="F60" s="2095"/>
      <c r="G60" s="2095"/>
      <c r="H60" s="2095"/>
      <c r="I60" s="2095"/>
      <c r="J60" s="2096"/>
    </row>
    <row r="61" spans="1:10" s="180" customFormat="1" x14ac:dyDescent="0.2">
      <c r="A61" s="252"/>
      <c r="B61" s="2094"/>
      <c r="C61" s="2095"/>
      <c r="D61" s="2095"/>
      <c r="E61" s="2095"/>
      <c r="F61" s="2095"/>
      <c r="G61" s="2095"/>
      <c r="H61" s="2095"/>
      <c r="I61" s="2095"/>
      <c r="J61" s="2096"/>
    </row>
    <row r="62" spans="1:10" s="180" customFormat="1" x14ac:dyDescent="0.2">
      <c r="A62" s="252"/>
      <c r="B62" s="2094"/>
      <c r="C62" s="2095"/>
      <c r="D62" s="2095"/>
      <c r="E62" s="2095"/>
      <c r="F62" s="2095"/>
      <c r="G62" s="2095"/>
      <c r="H62" s="2095"/>
      <c r="I62" s="2095"/>
      <c r="J62" s="2096"/>
    </row>
    <row r="63" spans="1:10" s="180" customFormat="1" x14ac:dyDescent="0.2">
      <c r="A63" s="252"/>
      <c r="B63" s="2094"/>
      <c r="C63" s="2095"/>
      <c r="D63" s="2095"/>
      <c r="E63" s="2095"/>
      <c r="F63" s="2095"/>
      <c r="G63" s="2095"/>
      <c r="H63" s="2095"/>
      <c r="I63" s="2095"/>
      <c r="J63" s="2096"/>
    </row>
    <row r="64" spans="1:10" s="180" customFormat="1" x14ac:dyDescent="0.2">
      <c r="A64" s="252"/>
      <c r="B64" s="2094"/>
      <c r="C64" s="2095"/>
      <c r="D64" s="2095"/>
      <c r="E64" s="2095"/>
      <c r="F64" s="2095"/>
      <c r="G64" s="2095"/>
      <c r="H64" s="2095"/>
      <c r="I64" s="2095"/>
      <c r="J64" s="2096"/>
    </row>
    <row r="65" spans="1:10" s="180" customFormat="1" x14ac:dyDescent="0.2">
      <c r="A65" s="252"/>
      <c r="B65" s="2094"/>
      <c r="C65" s="2095"/>
      <c r="D65" s="2095"/>
      <c r="E65" s="2095"/>
      <c r="F65" s="2095"/>
      <c r="G65" s="2095"/>
      <c r="H65" s="2095"/>
      <c r="I65" s="2095"/>
      <c r="J65" s="2096"/>
    </row>
    <row r="66" spans="1:10" s="180" customFormat="1" x14ac:dyDescent="0.2">
      <c r="A66" s="252"/>
      <c r="B66" s="2094"/>
      <c r="C66" s="2095"/>
      <c r="D66" s="2095"/>
      <c r="E66" s="2095"/>
      <c r="F66" s="2095"/>
      <c r="G66" s="2095"/>
      <c r="H66" s="2095"/>
      <c r="I66" s="2095"/>
      <c r="J66" s="2096"/>
    </row>
    <row r="67" spans="1:10" s="180" customFormat="1" ht="9" customHeight="1" x14ac:dyDescent="0.2">
      <c r="A67" s="253"/>
      <c r="B67" s="2097"/>
      <c r="C67" s="2098"/>
      <c r="D67" s="2098"/>
      <c r="E67" s="2098"/>
      <c r="F67" s="2098"/>
      <c r="G67" s="2098"/>
      <c r="H67" s="2098"/>
      <c r="I67" s="2098"/>
      <c r="J67" s="209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4" t="s">
        <v>1390</v>
      </c>
      <c r="B70" s="2087"/>
      <c r="C70" s="2087"/>
      <c r="D70" s="2087"/>
      <c r="E70" s="2088"/>
      <c r="F70" s="2088"/>
      <c r="G70" s="2088"/>
      <c r="H70" s="2088"/>
      <c r="I70" s="2088"/>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9" t="s">
        <v>1387</v>
      </c>
      <c r="B83" s="2089"/>
      <c r="C83" s="2089"/>
      <c r="D83" s="2090"/>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1"/>
      <c r="C102" s="2072"/>
      <c r="D102" s="2072"/>
      <c r="E102" s="2072"/>
      <c r="F102" s="2072"/>
      <c r="G102" s="2072"/>
      <c r="H102" s="2072"/>
      <c r="I102" s="2073"/>
    </row>
    <row r="103" spans="1:9" s="180" customFormat="1" ht="11.25" customHeight="1" x14ac:dyDescent="0.2">
      <c r="A103" s="315"/>
      <c r="B103" s="2074"/>
      <c r="C103" s="2075"/>
      <c r="D103" s="2075"/>
      <c r="E103" s="2075"/>
      <c r="F103" s="2075"/>
      <c r="G103" s="2075"/>
      <c r="H103" s="2075"/>
      <c r="I103" s="2076"/>
    </row>
    <row r="104" spans="1:9" s="180" customFormat="1" ht="11.25" customHeight="1" x14ac:dyDescent="0.2">
      <c r="A104" s="315"/>
      <c r="B104" s="2074"/>
      <c r="C104" s="2075"/>
      <c r="D104" s="2075"/>
      <c r="E104" s="2075"/>
      <c r="F104" s="2075"/>
      <c r="G104" s="2075"/>
      <c r="H104" s="2075"/>
      <c r="I104" s="2076"/>
    </row>
    <row r="105" spans="1:9" s="180" customFormat="1" x14ac:dyDescent="0.2">
      <c r="A105" s="315"/>
      <c r="B105" s="2074"/>
      <c r="C105" s="2075"/>
      <c r="D105" s="2075"/>
      <c r="E105" s="2075"/>
      <c r="F105" s="2075"/>
      <c r="G105" s="2075"/>
      <c r="H105" s="2075"/>
      <c r="I105" s="2076"/>
    </row>
    <row r="106" spans="1:9" s="180" customFormat="1" ht="11.25" customHeight="1" x14ac:dyDescent="0.2">
      <c r="A106" s="315"/>
      <c r="B106" s="2074"/>
      <c r="C106" s="2075"/>
      <c r="D106" s="2075"/>
      <c r="E106" s="2075"/>
      <c r="F106" s="2075"/>
      <c r="G106" s="2075"/>
      <c r="H106" s="2075"/>
      <c r="I106" s="2076"/>
    </row>
    <row r="107" spans="1:9" s="180" customFormat="1" ht="11.25" customHeight="1" x14ac:dyDescent="0.2">
      <c r="A107" s="315"/>
      <c r="B107" s="2074"/>
      <c r="C107" s="2075"/>
      <c r="D107" s="2075"/>
      <c r="E107" s="2075"/>
      <c r="F107" s="2075"/>
      <c r="G107" s="2075"/>
      <c r="H107" s="2075"/>
      <c r="I107" s="2076"/>
    </row>
    <row r="108" spans="1:9" s="180" customFormat="1" ht="11.25" customHeight="1" x14ac:dyDescent="0.2">
      <c r="A108" s="315"/>
      <c r="B108" s="2074"/>
      <c r="C108" s="2075"/>
      <c r="D108" s="2075"/>
      <c r="E108" s="2075"/>
      <c r="F108" s="2075"/>
      <c r="G108" s="2075"/>
      <c r="H108" s="2075"/>
      <c r="I108" s="2076"/>
    </row>
    <row r="109" spans="1:9" s="180" customFormat="1" ht="11.25" customHeight="1" x14ac:dyDescent="0.2">
      <c r="A109" s="315"/>
      <c r="B109" s="2074"/>
      <c r="C109" s="2075"/>
      <c r="D109" s="2075"/>
      <c r="E109" s="2075"/>
      <c r="F109" s="2075"/>
      <c r="G109" s="2075"/>
      <c r="H109" s="2075"/>
      <c r="I109" s="2076"/>
    </row>
    <row r="110" spans="1:9" s="180" customFormat="1" ht="11.25" customHeight="1" x14ac:dyDescent="0.2">
      <c r="A110" s="315"/>
      <c r="B110" s="2074"/>
      <c r="C110" s="2075"/>
      <c r="D110" s="2075"/>
      <c r="E110" s="2075"/>
      <c r="F110" s="2075"/>
      <c r="G110" s="2075"/>
      <c r="H110" s="2075"/>
      <c r="I110" s="2076"/>
    </row>
    <row r="111" spans="1:9" s="180" customFormat="1" ht="11.25" customHeight="1" x14ac:dyDescent="0.2">
      <c r="A111" s="315"/>
      <c r="B111" s="2074"/>
      <c r="C111" s="2075"/>
      <c r="D111" s="2075"/>
      <c r="E111" s="2075"/>
      <c r="F111" s="2075"/>
      <c r="G111" s="2075"/>
      <c r="H111" s="2075"/>
      <c r="I111" s="2076"/>
    </row>
    <row r="112" spans="1:9" s="180" customFormat="1" ht="11.25" customHeight="1" x14ac:dyDescent="0.2">
      <c r="A112" s="315"/>
      <c r="B112" s="2077"/>
      <c r="C112" s="2078"/>
      <c r="D112" s="2078"/>
      <c r="E112" s="2078"/>
      <c r="F112" s="2078"/>
      <c r="G112" s="2078"/>
      <c r="H112" s="2078"/>
      <c r="I112" s="207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0" t="s">
        <v>2088</v>
      </c>
      <c r="D114" s="2080"/>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1" t="s">
        <v>1397</v>
      </c>
      <c r="D117" s="2082"/>
      <c r="E117" s="2083"/>
      <c r="F117" s="2083"/>
      <c r="G117" s="2083"/>
      <c r="H117" s="2083"/>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2022</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x14ac:dyDescent="0.2">
      <c r="A1" s="2100" t="s">
        <v>404</v>
      </c>
      <c r="B1" s="2100"/>
      <c r="C1" s="2100"/>
      <c r="D1" s="2100"/>
      <c r="E1" s="2100"/>
      <c r="F1" s="2100"/>
      <c r="G1" s="2100"/>
      <c r="H1" s="2100"/>
      <c r="I1" s="2100"/>
      <c r="J1" s="2100"/>
      <c r="K1" s="2100"/>
      <c r="L1" s="2100"/>
      <c r="M1" s="2100"/>
      <c r="N1" s="345"/>
    </row>
    <row r="2" spans="1:14" ht="11.1"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178548611</v>
      </c>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4.1480000000000003E-2</v>
      </c>
      <c r="E10" s="355" t="s">
        <v>1062</v>
      </c>
      <c r="F10" s="354">
        <v>4.7089999999999996E-3</v>
      </c>
      <c r="G10" s="355" t="s">
        <v>1062</v>
      </c>
      <c r="H10" s="354">
        <v>1.8959999999999999E-3</v>
      </c>
      <c r="I10" s="355" t="s">
        <v>1063</v>
      </c>
      <c r="J10" s="1753">
        <f>ROUND(D10+F10+H10,5)</f>
        <v>4.8090000000000001E-2</v>
      </c>
      <c r="K10" s="221"/>
      <c r="L10" s="354">
        <v>4.28E-4</v>
      </c>
      <c r="M10" s="221"/>
    </row>
    <row r="11" spans="1:14" ht="7.5" customHeight="1" x14ac:dyDescent="0.2">
      <c r="B11" s="221"/>
      <c r="C11" s="221"/>
      <c r="D11" s="2110" t="str">
        <f>IF(SUM(J10)&lt;=0.0999999,"","Enter the Tax Rates by moving the decimal two places to the left.")</f>
        <v/>
      </c>
      <c r="E11" s="2111"/>
      <c r="F11" s="2111"/>
      <c r="G11" s="2111"/>
      <c r="H11" s="2111"/>
      <c r="I11" s="2111"/>
      <c r="J11" s="211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15832475</v>
      </c>
      <c r="E16" s="355"/>
      <c r="F16" s="1754">
        <f>SUM('Acct Summary 7-8'!C17,'Acct Summary 7-8'!D17,'Acct Summary 7-8'!F17)</f>
        <v>13960359</v>
      </c>
      <c r="G16" s="355"/>
      <c r="H16" s="1754">
        <f>SUM(D16-F16)</f>
        <v>1872116</v>
      </c>
      <c r="I16" s="221"/>
      <c r="J16" s="1754">
        <f>SUM('Acct Summary 7-8'!C81,'Acct Summary 7-8'!D81,'Acct Summary 7-8'!F81,'Acct Summary 7-8'!I81)</f>
        <v>12902993</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56">
        <f>IF(B31="X",(J7*0.069),IF(B32="X",(J7*0.138),"Enter x in a.or b."))</f>
        <v>12319854.159000002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3993421</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1"/>
      <c r="C54" s="2102"/>
      <c r="D54" s="2102"/>
      <c r="E54" s="2102"/>
      <c r="F54" s="2102"/>
      <c r="G54" s="2102"/>
      <c r="H54" s="2102"/>
      <c r="I54" s="2102"/>
      <c r="J54" s="2102"/>
      <c r="K54" s="2102"/>
      <c r="L54" s="2103"/>
      <c r="M54" s="379"/>
    </row>
    <row r="55" spans="1:13" ht="12.75" customHeight="1" x14ac:dyDescent="0.2">
      <c r="B55" s="2104"/>
      <c r="C55" s="2105"/>
      <c r="D55" s="2105"/>
      <c r="E55" s="2105"/>
      <c r="F55" s="2105"/>
      <c r="G55" s="2105"/>
      <c r="H55" s="2105"/>
      <c r="I55" s="2105"/>
      <c r="J55" s="2105"/>
      <c r="K55" s="2105"/>
      <c r="L55" s="2106"/>
      <c r="M55" s="379"/>
    </row>
    <row r="56" spans="1:13" ht="12.75" customHeight="1" x14ac:dyDescent="0.2">
      <c r="B56" s="2104"/>
      <c r="C56" s="2105"/>
      <c r="D56" s="2105"/>
      <c r="E56" s="2105"/>
      <c r="F56" s="2105"/>
      <c r="G56" s="2105"/>
      <c r="H56" s="2105"/>
      <c r="I56" s="2105"/>
      <c r="J56" s="2105"/>
      <c r="K56" s="2105"/>
      <c r="L56" s="2106"/>
      <c r="M56" s="221"/>
    </row>
    <row r="57" spans="1:13" ht="12.75" customHeight="1" x14ac:dyDescent="0.2">
      <c r="B57" s="2104"/>
      <c r="C57" s="2105"/>
      <c r="D57" s="2105"/>
      <c r="E57" s="2105"/>
      <c r="F57" s="2105"/>
      <c r="G57" s="2105"/>
      <c r="H57" s="2105"/>
      <c r="I57" s="2105"/>
      <c r="J57" s="2105"/>
      <c r="K57" s="2105"/>
      <c r="L57" s="2106"/>
      <c r="M57" s="221"/>
    </row>
    <row r="58" spans="1:13" x14ac:dyDescent="0.2">
      <c r="B58" s="2107"/>
      <c r="C58" s="2108"/>
      <c r="D58" s="2108"/>
      <c r="E58" s="2108"/>
      <c r="F58" s="2108"/>
      <c r="G58" s="2108"/>
      <c r="H58" s="2108"/>
      <c r="I58" s="2108"/>
      <c r="J58" s="2108"/>
      <c r="K58" s="2108"/>
      <c r="L58" s="210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2"/>
      <c r="D61" s="211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K12" sqref="K12"/>
    </sheetView>
  </sheetViews>
  <sheetFormatPr defaultColWidth="9.140625" defaultRowHeight="12" x14ac:dyDescent="0.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x14ac:dyDescent="0.2">
      <c r="A1" s="2115"/>
      <c r="B1" s="2116"/>
      <c r="C1" s="2116"/>
      <c r="D1" s="383"/>
      <c r="E1" s="383"/>
      <c r="F1" s="383"/>
      <c r="G1" s="383"/>
      <c r="H1" s="383"/>
      <c r="I1" s="383"/>
      <c r="J1" s="383"/>
      <c r="K1" s="383"/>
      <c r="L1" s="383"/>
      <c r="M1" s="383"/>
      <c r="N1" s="383"/>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Worth SD 127</v>
      </c>
      <c r="E7" s="390"/>
      <c r="G7" s="251"/>
      <c r="H7" s="386"/>
      <c r="I7" s="386"/>
      <c r="J7" s="386"/>
      <c r="K7" s="386"/>
      <c r="L7" s="328"/>
      <c r="M7" s="328"/>
      <c r="N7" s="328"/>
      <c r="O7" s="328"/>
      <c r="P7" s="328"/>
    </row>
    <row r="8" spans="1:18" ht="12.75" x14ac:dyDescent="0.2">
      <c r="A8" s="328"/>
      <c r="B8" s="328"/>
      <c r="C8" s="388" t="s">
        <v>1187</v>
      </c>
      <c r="D8" s="391">
        <f>COVER!A13</f>
        <v>7016127002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12902993</v>
      </c>
      <c r="I12" s="403"/>
      <c r="J12" s="403"/>
      <c r="K12" s="404">
        <f>TRUNC((H12/H13*100000),5)/100000</f>
        <v>0.81497005359999997</v>
      </c>
      <c r="L12" s="405"/>
      <c r="M12" s="359" t="s">
        <v>1206</v>
      </c>
      <c r="N12" s="359"/>
      <c r="O12" s="406">
        <v>0.35</v>
      </c>
      <c r="P12" s="217"/>
      <c r="Q12" s="217"/>
    </row>
    <row r="13" spans="1:18" s="407" customFormat="1" ht="12.75" x14ac:dyDescent="0.2">
      <c r="A13" s="217"/>
      <c r="B13" s="400"/>
      <c r="C13" s="2117" t="s">
        <v>1391</v>
      </c>
      <c r="D13" s="2118"/>
      <c r="E13" s="217"/>
      <c r="F13" s="408" t="s">
        <v>826</v>
      </c>
      <c r="G13" s="401"/>
      <c r="H13" s="402">
        <f>SUM('Acct Summary 7-8'!C8+'Acct Summary 7-8'!D8+'Acct Summary 7-8'!F8+'Acct Summary 7-8'!I8)+H14</f>
        <v>15832475</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13960359</v>
      </c>
      <c r="I17" s="403"/>
      <c r="J17" s="415"/>
      <c r="K17" s="404">
        <f>TRUNC((H17/H18*100000),5)/100000</f>
        <v>0.88175468450000005</v>
      </c>
      <c r="L17" s="405"/>
      <c r="M17" s="416" t="s">
        <v>1233</v>
      </c>
      <c r="O17" s="417" t="str">
        <f>IF(AND(O16="2", J20 &gt; 2),"1",IF(AND(O16 = "1", J20 &gt; 2),"2",IF(AND(O16="1", J20 &gt;1),"1","0")))</f>
        <v>0</v>
      </c>
      <c r="P17" s="217"/>
    </row>
    <row r="18" spans="1:18" s="407" customFormat="1" ht="11.25" x14ac:dyDescent="0.2">
      <c r="A18" s="217"/>
      <c r="B18" s="400"/>
      <c r="C18" s="2117" t="s">
        <v>1384</v>
      </c>
      <c r="D18" s="2118"/>
      <c r="E18" s="217"/>
      <c r="F18" s="418" t="s">
        <v>827</v>
      </c>
      <c r="G18" s="401"/>
      <c r="H18" s="402">
        <f>SUM('Acct Summary 7-8'!C8+'Acct Summary 7-8'!D8+'Acct Summary 7-8'!F8+'Acct Summary 7-8'!I8)+H19</f>
        <v>15832475</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4" t="s">
        <v>1479</v>
      </c>
      <c r="D24" s="2114"/>
      <c r="E24" s="217"/>
      <c r="F24" s="217" t="s">
        <v>465</v>
      </c>
      <c r="G24" s="401"/>
      <c r="H24" s="402">
        <f>SUM('Assets-Liab 5-6'!C4+'Assets-Liab 5-6'!D4+'Assets-Liab 5-6'!F4+'Assets-Liab 5-6'!I4+'Assets-Liab 5-6'!C5+'Assets-Liab 5-6'!D5+'Assets-Liab 5-6'!F5+'Assets-Liab 5-6'!I5)</f>
        <v>12912282</v>
      </c>
      <c r="I24" s="421"/>
      <c r="J24" s="421"/>
      <c r="K24" s="422">
        <f>TRUNC(((H24/H25*100000)/100000),2)</f>
        <v>332.97</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38778.775000000001</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7298442.2975399997</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3993421</v>
      </c>
      <c r="I32" s="419"/>
      <c r="J32" s="419"/>
      <c r="K32" s="422">
        <f>TRUNC(100-((((H32/H33*100))*100)/100),2)</f>
        <v>67.58</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12319854.159000002</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C39" sqref="C39"/>
      <selection pane="bottomLeft" activeCell="G39" sqref="G39"/>
    </sheetView>
  </sheetViews>
  <sheetFormatPr defaultColWidth="9.140625" defaultRowHeight="12.75" x14ac:dyDescent="0.2"/>
  <cols>
    <col min="1" max="1" width="47.42578125" style="500" customWidth="1"/>
    <col min="2" max="2" width="4.5703125" style="501" customWidth="1"/>
    <col min="3" max="14" width="13.5703125" style="456" customWidth="1"/>
    <col min="15" max="16384" width="9.140625" style="456"/>
  </cols>
  <sheetData>
    <row r="1" spans="1:14" x14ac:dyDescent="0.2">
      <c r="A1" s="2122"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3"/>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4" t="s">
        <v>1030</v>
      </c>
      <c r="B3" s="2125"/>
      <c r="C3" s="1580"/>
      <c r="D3" s="1581"/>
      <c r="E3" s="1581"/>
      <c r="F3" s="1581"/>
      <c r="G3" s="1581"/>
      <c r="H3" s="1581"/>
      <c r="I3" s="1581"/>
      <c r="J3" s="1581"/>
      <c r="K3" s="1581"/>
      <c r="L3" s="1581"/>
      <c r="M3" s="1582"/>
      <c r="N3" s="1583"/>
    </row>
    <row r="4" spans="1:14" ht="13.5" customHeight="1" x14ac:dyDescent="0.2">
      <c r="A4" s="462" t="s">
        <v>1750</v>
      </c>
      <c r="B4" s="463"/>
      <c r="C4" s="464">
        <v>7700058</v>
      </c>
      <c r="D4" s="465">
        <v>3187170</v>
      </c>
      <c r="E4" s="465">
        <v>4226</v>
      </c>
      <c r="F4" s="465">
        <v>450855</v>
      </c>
      <c r="G4" s="465">
        <v>921391</v>
      </c>
      <c r="H4" s="465">
        <v>0</v>
      </c>
      <c r="I4" s="465">
        <v>1574199</v>
      </c>
      <c r="J4" s="466">
        <v>257211</v>
      </c>
      <c r="K4" s="465">
        <v>686808</v>
      </c>
      <c r="L4" s="465">
        <v>78532</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7700058</v>
      </c>
      <c r="D13" s="1758">
        <f t="shared" ref="D13:L13" si="0">SUM(D4:D12)</f>
        <v>3187170</v>
      </c>
      <c r="E13" s="1758">
        <f t="shared" si="0"/>
        <v>4226</v>
      </c>
      <c r="F13" s="1758">
        <f t="shared" si="0"/>
        <v>450855</v>
      </c>
      <c r="G13" s="1758">
        <f t="shared" si="0"/>
        <v>921391</v>
      </c>
      <c r="H13" s="1758">
        <f t="shared" si="0"/>
        <v>0</v>
      </c>
      <c r="I13" s="1758">
        <f t="shared" si="0"/>
        <v>1574199</v>
      </c>
      <c r="J13" s="1758">
        <f t="shared" si="0"/>
        <v>257211</v>
      </c>
      <c r="K13" s="1758">
        <f t="shared" si="0"/>
        <v>686808</v>
      </c>
      <c r="L13" s="1758">
        <f t="shared" si="0"/>
        <v>78532</v>
      </c>
      <c r="M13" s="467"/>
      <c r="N13" s="468"/>
    </row>
    <row r="14" spans="1:14" ht="18" customHeight="1" thickTop="1" x14ac:dyDescent="0.2">
      <c r="A14" s="2126" t="s">
        <v>149</v>
      </c>
      <c r="B14" s="2127"/>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110334</v>
      </c>
      <c r="N16" s="483"/>
    </row>
    <row r="17" spans="1:14" s="484" customFormat="1" ht="12.75" customHeight="1" x14ac:dyDescent="0.2">
      <c r="A17" s="481" t="s">
        <v>1470</v>
      </c>
      <c r="B17" s="482">
        <v>230</v>
      </c>
      <c r="C17" s="476"/>
      <c r="D17" s="476"/>
      <c r="E17" s="476"/>
      <c r="F17" s="476"/>
      <c r="G17" s="476"/>
      <c r="H17" s="476"/>
      <c r="I17" s="476"/>
      <c r="J17" s="476"/>
      <c r="K17" s="476"/>
      <c r="L17" s="476"/>
      <c r="M17" s="466">
        <v>7391288</v>
      </c>
      <c r="N17" s="483"/>
    </row>
    <row r="18" spans="1:14" s="484" customFormat="1" ht="12.75" customHeight="1" x14ac:dyDescent="0.2">
      <c r="A18" s="481" t="s">
        <v>1471</v>
      </c>
      <c r="B18" s="482">
        <v>240</v>
      </c>
      <c r="C18" s="476"/>
      <c r="D18" s="476"/>
      <c r="E18" s="476"/>
      <c r="F18" s="476"/>
      <c r="G18" s="476"/>
      <c r="H18" s="476"/>
      <c r="I18" s="476"/>
      <c r="J18" s="476"/>
      <c r="K18" s="476"/>
      <c r="L18" s="476"/>
      <c r="M18" s="466"/>
      <c r="N18" s="483"/>
    </row>
    <row r="19" spans="1:14" s="484" customFormat="1" ht="12.75" customHeight="1" x14ac:dyDescent="0.2">
      <c r="A19" s="481" t="s">
        <v>1472</v>
      </c>
      <c r="B19" s="482">
        <v>250</v>
      </c>
      <c r="C19" s="476"/>
      <c r="D19" s="476"/>
      <c r="E19" s="476"/>
      <c r="F19" s="476"/>
      <c r="G19" s="476"/>
      <c r="H19" s="476"/>
      <c r="I19" s="476"/>
      <c r="J19" s="476"/>
      <c r="K19" s="476"/>
      <c r="L19" s="476"/>
      <c r="M19" s="466">
        <v>629911</v>
      </c>
      <c r="N19" s="483"/>
    </row>
    <row r="20" spans="1:14" s="484" customFormat="1" ht="12.75" customHeight="1" x14ac:dyDescent="0.2">
      <c r="A20" s="481" t="s">
        <v>1473</v>
      </c>
      <c r="B20" s="482">
        <v>260</v>
      </c>
      <c r="C20" s="476"/>
      <c r="D20" s="476"/>
      <c r="E20" s="476"/>
      <c r="F20" s="476"/>
      <c r="G20" s="476"/>
      <c r="H20" s="476"/>
      <c r="I20" s="476"/>
      <c r="J20" s="476"/>
      <c r="K20" s="476"/>
      <c r="L20" s="476"/>
      <c r="M20" s="466">
        <v>360932</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f>E41</f>
        <v>4226</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3989195</v>
      </c>
    </row>
    <row r="23" spans="1:14" ht="13.5" customHeight="1" thickBot="1" x14ac:dyDescent="0.25">
      <c r="A23" s="1757" t="s">
        <v>664</v>
      </c>
      <c r="B23" s="1762"/>
      <c r="C23" s="467"/>
      <c r="D23" s="467"/>
      <c r="E23" s="467"/>
      <c r="F23" s="467"/>
      <c r="G23" s="467"/>
      <c r="H23" s="467"/>
      <c r="I23" s="467"/>
      <c r="J23" s="467"/>
      <c r="K23" s="467"/>
      <c r="L23" s="467"/>
      <c r="M23" s="1709">
        <f>SUM(M15:M22)</f>
        <v>8492465</v>
      </c>
      <c r="N23" s="1709">
        <f>SUM(N21:N22)</f>
        <v>3993421</v>
      </c>
    </row>
    <row r="24" spans="1:14" ht="18" customHeight="1" thickTop="1" x14ac:dyDescent="0.2">
      <c r="A24" s="2128" t="s">
        <v>619</v>
      </c>
      <c r="B24" s="2129"/>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v>9289</v>
      </c>
      <c r="D31" s="466"/>
      <c r="E31" s="466"/>
      <c r="F31" s="465"/>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78532</v>
      </c>
      <c r="M33" s="467"/>
      <c r="N33" s="468"/>
    </row>
    <row r="34" spans="1:14" ht="13.5" customHeight="1" thickBot="1" x14ac:dyDescent="0.25">
      <c r="A34" s="1759" t="s">
        <v>675</v>
      </c>
      <c r="B34" s="1760"/>
      <c r="C34" s="1761">
        <f>SUM(C25:C33)</f>
        <v>9289</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78532</v>
      </c>
      <c r="M34" s="467"/>
      <c r="N34" s="479"/>
    </row>
    <row r="35" spans="1:14" ht="18" customHeight="1" thickTop="1" x14ac:dyDescent="0.2">
      <c r="A35" s="2130" t="s">
        <v>550</v>
      </c>
      <c r="B35" s="2131"/>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3993421</v>
      </c>
    </row>
    <row r="37" spans="1:14" ht="13.5" thickBot="1" x14ac:dyDescent="0.25">
      <c r="A37" s="1757" t="s">
        <v>674</v>
      </c>
      <c r="B37" s="1762"/>
      <c r="C37" s="476"/>
      <c r="D37" s="476"/>
      <c r="E37" s="476"/>
      <c r="F37" s="476"/>
      <c r="G37" s="476"/>
      <c r="H37" s="476"/>
      <c r="I37" s="476"/>
      <c r="J37" s="476"/>
      <c r="K37" s="476"/>
      <c r="L37" s="479"/>
      <c r="M37" s="467"/>
      <c r="N37" s="1709">
        <f>SUM(N36:N36)</f>
        <v>3993421</v>
      </c>
    </row>
    <row r="38" spans="1:14" s="328" customFormat="1" ht="13.5" customHeight="1" thickTop="1" x14ac:dyDescent="0.2">
      <c r="A38" s="495" t="s">
        <v>440</v>
      </c>
      <c r="B38" s="482">
        <v>714</v>
      </c>
      <c r="C38" s="465"/>
      <c r="D38" s="465">
        <v>3187170</v>
      </c>
      <c r="E38" s="465"/>
      <c r="F38" s="465"/>
      <c r="G38" s="465"/>
      <c r="H38" s="465"/>
      <c r="I38" s="465"/>
      <c r="J38" s="466">
        <v>257211</v>
      </c>
      <c r="K38" s="465"/>
      <c r="L38" s="480"/>
      <c r="M38" s="496"/>
      <c r="N38" s="496"/>
    </row>
    <row r="39" spans="1:14" s="328" customFormat="1" ht="13.5" customHeight="1" x14ac:dyDescent="0.2">
      <c r="A39" s="495" t="s">
        <v>360</v>
      </c>
      <c r="B39" s="482">
        <v>730</v>
      </c>
      <c r="C39" s="465">
        <v>7690769</v>
      </c>
      <c r="D39" s="465">
        <v>0</v>
      </c>
      <c r="E39" s="465">
        <v>4226</v>
      </c>
      <c r="F39" s="465">
        <v>450855</v>
      </c>
      <c r="G39" s="465">
        <v>921391</v>
      </c>
      <c r="H39" s="465">
        <v>0</v>
      </c>
      <c r="I39" s="465">
        <v>1574199</v>
      </c>
      <c r="J39" s="466">
        <v>0</v>
      </c>
      <c r="K39" s="465">
        <v>686808</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8492465</v>
      </c>
      <c r="N40" s="496"/>
    </row>
    <row r="41" spans="1:14" ht="13.5" customHeight="1" thickBot="1" x14ac:dyDescent="0.25">
      <c r="A41" s="1757" t="s">
        <v>676</v>
      </c>
      <c r="B41" s="1727"/>
      <c r="C41" s="1709">
        <f>(SUM(C34,C37,C38,C39))</f>
        <v>7700058</v>
      </c>
      <c r="D41" s="1709">
        <f t="shared" ref="D41:L41" si="2">SUM(D34,D37,D38:D39)</f>
        <v>3187170</v>
      </c>
      <c r="E41" s="1709">
        <f t="shared" si="2"/>
        <v>4226</v>
      </c>
      <c r="F41" s="1709">
        <f t="shared" si="2"/>
        <v>450855</v>
      </c>
      <c r="G41" s="1709">
        <f t="shared" si="2"/>
        <v>921391</v>
      </c>
      <c r="H41" s="1709">
        <f t="shared" si="2"/>
        <v>0</v>
      </c>
      <c r="I41" s="1709">
        <f t="shared" si="2"/>
        <v>1574199</v>
      </c>
      <c r="J41" s="1709">
        <f t="shared" si="2"/>
        <v>257211</v>
      </c>
      <c r="K41" s="1709">
        <f t="shared" si="2"/>
        <v>686808</v>
      </c>
      <c r="L41" s="1709">
        <f t="shared" si="2"/>
        <v>78532</v>
      </c>
      <c r="M41" s="1709">
        <f>SUM(M40)</f>
        <v>8492465</v>
      </c>
      <c r="N41" s="1709">
        <f>SUM(N37)</f>
        <v>3993421</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C39" sqref="C39"/>
      <selection pane="bottomLeft" activeCell="G74" sqref="G74"/>
    </sheetView>
  </sheetViews>
  <sheetFormatPr defaultColWidth="9.140625" defaultRowHeight="12.75" x14ac:dyDescent="0.2"/>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x14ac:dyDescent="0.2">
      <c r="A1" s="2140"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1"/>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2" t="s">
        <v>1237</v>
      </c>
      <c r="B3" s="2153"/>
      <c r="C3" s="1594"/>
      <c r="D3" s="1595"/>
      <c r="E3" s="1595"/>
      <c r="F3" s="1595"/>
      <c r="G3" s="1595"/>
      <c r="H3" s="1595"/>
      <c r="I3" s="1595"/>
      <c r="J3" s="1595"/>
      <c r="K3" s="1596"/>
      <c r="L3" s="505"/>
    </row>
    <row r="4" spans="1:13" ht="15.75" customHeight="1" x14ac:dyDescent="0.2">
      <c r="A4" s="1952" t="s">
        <v>1579</v>
      </c>
      <c r="B4" s="1953">
        <v>1000</v>
      </c>
      <c r="C4" s="1763">
        <f>'Revenues 9-14'!C109</f>
        <v>6917618</v>
      </c>
      <c r="D4" s="1763">
        <f>'Revenues 9-14'!D109</f>
        <v>956242</v>
      </c>
      <c r="E4" s="1763">
        <f>'Revenues 9-14'!E109</f>
        <v>427648</v>
      </c>
      <c r="F4" s="1763">
        <f>'Revenues 9-14'!F109</f>
        <v>1253187</v>
      </c>
      <c r="G4" s="1763">
        <f>'Revenues 9-14'!G109</f>
        <v>278349</v>
      </c>
      <c r="H4" s="1763">
        <f>'Revenues 9-14'!H109</f>
        <v>0</v>
      </c>
      <c r="I4" s="1763">
        <f>'Revenues 9-14'!I109</f>
        <v>95955</v>
      </c>
      <c r="J4" s="1763">
        <f>'Revenues 9-14'!J109</f>
        <v>192413</v>
      </c>
      <c r="K4" s="1763">
        <f>'Revenues 9-14'!K109</f>
        <v>153928</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4453442</v>
      </c>
      <c r="D6" s="1764">
        <f>'Revenues 9-14'!D173</f>
        <v>1000000</v>
      </c>
      <c r="E6" s="1764">
        <f>'Revenues 9-14'!E173</f>
        <v>0</v>
      </c>
      <c r="F6" s="1764">
        <f>'Revenues 9-14'!F173</f>
        <v>238667</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917364</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12288424</v>
      </c>
      <c r="D8" s="1709">
        <f t="shared" ref="D8:K8" si="0">SUM(D4:D7)</f>
        <v>1956242</v>
      </c>
      <c r="E8" s="1709">
        <f t="shared" si="0"/>
        <v>427648</v>
      </c>
      <c r="F8" s="1709">
        <f t="shared" si="0"/>
        <v>1491854</v>
      </c>
      <c r="G8" s="1709">
        <f t="shared" si="0"/>
        <v>278349</v>
      </c>
      <c r="H8" s="1709">
        <f t="shared" si="0"/>
        <v>0</v>
      </c>
      <c r="I8" s="1709">
        <f t="shared" si="0"/>
        <v>95955</v>
      </c>
      <c r="J8" s="1709">
        <f t="shared" si="0"/>
        <v>192413</v>
      </c>
      <c r="K8" s="1709">
        <f t="shared" si="0"/>
        <v>153928</v>
      </c>
      <c r="L8" s="346"/>
    </row>
    <row r="9" spans="1:13" ht="15.75" thickTop="1" x14ac:dyDescent="0.2">
      <c r="A9" s="513" t="s">
        <v>1752</v>
      </c>
      <c r="B9" s="514">
        <v>3998</v>
      </c>
      <c r="C9" s="480">
        <v>4330512</v>
      </c>
      <c r="D9" s="515"/>
      <c r="E9" s="480"/>
      <c r="F9" s="480"/>
      <c r="G9" s="516"/>
      <c r="H9" s="480"/>
      <c r="I9" s="508" t="s">
        <v>1231</v>
      </c>
      <c r="J9" s="477"/>
      <c r="K9" s="480"/>
      <c r="L9" s="346"/>
    </row>
    <row r="10" spans="1:13" s="518" customFormat="1" ht="13.5" thickBot="1" x14ac:dyDescent="0.25">
      <c r="A10" s="1757" t="s">
        <v>1235</v>
      </c>
      <c r="B10" s="1730"/>
      <c r="C10" s="1709">
        <f>SUM(C8:C9)</f>
        <v>16618936</v>
      </c>
      <c r="D10" s="1709">
        <f t="shared" ref="D10:K10" si="1">SUM(D8:D9)</f>
        <v>1956242</v>
      </c>
      <c r="E10" s="1709">
        <f t="shared" si="1"/>
        <v>427648</v>
      </c>
      <c r="F10" s="1709">
        <f t="shared" si="1"/>
        <v>1491854</v>
      </c>
      <c r="G10" s="1709">
        <f t="shared" si="1"/>
        <v>278349</v>
      </c>
      <c r="H10" s="1709">
        <f t="shared" si="1"/>
        <v>0</v>
      </c>
      <c r="I10" s="1709">
        <f t="shared" si="1"/>
        <v>95955</v>
      </c>
      <c r="J10" s="1709">
        <f t="shared" si="1"/>
        <v>192413</v>
      </c>
      <c r="K10" s="1709">
        <f t="shared" si="1"/>
        <v>153928</v>
      </c>
      <c r="L10" s="517"/>
    </row>
    <row r="11" spans="1:13" s="518" customFormat="1" ht="16.7" customHeight="1" thickTop="1" x14ac:dyDescent="0.2">
      <c r="A11" s="2126" t="s">
        <v>1238</v>
      </c>
      <c r="B11" s="2127"/>
      <c r="C11" s="1591"/>
      <c r="D11" s="1592"/>
      <c r="E11" s="1592"/>
      <c r="F11" s="1592"/>
      <c r="G11" s="1592"/>
      <c r="H11" s="1592"/>
      <c r="I11" s="1592"/>
      <c r="J11" s="1592"/>
      <c r="K11" s="1593"/>
      <c r="L11" s="517"/>
    </row>
    <row r="12" spans="1:13" ht="15.75" customHeight="1" x14ac:dyDescent="0.2">
      <c r="A12" s="1597" t="s">
        <v>476</v>
      </c>
      <c r="B12" s="1599">
        <v>1000</v>
      </c>
      <c r="C12" s="1763">
        <f>'Expenditures 15-22'!K33</f>
        <v>6831183</v>
      </c>
      <c r="D12" s="519" t="s">
        <v>1231</v>
      </c>
      <c r="E12" s="467" t="s">
        <v>1231</v>
      </c>
      <c r="F12" s="467" t="s">
        <v>1231</v>
      </c>
      <c r="G12" s="1763">
        <f>'Expenditures 15-22'!K229</f>
        <v>151470</v>
      </c>
      <c r="H12" s="520"/>
      <c r="I12" s="467" t="s">
        <v>1231</v>
      </c>
      <c r="J12" s="467" t="s">
        <v>1231</v>
      </c>
      <c r="K12" s="520" t="s">
        <v>1231</v>
      </c>
      <c r="L12" s="346"/>
    </row>
    <row r="13" spans="1:13" ht="15.75" customHeight="1" x14ac:dyDescent="0.2">
      <c r="A13" s="1597" t="s">
        <v>477</v>
      </c>
      <c r="B13" s="1599">
        <v>2000</v>
      </c>
      <c r="C13" s="1764">
        <f>'Expenditures 15-22'!K74</f>
        <v>3173234</v>
      </c>
      <c r="D13" s="1764">
        <f>'Expenditures 15-22'!K129</f>
        <v>2386240</v>
      </c>
      <c r="E13" s="468" t="s">
        <v>1231</v>
      </c>
      <c r="F13" s="1764">
        <f>'Expenditures 15-22'!K184</f>
        <v>317101</v>
      </c>
      <c r="G13" s="1764">
        <f>'Expenditures 15-22'!K279</f>
        <v>222042</v>
      </c>
      <c r="H13" s="1764">
        <f>'Expenditures 15-22'!K303</f>
        <v>0</v>
      </c>
      <c r="I13" s="467" t="s">
        <v>1231</v>
      </c>
      <c r="J13" s="1764">
        <f>'Expenditures 15-22'!K330</f>
        <v>178011</v>
      </c>
      <c r="K13" s="1768">
        <f>'Expenditures 15-22'!K352</f>
        <v>12693</v>
      </c>
      <c r="L13" s="346"/>
    </row>
    <row r="14" spans="1:13" ht="15.75" customHeight="1" x14ac:dyDescent="0.2">
      <c r="A14" s="1597" t="s">
        <v>469</v>
      </c>
      <c r="B14" s="1599">
        <v>3000</v>
      </c>
      <c r="C14" s="1764">
        <f>'Expenditures 15-22'!K75</f>
        <v>18148</v>
      </c>
      <c r="D14" s="1764">
        <f>'Expenditures 15-22'!K130</f>
        <v>0</v>
      </c>
      <c r="E14" s="519" t="s">
        <v>1231</v>
      </c>
      <c r="F14" s="1764">
        <f>'Expenditures 15-22'!K185</f>
        <v>0</v>
      </c>
      <c r="G14" s="1764">
        <f>'Expenditures 15-22'!K280</f>
        <v>218</v>
      </c>
      <c r="H14" s="511"/>
      <c r="I14" s="467" t="s">
        <v>1231</v>
      </c>
      <c r="J14" s="467" t="s">
        <v>1231</v>
      </c>
      <c r="K14" s="511" t="s">
        <v>1231</v>
      </c>
      <c r="L14" s="346"/>
    </row>
    <row r="15" spans="1:13" ht="15.75" customHeight="1" x14ac:dyDescent="0.2">
      <c r="A15" s="1597" t="s">
        <v>109</v>
      </c>
      <c r="B15" s="1599">
        <v>4000</v>
      </c>
      <c r="C15" s="1764">
        <f>'Expenditures 15-22'!K102</f>
        <v>1234453</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700800</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11257018</v>
      </c>
      <c r="D17" s="1709">
        <f t="shared" si="2"/>
        <v>2386240</v>
      </c>
      <c r="E17" s="1709">
        <f t="shared" si="2"/>
        <v>700800</v>
      </c>
      <c r="F17" s="1709">
        <f t="shared" si="2"/>
        <v>317101</v>
      </c>
      <c r="G17" s="1709">
        <f t="shared" si="2"/>
        <v>373730</v>
      </c>
      <c r="H17" s="1709">
        <f t="shared" si="2"/>
        <v>0</v>
      </c>
      <c r="I17" s="467"/>
      <c r="J17" s="1709">
        <f>SUM(J12:J16)</f>
        <v>178011</v>
      </c>
      <c r="K17" s="1709">
        <f>SUM(K12:K16)</f>
        <v>12693</v>
      </c>
      <c r="L17" s="346"/>
    </row>
    <row r="18" spans="1:12" ht="15" customHeight="1" thickTop="1" x14ac:dyDescent="0.2">
      <c r="A18" s="1765" t="s">
        <v>1753</v>
      </c>
      <c r="B18" s="1766">
        <v>4180</v>
      </c>
      <c r="C18" s="1763">
        <f t="shared" ref="C18:H18" si="3">C9</f>
        <v>4330512</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15587530</v>
      </c>
      <c r="D19" s="1709">
        <f t="shared" si="4"/>
        <v>2386240</v>
      </c>
      <c r="E19" s="1709">
        <f t="shared" si="4"/>
        <v>700800</v>
      </c>
      <c r="F19" s="1709">
        <f t="shared" si="4"/>
        <v>317101</v>
      </c>
      <c r="G19" s="1709">
        <f t="shared" si="4"/>
        <v>373730</v>
      </c>
      <c r="H19" s="1709">
        <f t="shared" si="4"/>
        <v>0</v>
      </c>
      <c r="I19" s="467"/>
      <c r="J19" s="1709">
        <f>SUM(J17:J18)</f>
        <v>178011</v>
      </c>
      <c r="K19" s="1709">
        <f>SUM(K17:K18)</f>
        <v>12693</v>
      </c>
      <c r="L19" s="346"/>
    </row>
    <row r="20" spans="1:12" ht="16.5" thickTop="1" thickBot="1" x14ac:dyDescent="0.25">
      <c r="A20" s="2142" t="s">
        <v>1754</v>
      </c>
      <c r="B20" s="2143"/>
      <c r="C20" s="1767">
        <f>C8-C17</f>
        <v>1031406</v>
      </c>
      <c r="D20" s="1767">
        <f t="shared" ref="D20:K20" si="5">D8-D17</f>
        <v>-429998</v>
      </c>
      <c r="E20" s="1767">
        <f t="shared" si="5"/>
        <v>-273152</v>
      </c>
      <c r="F20" s="1767">
        <f t="shared" si="5"/>
        <v>1174753</v>
      </c>
      <c r="G20" s="1767">
        <f t="shared" si="5"/>
        <v>-95381</v>
      </c>
      <c r="H20" s="1767">
        <f t="shared" si="5"/>
        <v>0</v>
      </c>
      <c r="I20" s="1767">
        <f t="shared" si="5"/>
        <v>95955</v>
      </c>
      <c r="J20" s="1767">
        <f t="shared" si="5"/>
        <v>14402</v>
      </c>
      <c r="K20" s="1767">
        <f t="shared" si="5"/>
        <v>141235</v>
      </c>
      <c r="L20" s="346"/>
    </row>
    <row r="21" spans="1:12" ht="16.7" customHeight="1" thickTop="1" x14ac:dyDescent="0.2">
      <c r="A21" s="2154" t="s">
        <v>616</v>
      </c>
      <c r="B21" s="2155"/>
      <c r="C21" s="1591"/>
      <c r="D21" s="1592"/>
      <c r="E21" s="1592"/>
      <c r="F21" s="1592"/>
      <c r="G21" s="1592"/>
      <c r="H21" s="1592"/>
      <c r="I21" s="1592"/>
      <c r="J21" s="1592"/>
      <c r="K21" s="1593"/>
      <c r="L21" s="523"/>
    </row>
    <row r="22" spans="1:12" ht="15.75" customHeight="1" collapsed="1" x14ac:dyDescent="0.2">
      <c r="A22" s="2150" t="s">
        <v>617</v>
      </c>
      <c r="B22" s="2151"/>
      <c r="C22" s="476"/>
      <c r="D22" s="476"/>
      <c r="E22" s="476"/>
      <c r="F22" s="476"/>
      <c r="G22" s="476"/>
      <c r="H22" s="476"/>
      <c r="I22" s="476"/>
      <c r="J22" s="476"/>
      <c r="K22" s="476"/>
      <c r="L22" s="346"/>
    </row>
    <row r="23" spans="1:12" s="484" customFormat="1" ht="15.75" customHeight="1" x14ac:dyDescent="0.2">
      <c r="A23" s="2146" t="s">
        <v>311</v>
      </c>
      <c r="B23" s="2147"/>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c r="D25" s="466"/>
      <c r="E25" s="466"/>
      <c r="F25" s="466"/>
      <c r="G25" s="466"/>
      <c r="H25" s="466"/>
      <c r="I25" s="476"/>
      <c r="J25" s="466"/>
      <c r="K25" s="466"/>
      <c r="L25" s="523"/>
    </row>
    <row r="26" spans="1:12" s="484" customFormat="1" ht="13.5" customHeight="1" x14ac:dyDescent="0.2">
      <c r="A26" s="1510" t="s">
        <v>193</v>
      </c>
      <c r="B26" s="482">
        <v>7120</v>
      </c>
      <c r="C26" s="466">
        <v>23896</v>
      </c>
      <c r="D26" s="466"/>
      <c r="E26" s="466"/>
      <c r="F26" s="466"/>
      <c r="G26" s="466"/>
      <c r="H26" s="466"/>
      <c r="I26" s="476"/>
      <c r="J26" s="466"/>
      <c r="K26" s="466"/>
      <c r="L26" s="523"/>
    </row>
    <row r="27" spans="1:12" s="484" customFormat="1" ht="13.5" customHeight="1" x14ac:dyDescent="0.2">
      <c r="A27" s="1510" t="s">
        <v>194</v>
      </c>
      <c r="B27" s="482">
        <v>7130</v>
      </c>
      <c r="C27" s="466"/>
      <c r="D27" s="466"/>
      <c r="E27" s="525"/>
      <c r="F27" s="466"/>
      <c r="G27" s="479"/>
      <c r="H27" s="479"/>
      <c r="I27" s="479"/>
      <c r="J27" s="479"/>
      <c r="K27" s="479"/>
      <c r="L27" s="523"/>
    </row>
    <row r="28" spans="1:12" s="484" customFormat="1" ht="13.5" customHeight="1" x14ac:dyDescent="0.2">
      <c r="A28" s="1510" t="s">
        <v>1465</v>
      </c>
      <c r="B28" s="482">
        <v>7140</v>
      </c>
      <c r="C28" s="466">
        <v>35032</v>
      </c>
      <c r="D28" s="466">
        <v>1000000</v>
      </c>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1897</v>
      </c>
      <c r="B30" s="526">
        <v>7160</v>
      </c>
      <c r="C30" s="476"/>
      <c r="D30" s="466"/>
      <c r="E30" s="476"/>
      <c r="F30" s="476"/>
      <c r="G30" s="476"/>
      <c r="H30" s="476"/>
      <c r="I30" s="476"/>
      <c r="J30" s="476"/>
      <c r="K30" s="476"/>
      <c r="L30" s="523"/>
    </row>
    <row r="31" spans="1:12" s="484" customFormat="1" ht="26.25" x14ac:dyDescent="0.2">
      <c r="A31" s="1510" t="s">
        <v>1901</v>
      </c>
      <c r="B31" s="526">
        <v>7170</v>
      </c>
      <c r="C31" s="476"/>
      <c r="D31" s="476"/>
      <c r="E31" s="473"/>
      <c r="F31" s="476"/>
      <c r="G31" s="476"/>
      <c r="H31" s="476"/>
      <c r="I31" s="476"/>
      <c r="J31" s="476"/>
      <c r="K31" s="476"/>
      <c r="L31" s="523"/>
    </row>
    <row r="32" spans="1:12" s="484" customFormat="1" ht="15.75" customHeight="1" x14ac:dyDescent="0.2">
      <c r="A32" s="2148" t="s">
        <v>1038</v>
      </c>
      <c r="B32" s="2149"/>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0</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c r="D43" s="466"/>
      <c r="E43" s="466"/>
      <c r="F43" s="466"/>
      <c r="G43" s="466"/>
      <c r="H43" s="466"/>
      <c r="I43" s="466"/>
      <c r="J43" s="466"/>
      <c r="K43" s="466"/>
      <c r="L43" s="523"/>
    </row>
    <row r="44" spans="1:12" s="484" customFormat="1" ht="13.5" customHeight="1" thickBot="1" x14ac:dyDescent="0.25">
      <c r="A44" s="2156" t="s">
        <v>392</v>
      </c>
      <c r="B44" s="2157"/>
      <c r="C44" s="1724">
        <f>SUM(C24:C43)</f>
        <v>58928</v>
      </c>
      <c r="D44" s="1724">
        <f t="shared" ref="D44:K44" si="6">SUM(D24:D43)</f>
        <v>1000000</v>
      </c>
      <c r="E44" s="1724">
        <f t="shared" si="6"/>
        <v>0</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50" t="s">
        <v>110</v>
      </c>
      <c r="B45" s="2151"/>
      <c r="C45" s="527"/>
      <c r="D45" s="527"/>
      <c r="E45" s="527"/>
      <c r="F45" s="527"/>
      <c r="G45" s="527"/>
      <c r="H45" s="527"/>
      <c r="I45" s="527"/>
      <c r="J45" s="527"/>
      <c r="K45" s="527"/>
      <c r="L45" s="346"/>
    </row>
    <row r="46" spans="1:12" s="484" customFormat="1" ht="15.75" customHeight="1" x14ac:dyDescent="0.2">
      <c r="A46" s="2158" t="s">
        <v>111</v>
      </c>
      <c r="B46" s="2159"/>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0</v>
      </c>
      <c r="J47" s="476"/>
      <c r="K47" s="476"/>
      <c r="L47" s="528"/>
    </row>
    <row r="48" spans="1:12" s="484" customFormat="1" ht="15" x14ac:dyDescent="0.2">
      <c r="A48" s="1511" t="s">
        <v>1759</v>
      </c>
      <c r="B48" s="482">
        <v>8120</v>
      </c>
      <c r="C48" s="479"/>
      <c r="D48" s="479"/>
      <c r="E48" s="476"/>
      <c r="F48" s="479"/>
      <c r="G48" s="476"/>
      <c r="H48" s="476"/>
      <c r="I48" s="1764">
        <f>SUM(C26:H26,J26,K26)</f>
        <v>23896</v>
      </c>
      <c r="J48" s="476"/>
      <c r="K48" s="476"/>
      <c r="L48" s="528"/>
    </row>
    <row r="49" spans="1:12" s="484" customFormat="1" x14ac:dyDescent="0.2">
      <c r="A49" s="1511" t="s">
        <v>194</v>
      </c>
      <c r="B49" s="482">
        <v>8130</v>
      </c>
      <c r="C49" s="466"/>
      <c r="D49" s="466"/>
      <c r="E49" s="479"/>
      <c r="F49" s="466"/>
      <c r="G49" s="479"/>
      <c r="H49" s="479"/>
      <c r="I49" s="476"/>
      <c r="J49" s="479"/>
      <c r="K49" s="476"/>
      <c r="L49" s="523"/>
    </row>
    <row r="50" spans="1:12" s="484" customFormat="1" x14ac:dyDescent="0.2">
      <c r="A50" s="1511" t="s">
        <v>1465</v>
      </c>
      <c r="B50" s="482">
        <v>8140</v>
      </c>
      <c r="C50" s="466"/>
      <c r="D50" s="466"/>
      <c r="E50" s="466">
        <v>2549</v>
      </c>
      <c r="F50" s="466">
        <v>1023003</v>
      </c>
      <c r="G50" s="466">
        <v>9480</v>
      </c>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2" t="s">
        <v>460</v>
      </c>
      <c r="B76" s="2133"/>
      <c r="C76" s="1724">
        <f t="shared" ref="C76:K76" si="7">SUM(C47:C75)</f>
        <v>0</v>
      </c>
      <c r="D76" s="1724">
        <f t="shared" si="7"/>
        <v>0</v>
      </c>
      <c r="E76" s="1724">
        <f t="shared" si="7"/>
        <v>2549</v>
      </c>
      <c r="F76" s="1724">
        <f t="shared" si="7"/>
        <v>1023003</v>
      </c>
      <c r="G76" s="1724">
        <f t="shared" si="7"/>
        <v>9480</v>
      </c>
      <c r="H76" s="1724">
        <f t="shared" si="7"/>
        <v>0</v>
      </c>
      <c r="I76" s="1724">
        <f t="shared" si="7"/>
        <v>23896</v>
      </c>
      <c r="J76" s="1724">
        <f t="shared" si="7"/>
        <v>0</v>
      </c>
      <c r="K76" s="1724">
        <f t="shared" si="7"/>
        <v>0</v>
      </c>
      <c r="L76" s="523"/>
    </row>
    <row r="77" spans="1:12" ht="14.25" thickTop="1" thickBot="1" x14ac:dyDescent="0.25">
      <c r="A77" s="2134" t="s">
        <v>1239</v>
      </c>
      <c r="B77" s="2135"/>
      <c r="C77" s="1724">
        <f t="shared" ref="C77:K77" si="8">C44-C76</f>
        <v>58928</v>
      </c>
      <c r="D77" s="1724">
        <f t="shared" si="8"/>
        <v>1000000</v>
      </c>
      <c r="E77" s="1724">
        <f t="shared" si="8"/>
        <v>-2549</v>
      </c>
      <c r="F77" s="1724">
        <f t="shared" si="8"/>
        <v>-1023003</v>
      </c>
      <c r="G77" s="1724">
        <f t="shared" si="8"/>
        <v>-9480</v>
      </c>
      <c r="H77" s="1724">
        <f t="shared" si="8"/>
        <v>0</v>
      </c>
      <c r="I77" s="1724">
        <f t="shared" si="8"/>
        <v>-23896</v>
      </c>
      <c r="J77" s="1724">
        <f t="shared" si="8"/>
        <v>0</v>
      </c>
      <c r="K77" s="1724">
        <f t="shared" si="8"/>
        <v>0</v>
      </c>
      <c r="L77" s="346"/>
    </row>
    <row r="78" spans="1:12" ht="21.75" customHeight="1" thickTop="1" thickBot="1" x14ac:dyDescent="0.25">
      <c r="A78" s="2138" t="s">
        <v>618</v>
      </c>
      <c r="B78" s="2139"/>
      <c r="C78" s="1723">
        <f t="shared" ref="C78:K78" si="9">C20+C77</f>
        <v>1090334</v>
      </c>
      <c r="D78" s="1723">
        <f t="shared" si="9"/>
        <v>570002</v>
      </c>
      <c r="E78" s="1723">
        <f t="shared" si="9"/>
        <v>-275701</v>
      </c>
      <c r="F78" s="1723">
        <f t="shared" si="9"/>
        <v>151750</v>
      </c>
      <c r="G78" s="1723">
        <f t="shared" si="9"/>
        <v>-104861</v>
      </c>
      <c r="H78" s="1723">
        <f t="shared" si="9"/>
        <v>0</v>
      </c>
      <c r="I78" s="1723">
        <f t="shared" si="9"/>
        <v>72059</v>
      </c>
      <c r="J78" s="1723">
        <f t="shared" si="9"/>
        <v>14402</v>
      </c>
      <c r="K78" s="1723">
        <f t="shared" si="9"/>
        <v>141235</v>
      </c>
      <c r="L78" s="532"/>
    </row>
    <row r="79" spans="1:12" ht="13.5" thickTop="1" x14ac:dyDescent="0.2">
      <c r="A79" s="1515" t="s">
        <v>2073</v>
      </c>
      <c r="B79" s="533"/>
      <c r="C79" s="477">
        <v>6600435</v>
      </c>
      <c r="D79" s="477">
        <v>2617168</v>
      </c>
      <c r="E79" s="477">
        <v>279927</v>
      </c>
      <c r="F79" s="477">
        <v>299105</v>
      </c>
      <c r="G79" s="477">
        <v>1026252</v>
      </c>
      <c r="H79" s="477">
        <f>'Assets-Liab 5-6'!H39</f>
        <v>0</v>
      </c>
      <c r="I79" s="477">
        <v>1502140</v>
      </c>
      <c r="J79" s="477">
        <v>242809</v>
      </c>
      <c r="K79" s="477">
        <v>545573</v>
      </c>
      <c r="L79" s="346"/>
    </row>
    <row r="80" spans="1:12" x14ac:dyDescent="0.2">
      <c r="A80" s="2144" t="s">
        <v>1898</v>
      </c>
      <c r="B80" s="2145"/>
      <c r="C80" s="466"/>
      <c r="D80" s="466"/>
      <c r="E80" s="466"/>
      <c r="F80" s="466"/>
      <c r="G80" s="466"/>
      <c r="H80" s="466"/>
      <c r="I80" s="466"/>
      <c r="J80" s="466"/>
      <c r="K80" s="466"/>
      <c r="L80" s="346"/>
    </row>
    <row r="81" spans="1:12" ht="13.5" thickBot="1" x14ac:dyDescent="0.25">
      <c r="A81" s="2136" t="s">
        <v>2074</v>
      </c>
      <c r="B81" s="2137"/>
      <c r="C81" s="1709">
        <f>(SUM(C78:C80))</f>
        <v>7690769</v>
      </c>
      <c r="D81" s="1709">
        <f>SUM(D78:D80)</f>
        <v>3187170</v>
      </c>
      <c r="E81" s="1709">
        <f t="shared" ref="E81:K81" si="10">SUM(E78:E80)</f>
        <v>4226</v>
      </c>
      <c r="F81" s="1709">
        <f t="shared" si="10"/>
        <v>450855</v>
      </c>
      <c r="G81" s="1709">
        <f t="shared" si="10"/>
        <v>921391</v>
      </c>
      <c r="H81" s="1709">
        <f t="shared" si="10"/>
        <v>0</v>
      </c>
      <c r="I81" s="1709">
        <f t="shared" si="10"/>
        <v>1574199</v>
      </c>
      <c r="J81" s="1709">
        <f t="shared" si="10"/>
        <v>257211</v>
      </c>
      <c r="K81" s="1709">
        <f t="shared" si="10"/>
        <v>686808</v>
      </c>
      <c r="L81" s="346"/>
    </row>
    <row r="82" spans="1:12" ht="0.75" customHeight="1" thickTop="1" thickBot="1" x14ac:dyDescent="0.25">
      <c r="A82" s="535" t="s">
        <v>361</v>
      </c>
      <c r="B82" s="536"/>
      <c r="C82" s="537">
        <f>(C81-C79)</f>
        <v>1090334</v>
      </c>
      <c r="D82" s="537">
        <f t="shared" ref="D82:K82" si="11">(D81-D79)</f>
        <v>570002</v>
      </c>
      <c r="E82" s="537">
        <f t="shared" si="11"/>
        <v>-275701</v>
      </c>
      <c r="F82" s="537">
        <f t="shared" si="11"/>
        <v>151750</v>
      </c>
      <c r="G82" s="537">
        <f t="shared" si="11"/>
        <v>-104861</v>
      </c>
      <c r="H82" s="537">
        <f t="shared" si="11"/>
        <v>0</v>
      </c>
      <c r="I82" s="537">
        <f t="shared" si="11"/>
        <v>72059</v>
      </c>
      <c r="J82" s="537">
        <f t="shared" si="11"/>
        <v>14402</v>
      </c>
      <c r="K82" s="537">
        <f t="shared" si="11"/>
        <v>141235</v>
      </c>
    </row>
    <row r="83" spans="1:12" ht="14.25" hidden="1" thickTop="1" thickBot="1" x14ac:dyDescent="0.25">
      <c r="A83" s="538" t="s">
        <v>362</v>
      </c>
      <c r="B83" s="463"/>
      <c r="C83" s="539">
        <f>C82/C81</f>
        <v>0.14177177860887513</v>
      </c>
      <c r="D83" s="539">
        <f t="shared" ref="D83:K83" si="12">D82/D81</f>
        <v>0.17884267233941081</v>
      </c>
      <c r="E83" s="539">
        <f t="shared" si="12"/>
        <v>-65.239233317557975</v>
      </c>
      <c r="F83" s="539">
        <f t="shared" si="12"/>
        <v>0.33658271506360138</v>
      </c>
      <c r="G83" s="539">
        <f t="shared" si="12"/>
        <v>-0.11380727617265635</v>
      </c>
      <c r="H83" s="539" t="e">
        <f t="shared" si="12"/>
        <v>#DIV/0!</v>
      </c>
      <c r="I83" s="539">
        <f t="shared" si="12"/>
        <v>4.5775025902061936E-2</v>
      </c>
      <c r="J83" s="539">
        <f t="shared" si="12"/>
        <v>5.5992939648770855E-2</v>
      </c>
      <c r="K83" s="539">
        <f t="shared" si="12"/>
        <v>0.2056397129911125</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4" customWidth="1"/>
    <col min="2" max="2" width="4.5703125" style="595" customWidth="1"/>
    <col min="3" max="11" width="13.5703125" style="383" customWidth="1"/>
    <col min="12" max="16384" width="9.140625" style="383"/>
  </cols>
  <sheetData>
    <row r="1" spans="1:12" x14ac:dyDescent="0.2">
      <c r="A1" s="2140" t="s">
        <v>1905</v>
      </c>
      <c r="B1" s="451"/>
      <c r="C1" s="452" t="s">
        <v>445</v>
      </c>
      <c r="D1" s="452" t="s">
        <v>446</v>
      </c>
      <c r="E1" s="452" t="s">
        <v>447</v>
      </c>
      <c r="F1" s="452" t="s">
        <v>448</v>
      </c>
      <c r="G1" s="452" t="s">
        <v>449</v>
      </c>
      <c r="H1" s="452" t="s">
        <v>450</v>
      </c>
      <c r="I1" s="452" t="s">
        <v>451</v>
      </c>
      <c r="J1" s="452" t="s">
        <v>452</v>
      </c>
      <c r="K1" s="452" t="s">
        <v>780</v>
      </c>
    </row>
    <row r="2" spans="1:12" ht="36" x14ac:dyDescent="0.2">
      <c r="A2" s="2141"/>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6088416</v>
      </c>
      <c r="D5" s="480">
        <v>794720</v>
      </c>
      <c r="E5" s="465">
        <v>425099</v>
      </c>
      <c r="F5" s="547">
        <v>1230184</v>
      </c>
      <c r="G5" s="465">
        <v>124334</v>
      </c>
      <c r="H5" s="465">
        <v>0</v>
      </c>
      <c r="I5" s="465">
        <v>72059</v>
      </c>
      <c r="J5" s="466">
        <v>188921</v>
      </c>
      <c r="K5" s="465">
        <v>144638</v>
      </c>
    </row>
    <row r="6" spans="1:12" ht="15" x14ac:dyDescent="0.2">
      <c r="A6" s="462" t="s">
        <v>1761</v>
      </c>
      <c r="B6" s="469">
        <v>1130</v>
      </c>
      <c r="C6" s="465"/>
      <c r="D6" s="465"/>
      <c r="E6" s="474"/>
      <c r="F6" s="474"/>
      <c r="G6" s="467"/>
      <c r="H6" s="467"/>
      <c r="I6" s="467"/>
      <c r="J6" s="467"/>
      <c r="K6" s="467"/>
    </row>
    <row r="7" spans="1:12" x14ac:dyDescent="0.2">
      <c r="A7" s="462" t="s">
        <v>112</v>
      </c>
      <c r="B7" s="548">
        <v>1140</v>
      </c>
      <c r="C7" s="465">
        <v>578023</v>
      </c>
      <c r="D7" s="465"/>
      <c r="E7" s="467"/>
      <c r="F7" s="466"/>
      <c r="G7" s="466"/>
      <c r="H7" s="466"/>
      <c r="I7" s="467"/>
      <c r="J7" s="467"/>
      <c r="K7" s="467"/>
    </row>
    <row r="8" spans="1:12" x14ac:dyDescent="0.2">
      <c r="A8" s="462" t="s">
        <v>433</v>
      </c>
      <c r="B8" s="469">
        <v>1150</v>
      </c>
      <c r="C8" s="474"/>
      <c r="D8" s="474"/>
      <c r="E8" s="476"/>
      <c r="F8" s="476"/>
      <c r="G8" s="480">
        <v>136525</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6666439</v>
      </c>
      <c r="D12" s="1728">
        <f t="shared" si="0"/>
        <v>794720</v>
      </c>
      <c r="E12" s="1728">
        <f t="shared" si="0"/>
        <v>425099</v>
      </c>
      <c r="F12" s="1728">
        <f t="shared" si="0"/>
        <v>1230184</v>
      </c>
      <c r="G12" s="1728">
        <f t="shared" si="0"/>
        <v>260859</v>
      </c>
      <c r="H12" s="1728">
        <f t="shared" si="0"/>
        <v>0</v>
      </c>
      <c r="I12" s="1728">
        <f t="shared" si="0"/>
        <v>72059</v>
      </c>
      <c r="J12" s="1728">
        <f t="shared" si="0"/>
        <v>188921</v>
      </c>
      <c r="K12" s="1709">
        <f t="shared" si="0"/>
        <v>144638</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67600</v>
      </c>
      <c r="D16" s="465"/>
      <c r="E16" s="465"/>
      <c r="F16" s="465"/>
      <c r="G16" s="465">
        <v>1016</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67600</v>
      </c>
      <c r="D18" s="1731">
        <f t="shared" ref="D18:K18" si="1">SUM(D14:D17)</f>
        <v>0</v>
      </c>
      <c r="E18" s="1731">
        <f t="shared" si="1"/>
        <v>0</v>
      </c>
      <c r="F18" s="1731">
        <f t="shared" si="1"/>
        <v>0</v>
      </c>
      <c r="G18" s="1731">
        <f t="shared" si="1"/>
        <v>1016</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v>2755</v>
      </c>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2755</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124880</v>
      </c>
      <c r="D65" s="465">
        <v>29839</v>
      </c>
      <c r="E65" s="465">
        <v>2549</v>
      </c>
      <c r="F65" s="466">
        <v>23003</v>
      </c>
      <c r="G65" s="465">
        <v>16474</v>
      </c>
      <c r="H65" s="465"/>
      <c r="I65" s="465">
        <v>23896</v>
      </c>
      <c r="J65" s="466">
        <v>3492</v>
      </c>
      <c r="K65" s="465">
        <v>9290</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124880</v>
      </c>
      <c r="D67" s="1709">
        <f t="shared" ref="D67:K67" si="2">SUM(D65:D66)</f>
        <v>29839</v>
      </c>
      <c r="E67" s="1709">
        <f t="shared" si="2"/>
        <v>2549</v>
      </c>
      <c r="F67" s="1709">
        <f t="shared" si="2"/>
        <v>23003</v>
      </c>
      <c r="G67" s="1709">
        <f t="shared" si="2"/>
        <v>16474</v>
      </c>
      <c r="H67" s="1709">
        <f t="shared" si="2"/>
        <v>0</v>
      </c>
      <c r="I67" s="1709">
        <f t="shared" si="2"/>
        <v>23896</v>
      </c>
      <c r="J67" s="1709">
        <f t="shared" si="2"/>
        <v>3492</v>
      </c>
      <c r="K67" s="1709">
        <f t="shared" si="2"/>
        <v>9290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0</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54227</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54227</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29" t="s">
        <v>261</v>
      </c>
      <c r="B93" s="1730"/>
      <c r="C93" s="1709">
        <f>SUM(C84:C92)</f>
        <v>0</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c r="D95" s="550">
        <v>130000</v>
      </c>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105</v>
      </c>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1612</v>
      </c>
      <c r="D107" s="465">
        <v>1683</v>
      </c>
      <c r="E107" s="465"/>
      <c r="F107" s="465"/>
      <c r="G107" s="465"/>
      <c r="H107" s="465"/>
      <c r="I107" s="465"/>
      <c r="J107" s="466"/>
      <c r="K107" s="465"/>
    </row>
    <row r="108" spans="1:12" ht="12.75" customHeight="1" thickBot="1" x14ac:dyDescent="0.25">
      <c r="A108" s="1729" t="s">
        <v>508</v>
      </c>
      <c r="B108" s="1733"/>
      <c r="C108" s="1728">
        <f>SUM(C95:C107)</f>
        <v>1717</v>
      </c>
      <c r="D108" s="1728">
        <f t="shared" ref="D108:K108" si="3">SUM(D95:D107)</f>
        <v>131683</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6917618</v>
      </c>
      <c r="D109" s="1736">
        <f t="shared" si="4"/>
        <v>956242</v>
      </c>
      <c r="E109" s="1736">
        <f t="shared" si="4"/>
        <v>427648</v>
      </c>
      <c r="F109" s="1736">
        <f t="shared" si="4"/>
        <v>1253187</v>
      </c>
      <c r="G109" s="1736">
        <f t="shared" si="4"/>
        <v>278349</v>
      </c>
      <c r="H109" s="1736">
        <f t="shared" si="4"/>
        <v>0</v>
      </c>
      <c r="I109" s="1736">
        <f t="shared" si="4"/>
        <v>95955</v>
      </c>
      <c r="J109" s="1736">
        <f t="shared" si="4"/>
        <v>192413</v>
      </c>
      <c r="K109" s="1723">
        <f t="shared" si="4"/>
        <v>153928</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3838905</v>
      </c>
      <c r="D117" s="480">
        <v>1000000</v>
      </c>
      <c r="E117" s="465"/>
      <c r="F117" s="480"/>
      <c r="G117" s="480"/>
      <c r="H117" s="465"/>
      <c r="I117" s="467"/>
      <c r="J117" s="466"/>
      <c r="K117" s="465"/>
    </row>
    <row r="118" spans="1:11" ht="12.75" customHeight="1" x14ac:dyDescent="0.2">
      <c r="A118" s="462" t="s">
        <v>1902</v>
      </c>
      <c r="B118" s="561">
        <v>3002</v>
      </c>
      <c r="C118" s="550"/>
      <c r="D118" s="465"/>
      <c r="E118" s="465"/>
      <c r="F118" s="465"/>
      <c r="G118" s="465"/>
      <c r="H118" s="465"/>
      <c r="I118" s="467"/>
      <c r="J118" s="466"/>
      <c r="K118" s="465"/>
    </row>
    <row r="119" spans="1:11" ht="12.75" customHeight="1" x14ac:dyDescent="0.2">
      <c r="A119" s="462" t="s">
        <v>1903</v>
      </c>
      <c r="B119" s="561">
        <v>3005</v>
      </c>
      <c r="C119" s="550"/>
      <c r="D119" s="465"/>
      <c r="E119" s="465"/>
      <c r="F119" s="465"/>
      <c r="G119" s="465"/>
      <c r="H119" s="465"/>
      <c r="I119" s="467"/>
      <c r="J119" s="466"/>
      <c r="K119" s="465"/>
    </row>
    <row r="120" spans="1:11" x14ac:dyDescent="0.2">
      <c r="A120" s="1517" t="s">
        <v>1904</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3838905</v>
      </c>
      <c r="D121" s="1728">
        <f t="shared" si="5"/>
        <v>1000000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68454</v>
      </c>
      <c r="D124" s="560"/>
      <c r="E124" s="467"/>
      <c r="F124" s="547"/>
      <c r="G124" s="467"/>
      <c r="H124" s="467"/>
      <c r="I124" s="467"/>
      <c r="J124" s="467"/>
      <c r="K124" s="467"/>
    </row>
    <row r="125" spans="1:11" ht="12.75" customHeight="1" x14ac:dyDescent="0.2">
      <c r="A125" s="462" t="s">
        <v>1521</v>
      </c>
      <c r="B125" s="561">
        <v>3105</v>
      </c>
      <c r="C125" s="465">
        <v>77760</v>
      </c>
      <c r="D125" s="560"/>
      <c r="E125" s="467"/>
      <c r="F125" s="465"/>
      <c r="G125" s="467"/>
      <c r="H125" s="467"/>
      <c r="I125" s="467"/>
      <c r="J125" s="467"/>
      <c r="K125" s="467"/>
    </row>
    <row r="126" spans="1:11" ht="12.75" customHeight="1" x14ac:dyDescent="0.2">
      <c r="A126" s="462" t="s">
        <v>922</v>
      </c>
      <c r="B126" s="561">
        <v>3110</v>
      </c>
      <c r="C126" s="550">
        <v>98259</v>
      </c>
      <c r="D126" s="465"/>
      <c r="E126" s="467"/>
      <c r="F126" s="465"/>
      <c r="G126" s="467"/>
      <c r="H126" s="467"/>
      <c r="I126" s="467"/>
      <c r="J126" s="467"/>
      <c r="K126" s="467"/>
    </row>
    <row r="127" spans="1:11" ht="12.75" customHeight="1" x14ac:dyDescent="0.2">
      <c r="A127" s="462" t="s">
        <v>107</v>
      </c>
      <c r="B127" s="561">
        <v>3120</v>
      </c>
      <c r="C127" s="465">
        <v>0</v>
      </c>
      <c r="D127" s="560"/>
      <c r="E127" s="467"/>
      <c r="F127" s="465"/>
      <c r="G127" s="467"/>
      <c r="H127" s="467"/>
      <c r="I127" s="467"/>
      <c r="J127" s="467"/>
      <c r="K127" s="467"/>
    </row>
    <row r="128" spans="1:11" ht="12.75" customHeight="1" x14ac:dyDescent="0.2">
      <c r="A128" s="462" t="s">
        <v>1522</v>
      </c>
      <c r="B128" s="561">
        <v>3130</v>
      </c>
      <c r="C128" s="465">
        <v>0</v>
      </c>
      <c r="D128" s="560"/>
      <c r="E128" s="467"/>
      <c r="F128" s="465"/>
      <c r="G128" s="467"/>
      <c r="H128" s="467"/>
      <c r="I128" s="467"/>
      <c r="J128" s="467"/>
      <c r="K128" s="467"/>
    </row>
    <row r="129" spans="1:11" ht="12.75" customHeight="1" x14ac:dyDescent="0.2">
      <c r="A129" s="462" t="s">
        <v>139</v>
      </c>
      <c r="B129" s="561">
        <v>3145</v>
      </c>
      <c r="C129" s="465">
        <v>9881</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254354</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25509</v>
      </c>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25509</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8074</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c r="G151" s="466"/>
      <c r="H151" s="467"/>
      <c r="I151" s="467"/>
      <c r="J151" s="467"/>
      <c r="K151" s="467"/>
    </row>
    <row r="152" spans="1:11" ht="12.75" customHeight="1" x14ac:dyDescent="0.2">
      <c r="A152" s="462" t="s">
        <v>1117</v>
      </c>
      <c r="B152" s="561">
        <v>3510</v>
      </c>
      <c r="C152" s="550"/>
      <c r="D152" s="465"/>
      <c r="E152" s="560"/>
      <c r="F152" s="465">
        <v>238667</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238667</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v>326600</v>
      </c>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c r="D171" s="579"/>
      <c r="E171" s="579"/>
      <c r="F171" s="579"/>
      <c r="G171" s="580"/>
      <c r="H171" s="581"/>
      <c r="I171" s="580"/>
      <c r="J171" s="580"/>
      <c r="K171" s="581"/>
    </row>
    <row r="172" spans="1:11" ht="12.75" customHeight="1" thickTop="1" thickBot="1" x14ac:dyDescent="0.25">
      <c r="A172" s="2160" t="s">
        <v>418</v>
      </c>
      <c r="B172" s="2161"/>
      <c r="C172" s="1743">
        <f t="shared" ref="C172:K172" si="6">SUM(C131,C140,C144,C145:C149,C154,C155:C170,C171)</f>
        <v>614537</v>
      </c>
      <c r="D172" s="1743">
        <f t="shared" si="6"/>
        <v>0</v>
      </c>
      <c r="E172" s="1743">
        <f t="shared" si="6"/>
        <v>0</v>
      </c>
      <c r="F172" s="1743">
        <f t="shared" si="6"/>
        <v>238667</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4453442</v>
      </c>
      <c r="D173" s="1736">
        <f>SUM(D121,D172)</f>
        <v>1000000</v>
      </c>
      <c r="E173" s="1736">
        <f>SUM(E121,E172)</f>
        <v>0</v>
      </c>
      <c r="F173" s="1736">
        <f t="shared" ref="F173:K173" si="7">SUM(F121,F172)</f>
        <v>238667</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2" t="s">
        <v>1572</v>
      </c>
      <c r="B175" s="2163"/>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66" t="s">
        <v>1764</v>
      </c>
      <c r="B178" s="216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0" t="s">
        <v>1763</v>
      </c>
      <c r="B179" s="2171"/>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68" t="s">
        <v>818</v>
      </c>
      <c r="B184" s="2169"/>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4" t="s">
        <v>1906</v>
      </c>
      <c r="B185" s="2165"/>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222353</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v>155867</v>
      </c>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378220</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233241</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233241</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v>13514</v>
      </c>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160228</v>
      </c>
      <c r="D220" s="465"/>
      <c r="E220" s="467"/>
      <c r="F220" s="465"/>
      <c r="G220" s="465"/>
      <c r="H220" s="467"/>
      <c r="I220" s="467"/>
      <c r="J220" s="467"/>
      <c r="K220" s="467"/>
    </row>
    <row r="221" spans="1:11" ht="12.75" customHeight="1" x14ac:dyDescent="0.2">
      <c r="A221" s="462" t="s">
        <v>1114</v>
      </c>
      <c r="B221" s="469">
        <v>4625</v>
      </c>
      <c r="C221" s="550">
        <v>4213</v>
      </c>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177955</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v>47028</v>
      </c>
      <c r="D263" s="467"/>
      <c r="E263" s="467"/>
      <c r="F263" s="577"/>
      <c r="G263" s="572"/>
      <c r="H263" s="467"/>
      <c r="I263" s="467"/>
      <c r="J263" s="467"/>
      <c r="K263" s="467"/>
    </row>
    <row r="264" spans="1:11" ht="12.75" customHeight="1" thickTop="1" thickBot="1" x14ac:dyDescent="0.25">
      <c r="A264" s="462" t="s">
        <v>1532</v>
      </c>
      <c r="B264" s="469">
        <v>4909</v>
      </c>
      <c r="C264" s="575"/>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v>8817</v>
      </c>
      <c r="D267" s="575"/>
      <c r="E267" s="467"/>
      <c r="F267" s="575"/>
      <c r="G267" s="575"/>
      <c r="H267" s="467"/>
      <c r="I267" s="467"/>
      <c r="J267" s="467"/>
      <c r="K267" s="467"/>
    </row>
    <row r="268" spans="1:11" ht="12.75" customHeight="1" thickTop="1" thickBot="1" x14ac:dyDescent="0.25">
      <c r="A268" s="462" t="s">
        <v>782</v>
      </c>
      <c r="B268" s="469">
        <v>4932</v>
      </c>
      <c r="C268" s="575"/>
      <c r="D268" s="575"/>
      <c r="E268" s="467"/>
      <c r="F268" s="575"/>
      <c r="G268" s="575"/>
      <c r="H268" s="467"/>
      <c r="I268" s="467"/>
      <c r="J268" s="467"/>
      <c r="K268" s="467"/>
    </row>
    <row r="269" spans="1:11" ht="12.75" customHeight="1" thickTop="1" thickBot="1" x14ac:dyDescent="0.25">
      <c r="A269" s="462" t="s">
        <v>946</v>
      </c>
      <c r="B269" s="469">
        <v>4960</v>
      </c>
      <c r="C269" s="574">
        <v>19205</v>
      </c>
      <c r="D269" s="575"/>
      <c r="E269" s="467"/>
      <c r="F269" s="575"/>
      <c r="G269" s="575"/>
      <c r="H269" s="467"/>
      <c r="I269" s="467"/>
      <c r="J269" s="467"/>
      <c r="K269" s="467"/>
    </row>
    <row r="270" spans="1:11" ht="12.75" customHeight="1" thickTop="1" thickBot="1" x14ac:dyDescent="0.25">
      <c r="A270" s="462" t="s">
        <v>589</v>
      </c>
      <c r="B270" s="469">
        <v>4991</v>
      </c>
      <c r="C270" s="574">
        <v>52898</v>
      </c>
      <c r="D270" s="575"/>
      <c r="E270" s="467"/>
      <c r="F270" s="575"/>
      <c r="G270" s="575"/>
      <c r="H270" s="467"/>
      <c r="I270" s="467"/>
      <c r="J270" s="467"/>
      <c r="K270" s="467"/>
    </row>
    <row r="271" spans="1:11" ht="12.75" customHeight="1" thickTop="1" thickBot="1" x14ac:dyDescent="0.25">
      <c r="A271" s="462" t="s">
        <v>395</v>
      </c>
      <c r="B271" s="469">
        <v>4992</v>
      </c>
      <c r="C271" s="574"/>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917364</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917364</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12288424</v>
      </c>
      <c r="D275" s="1736">
        <f t="shared" si="12"/>
        <v>1956242</v>
      </c>
      <c r="E275" s="1736">
        <f t="shared" si="12"/>
        <v>427648</v>
      </c>
      <c r="F275" s="1736">
        <f t="shared" si="12"/>
        <v>1491854</v>
      </c>
      <c r="G275" s="1736">
        <f t="shared" si="12"/>
        <v>278349</v>
      </c>
      <c r="H275" s="1736">
        <f t="shared" si="12"/>
        <v>0</v>
      </c>
      <c r="I275" s="1736">
        <f t="shared" si="12"/>
        <v>95955</v>
      </c>
      <c r="J275" s="1736">
        <f t="shared" si="12"/>
        <v>192413</v>
      </c>
      <c r="K275" s="1723">
        <f t="shared" si="12"/>
        <v>153928</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237" activePane="bottomLeft" state="frozen"/>
      <selection activeCell="A47" sqref="A47"/>
      <selection pane="bottomLeft" activeCell="E237" sqref="E237"/>
    </sheetView>
  </sheetViews>
  <sheetFormatPr defaultColWidth="9.140625" defaultRowHeight="12.75" x14ac:dyDescent="0.2"/>
  <cols>
    <col min="1" max="1" width="48.5703125" style="709" customWidth="1"/>
    <col min="2" max="2" width="5" style="710" customWidth="1"/>
    <col min="3" max="8" width="13.42578125" style="609" customWidth="1"/>
    <col min="9" max="10" width="13.42578125" style="342" customWidth="1"/>
    <col min="11" max="11" width="13.42578125" style="711" customWidth="1"/>
    <col min="12" max="12" width="11.85546875" style="342" customWidth="1"/>
    <col min="13" max="13" width="1.5703125" style="209" customWidth="1"/>
    <col min="14" max="14" width="9.140625" style="209"/>
    <col min="15" max="16384" width="9.140625" style="328"/>
  </cols>
  <sheetData>
    <row r="1" spans="1:14" x14ac:dyDescent="0.2">
      <c r="A1" s="2140"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4"/>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0" t="s">
        <v>315</v>
      </c>
      <c r="B3" s="2181"/>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3815811</v>
      </c>
      <c r="D5" s="465">
        <v>814875</v>
      </c>
      <c r="E5" s="465">
        <v>39833</v>
      </c>
      <c r="F5" s="465">
        <v>380174</v>
      </c>
      <c r="G5" s="465">
        <v>554563</v>
      </c>
      <c r="H5" s="465">
        <v>309</v>
      </c>
      <c r="I5" s="466">
        <v>7105</v>
      </c>
      <c r="J5" s="466"/>
      <c r="K5" s="1692">
        <f>SUM(C5:J5)</f>
        <v>5612670</v>
      </c>
      <c r="L5" s="465">
        <v>6001764</v>
      </c>
    </row>
    <row r="6" spans="1:14" x14ac:dyDescent="0.2">
      <c r="A6" s="1525" t="s">
        <v>1508</v>
      </c>
      <c r="B6" s="614" t="s">
        <v>1506</v>
      </c>
      <c r="C6" s="476"/>
      <c r="D6" s="476"/>
      <c r="E6" s="465"/>
      <c r="F6" s="476"/>
      <c r="G6" s="476"/>
      <c r="H6" s="476"/>
      <c r="I6" s="476"/>
      <c r="J6" s="476"/>
      <c r="K6" s="1692">
        <f>SUM(C6,E6)</f>
        <v>0</v>
      </c>
      <c r="L6" s="465">
        <v>1200</v>
      </c>
    </row>
    <row r="7" spans="1:14" x14ac:dyDescent="0.2">
      <c r="A7" s="1525" t="s">
        <v>165</v>
      </c>
      <c r="B7" s="614" t="s">
        <v>1024</v>
      </c>
      <c r="C7" s="466"/>
      <c r="D7" s="466"/>
      <c r="E7" s="466"/>
      <c r="F7" s="466"/>
      <c r="G7" s="466"/>
      <c r="H7" s="466"/>
      <c r="I7" s="466"/>
      <c r="J7" s="466"/>
      <c r="K7" s="1692">
        <f t="shared" ref="K7:K32" si="0">SUM(C7:J7)</f>
        <v>0</v>
      </c>
      <c r="L7" s="465"/>
    </row>
    <row r="8" spans="1:14" x14ac:dyDescent="0.2">
      <c r="A8" s="1525" t="s">
        <v>166</v>
      </c>
      <c r="B8" s="614">
        <v>1200</v>
      </c>
      <c r="C8" s="465">
        <v>940445</v>
      </c>
      <c r="D8" s="465">
        <v>241766</v>
      </c>
      <c r="E8" s="465">
        <v>29543</v>
      </c>
      <c r="F8" s="465"/>
      <c r="G8" s="465"/>
      <c r="H8" s="465">
        <v>360</v>
      </c>
      <c r="I8" s="466"/>
      <c r="J8" s="466"/>
      <c r="K8" s="1692">
        <f t="shared" si="0"/>
        <v>1212114</v>
      </c>
      <c r="L8" s="465">
        <v>1384615</v>
      </c>
    </row>
    <row r="9" spans="1:14" x14ac:dyDescent="0.2">
      <c r="A9" s="1525" t="s">
        <v>745</v>
      </c>
      <c r="B9" s="614" t="s">
        <v>1025</v>
      </c>
      <c r="C9" s="466"/>
      <c r="D9" s="466"/>
      <c r="E9" s="466"/>
      <c r="F9" s="466"/>
      <c r="G9" s="466"/>
      <c r="H9" s="466"/>
      <c r="I9" s="466"/>
      <c r="J9" s="466"/>
      <c r="K9" s="1692">
        <f t="shared" si="0"/>
        <v>0</v>
      </c>
      <c r="L9" s="465"/>
    </row>
    <row r="10" spans="1:14" x14ac:dyDescent="0.2">
      <c r="A10" s="1525" t="s">
        <v>746</v>
      </c>
      <c r="B10" s="614">
        <v>1250</v>
      </c>
      <c r="C10" s="465"/>
      <c r="D10" s="465"/>
      <c r="E10" s="465"/>
      <c r="F10" s="465"/>
      <c r="G10" s="465"/>
      <c r="H10" s="465"/>
      <c r="I10" s="466"/>
      <c r="J10" s="466"/>
      <c r="K10" s="1692">
        <f t="shared" si="0"/>
        <v>0</v>
      </c>
      <c r="L10" s="465"/>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c r="G13" s="465"/>
      <c r="H13" s="465"/>
      <c r="I13" s="466"/>
      <c r="J13" s="466"/>
      <c r="K13" s="1692">
        <f t="shared" si="0"/>
        <v>0</v>
      </c>
      <c r="L13" s="465"/>
    </row>
    <row r="14" spans="1:14" x14ac:dyDescent="0.2">
      <c r="A14" s="1525" t="s">
        <v>1020</v>
      </c>
      <c r="B14" s="614">
        <v>1500</v>
      </c>
      <c r="C14" s="465"/>
      <c r="D14" s="465"/>
      <c r="E14" s="465"/>
      <c r="F14" s="465"/>
      <c r="G14" s="465"/>
      <c r="H14" s="465">
        <v>5074</v>
      </c>
      <c r="I14" s="466"/>
      <c r="J14" s="466"/>
      <c r="K14" s="1692">
        <f t="shared" si="0"/>
        <v>5074</v>
      </c>
      <c r="L14" s="465">
        <v>5000</v>
      </c>
    </row>
    <row r="15" spans="1:14" x14ac:dyDescent="0.2">
      <c r="A15" s="1525" t="s">
        <v>1021</v>
      </c>
      <c r="B15" s="614">
        <v>1600</v>
      </c>
      <c r="C15" s="465">
        <v>840</v>
      </c>
      <c r="D15" s="465">
        <v>12</v>
      </c>
      <c r="E15" s="465"/>
      <c r="F15" s="465">
        <v>473</v>
      </c>
      <c r="G15" s="465"/>
      <c r="H15" s="465"/>
      <c r="I15" s="466"/>
      <c r="J15" s="466"/>
      <c r="K15" s="1692">
        <f t="shared" si="0"/>
        <v>1325</v>
      </c>
      <c r="L15" s="465">
        <v>5759</v>
      </c>
    </row>
    <row r="16" spans="1:14" x14ac:dyDescent="0.2">
      <c r="A16" s="1525" t="s">
        <v>1044</v>
      </c>
      <c r="B16" s="614" t="s">
        <v>444</v>
      </c>
      <c r="C16" s="465"/>
      <c r="D16" s="465"/>
      <c r="E16" s="465"/>
      <c r="F16" s="465"/>
      <c r="G16" s="465"/>
      <c r="H16" s="465"/>
      <c r="I16" s="466"/>
      <c r="J16" s="466"/>
      <c r="K16" s="1692">
        <f t="shared" si="0"/>
        <v>0</v>
      </c>
      <c r="L16" s="465"/>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c r="D18" s="465"/>
      <c r="E18" s="465"/>
      <c r="F18" s="465"/>
      <c r="G18" s="465"/>
      <c r="H18" s="465"/>
      <c r="I18" s="466"/>
      <c r="J18" s="466"/>
      <c r="K18" s="1692">
        <f t="shared" si="0"/>
        <v>0</v>
      </c>
      <c r="L18" s="465"/>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c r="I22" s="616"/>
      <c r="J22" s="476"/>
      <c r="K22" s="1692">
        <f t="shared" si="0"/>
        <v>0</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1767</v>
      </c>
      <c r="B33" s="1690" t="s">
        <v>591</v>
      </c>
      <c r="C33" s="1691">
        <f>SUM(C5:C32)</f>
        <v>4757096</v>
      </c>
      <c r="D33" s="1691">
        <f t="shared" ref="D33:L33" si="1">SUM(D5:D32)</f>
        <v>1056653</v>
      </c>
      <c r="E33" s="1691">
        <f t="shared" si="1"/>
        <v>69376</v>
      </c>
      <c r="F33" s="1691">
        <f t="shared" si="1"/>
        <v>380647</v>
      </c>
      <c r="G33" s="1691">
        <f t="shared" si="1"/>
        <v>554563</v>
      </c>
      <c r="H33" s="1691">
        <f t="shared" si="1"/>
        <v>5743</v>
      </c>
      <c r="I33" s="1691">
        <f t="shared" si="1"/>
        <v>7105</v>
      </c>
      <c r="J33" s="1691">
        <f t="shared" si="1"/>
        <v>0</v>
      </c>
      <c r="K33" s="1691">
        <f t="shared" si="1"/>
        <v>6831183</v>
      </c>
      <c r="L33" s="1691">
        <f t="shared" si="1"/>
        <v>7398338</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161829</v>
      </c>
      <c r="D36" s="480">
        <v>19730</v>
      </c>
      <c r="E36" s="480"/>
      <c r="F36" s="480">
        <v>286</v>
      </c>
      <c r="G36" s="480"/>
      <c r="H36" s="480"/>
      <c r="I36" s="466"/>
      <c r="J36" s="466"/>
      <c r="K36" s="1692">
        <f t="shared" ref="K36:K41" si="2">SUM(C36:J36)</f>
        <v>181845</v>
      </c>
      <c r="L36" s="465">
        <v>181689</v>
      </c>
    </row>
    <row r="37" spans="1:14" x14ac:dyDescent="0.2">
      <c r="A37" s="1525" t="s">
        <v>1151</v>
      </c>
      <c r="B37" s="614">
        <v>2120</v>
      </c>
      <c r="C37" s="465"/>
      <c r="D37" s="465"/>
      <c r="E37" s="465"/>
      <c r="F37" s="465"/>
      <c r="G37" s="465"/>
      <c r="H37" s="465"/>
      <c r="I37" s="466"/>
      <c r="J37" s="466"/>
      <c r="K37" s="1692">
        <f t="shared" si="2"/>
        <v>0</v>
      </c>
      <c r="L37" s="465"/>
    </row>
    <row r="38" spans="1:14" x14ac:dyDescent="0.2">
      <c r="A38" s="1525" t="s">
        <v>207</v>
      </c>
      <c r="B38" s="614">
        <v>2130</v>
      </c>
      <c r="C38" s="465">
        <v>101614</v>
      </c>
      <c r="D38" s="465">
        <v>36450</v>
      </c>
      <c r="E38" s="465">
        <v>77388</v>
      </c>
      <c r="F38" s="465">
        <v>3462</v>
      </c>
      <c r="G38" s="465"/>
      <c r="H38" s="465"/>
      <c r="I38" s="466"/>
      <c r="J38" s="466"/>
      <c r="K38" s="1692">
        <f t="shared" si="2"/>
        <v>218914</v>
      </c>
      <c r="L38" s="465">
        <v>240129</v>
      </c>
    </row>
    <row r="39" spans="1:14" x14ac:dyDescent="0.2">
      <c r="A39" s="1525" t="s">
        <v>208</v>
      </c>
      <c r="B39" s="614">
        <v>2140</v>
      </c>
      <c r="C39" s="465"/>
      <c r="D39" s="465"/>
      <c r="E39" s="465">
        <v>8800</v>
      </c>
      <c r="F39" s="465"/>
      <c r="G39" s="465"/>
      <c r="H39" s="465"/>
      <c r="I39" s="466"/>
      <c r="J39" s="466"/>
      <c r="K39" s="1692">
        <f t="shared" si="2"/>
        <v>8800</v>
      </c>
      <c r="L39" s="465">
        <v>15200</v>
      </c>
    </row>
    <row r="40" spans="1:14" x14ac:dyDescent="0.2">
      <c r="A40" s="1525" t="s">
        <v>209</v>
      </c>
      <c r="B40" s="614">
        <v>2150</v>
      </c>
      <c r="C40" s="465">
        <v>64561</v>
      </c>
      <c r="D40" s="465">
        <v>3724</v>
      </c>
      <c r="E40" s="465">
        <v>16790</v>
      </c>
      <c r="F40" s="465">
        <v>368</v>
      </c>
      <c r="G40" s="465"/>
      <c r="H40" s="465"/>
      <c r="I40" s="466"/>
      <c r="J40" s="466"/>
      <c r="K40" s="1692">
        <f t="shared" si="2"/>
        <v>85443</v>
      </c>
      <c r="L40" s="465">
        <v>118604</v>
      </c>
    </row>
    <row r="41" spans="1:14" x14ac:dyDescent="0.2">
      <c r="A41" s="1525" t="s">
        <v>1768</v>
      </c>
      <c r="B41" s="614">
        <v>2190</v>
      </c>
      <c r="C41" s="465"/>
      <c r="D41" s="465"/>
      <c r="E41" s="465"/>
      <c r="F41" s="465"/>
      <c r="G41" s="465"/>
      <c r="H41" s="465"/>
      <c r="I41" s="466"/>
      <c r="J41" s="466"/>
      <c r="K41" s="1692">
        <f t="shared" si="2"/>
        <v>0</v>
      </c>
      <c r="L41" s="465"/>
    </row>
    <row r="42" spans="1:14" ht="12.75" customHeight="1" thickBot="1" x14ac:dyDescent="0.25">
      <c r="A42" s="1689" t="s">
        <v>581</v>
      </c>
      <c r="B42" s="1690" t="s">
        <v>740</v>
      </c>
      <c r="C42" s="1691">
        <f>SUM(C36:C41)</f>
        <v>328004</v>
      </c>
      <c r="D42" s="1691">
        <f t="shared" ref="D42:L42" si="3">SUM(D36:D41)</f>
        <v>59904</v>
      </c>
      <c r="E42" s="1691">
        <f t="shared" si="3"/>
        <v>102978</v>
      </c>
      <c r="F42" s="1691">
        <f t="shared" si="3"/>
        <v>4116</v>
      </c>
      <c r="G42" s="1691">
        <f t="shared" si="3"/>
        <v>0</v>
      </c>
      <c r="H42" s="1691">
        <f t="shared" si="3"/>
        <v>0</v>
      </c>
      <c r="I42" s="1691">
        <f t="shared" si="3"/>
        <v>0</v>
      </c>
      <c r="J42" s="1691">
        <f t="shared" si="3"/>
        <v>0</v>
      </c>
      <c r="K42" s="1691">
        <f t="shared" si="3"/>
        <v>495002</v>
      </c>
      <c r="L42" s="1691">
        <f t="shared" si="3"/>
        <v>555622</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34768</v>
      </c>
      <c r="D44" s="480">
        <v>12193</v>
      </c>
      <c r="E44" s="480">
        <v>38158</v>
      </c>
      <c r="F44" s="480">
        <v>1406</v>
      </c>
      <c r="G44" s="480"/>
      <c r="H44" s="480"/>
      <c r="I44" s="466"/>
      <c r="J44" s="466"/>
      <c r="K44" s="1693">
        <f>SUM(C44:J44)</f>
        <v>86525</v>
      </c>
      <c r="L44" s="480">
        <v>164613</v>
      </c>
    </row>
    <row r="45" spans="1:14" x14ac:dyDescent="0.2">
      <c r="A45" s="1525" t="s">
        <v>869</v>
      </c>
      <c r="B45" s="614">
        <v>2220</v>
      </c>
      <c r="C45" s="465">
        <v>105617</v>
      </c>
      <c r="D45" s="465">
        <v>21872</v>
      </c>
      <c r="E45" s="465"/>
      <c r="F45" s="465">
        <v>4155</v>
      </c>
      <c r="G45" s="465"/>
      <c r="H45" s="465"/>
      <c r="I45" s="466"/>
      <c r="J45" s="466"/>
      <c r="K45" s="1693">
        <f>SUM(C45:J45)</f>
        <v>131644</v>
      </c>
      <c r="L45" s="465">
        <v>283709</v>
      </c>
    </row>
    <row r="46" spans="1:14" x14ac:dyDescent="0.2">
      <c r="A46" s="1525" t="s">
        <v>870</v>
      </c>
      <c r="B46" s="614">
        <v>2230</v>
      </c>
      <c r="C46" s="465"/>
      <c r="D46" s="465"/>
      <c r="E46" s="465">
        <v>9900</v>
      </c>
      <c r="F46" s="465">
        <v>14127</v>
      </c>
      <c r="G46" s="465"/>
      <c r="H46" s="465"/>
      <c r="I46" s="466"/>
      <c r="J46" s="466"/>
      <c r="K46" s="1693">
        <f>SUM(C46:J46)</f>
        <v>24027</v>
      </c>
      <c r="L46" s="465">
        <v>32000</v>
      </c>
    </row>
    <row r="47" spans="1:14" ht="12.75" customHeight="1" thickBot="1" x14ac:dyDescent="0.25">
      <c r="A47" s="1689" t="s">
        <v>582</v>
      </c>
      <c r="B47" s="1690" t="s">
        <v>32</v>
      </c>
      <c r="C47" s="1691">
        <f>SUM(C44:C46)</f>
        <v>140385</v>
      </c>
      <c r="D47" s="1691">
        <f t="shared" ref="D47:K47" si="4">SUM(D44:D46)</f>
        <v>34065</v>
      </c>
      <c r="E47" s="1691">
        <f t="shared" si="4"/>
        <v>48058</v>
      </c>
      <c r="F47" s="1691">
        <f t="shared" si="4"/>
        <v>19688</v>
      </c>
      <c r="G47" s="1691">
        <f t="shared" si="4"/>
        <v>0</v>
      </c>
      <c r="H47" s="1691">
        <f t="shared" si="4"/>
        <v>0</v>
      </c>
      <c r="I47" s="1691">
        <f t="shared" si="4"/>
        <v>0</v>
      </c>
      <c r="J47" s="1691">
        <f t="shared" si="4"/>
        <v>0</v>
      </c>
      <c r="K47" s="1691">
        <f t="shared" si="4"/>
        <v>242196</v>
      </c>
      <c r="L47" s="1691">
        <f>SUM(L44:L46)</f>
        <v>480322</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v>6534</v>
      </c>
      <c r="D49" s="480">
        <v>5149</v>
      </c>
      <c r="E49" s="480">
        <v>112920</v>
      </c>
      <c r="F49" s="480">
        <v>4</v>
      </c>
      <c r="G49" s="480"/>
      <c r="H49" s="480">
        <v>6529</v>
      </c>
      <c r="I49" s="466"/>
      <c r="J49" s="466"/>
      <c r="K49" s="1693">
        <f>SUM(C49:J49)</f>
        <v>131136</v>
      </c>
      <c r="L49" s="480">
        <v>148761</v>
      </c>
    </row>
    <row r="50" spans="1:14" x14ac:dyDescent="0.2">
      <c r="A50" s="1525" t="s">
        <v>872</v>
      </c>
      <c r="B50" s="614">
        <v>2320</v>
      </c>
      <c r="C50" s="465">
        <v>186469</v>
      </c>
      <c r="D50" s="465">
        <v>37427</v>
      </c>
      <c r="E50" s="465">
        <v>3155</v>
      </c>
      <c r="F50" s="465">
        <v>60</v>
      </c>
      <c r="G50" s="465"/>
      <c r="H50" s="465">
        <v>2074</v>
      </c>
      <c r="I50" s="466"/>
      <c r="J50" s="466"/>
      <c r="K50" s="1693">
        <f>SUM(C50:J50)</f>
        <v>229185</v>
      </c>
      <c r="L50" s="465">
        <v>232337</v>
      </c>
    </row>
    <row r="51" spans="1:14" x14ac:dyDescent="0.2">
      <c r="A51" s="1525" t="s">
        <v>44</v>
      </c>
      <c r="B51" s="614">
        <v>2330</v>
      </c>
      <c r="C51" s="465">
        <v>149063</v>
      </c>
      <c r="D51" s="465">
        <v>40661</v>
      </c>
      <c r="E51" s="465"/>
      <c r="F51" s="465"/>
      <c r="G51" s="465"/>
      <c r="H51" s="465"/>
      <c r="I51" s="466"/>
      <c r="J51" s="466"/>
      <c r="K51" s="1693">
        <f>SUM(C51:J51)</f>
        <v>189724</v>
      </c>
      <c r="L51" s="465">
        <v>189851</v>
      </c>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342066</v>
      </c>
      <c r="D53" s="1691">
        <f t="shared" ref="D53:L53" si="5">SUM(D49:D52)</f>
        <v>83237</v>
      </c>
      <c r="E53" s="1691">
        <f t="shared" si="5"/>
        <v>116075</v>
      </c>
      <c r="F53" s="1691">
        <f t="shared" si="5"/>
        <v>64</v>
      </c>
      <c r="G53" s="1691">
        <f t="shared" si="5"/>
        <v>0</v>
      </c>
      <c r="H53" s="1691">
        <f t="shared" si="5"/>
        <v>8603</v>
      </c>
      <c r="I53" s="1691">
        <f t="shared" si="5"/>
        <v>0</v>
      </c>
      <c r="J53" s="1691">
        <f t="shared" si="5"/>
        <v>0</v>
      </c>
      <c r="K53" s="1691">
        <f t="shared" si="5"/>
        <v>550045</v>
      </c>
      <c r="L53" s="1691">
        <f t="shared" si="5"/>
        <v>570949</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544677</v>
      </c>
      <c r="D55" s="480">
        <v>149609</v>
      </c>
      <c r="E55" s="480">
        <v>894</v>
      </c>
      <c r="F55" s="480">
        <v>10755</v>
      </c>
      <c r="G55" s="480"/>
      <c r="H55" s="480">
        <v>1458</v>
      </c>
      <c r="I55" s="466"/>
      <c r="J55" s="466"/>
      <c r="K55" s="1693">
        <f>SUM(C55:J55)</f>
        <v>707393</v>
      </c>
      <c r="L55" s="480">
        <v>731837</v>
      </c>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544677</v>
      </c>
      <c r="D57" s="1695">
        <f t="shared" ref="D57:K57" si="6">SUM(D55:D56)</f>
        <v>149609</v>
      </c>
      <c r="E57" s="1695">
        <f t="shared" si="6"/>
        <v>894</v>
      </c>
      <c r="F57" s="1695">
        <f t="shared" si="6"/>
        <v>10755</v>
      </c>
      <c r="G57" s="1695">
        <f t="shared" si="6"/>
        <v>0</v>
      </c>
      <c r="H57" s="1695">
        <f t="shared" si="6"/>
        <v>1458</v>
      </c>
      <c r="I57" s="1695">
        <f t="shared" si="6"/>
        <v>0</v>
      </c>
      <c r="J57" s="1695">
        <f t="shared" si="6"/>
        <v>0</v>
      </c>
      <c r="K57" s="1695">
        <f t="shared" si="6"/>
        <v>707393</v>
      </c>
      <c r="L57" s="1691">
        <f>SUM(L55:L56)</f>
        <v>731837</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v>120200</v>
      </c>
      <c r="D59" s="480">
        <v>42814</v>
      </c>
      <c r="E59" s="480">
        <v>1563</v>
      </c>
      <c r="F59" s="480"/>
      <c r="G59" s="480"/>
      <c r="H59" s="480">
        <v>1490</v>
      </c>
      <c r="I59" s="466"/>
      <c r="J59" s="466"/>
      <c r="K59" s="1693">
        <f t="shared" ref="K59:K64" si="7">SUM(C59:J59)</f>
        <v>166067</v>
      </c>
      <c r="L59" s="480">
        <v>169243</v>
      </c>
      <c r="M59" s="609"/>
      <c r="N59" s="609"/>
    </row>
    <row r="60" spans="1:14" s="342" customFormat="1" x14ac:dyDescent="0.2">
      <c r="A60" s="1525" t="s">
        <v>483</v>
      </c>
      <c r="B60" s="614">
        <v>2520</v>
      </c>
      <c r="C60" s="465">
        <v>229640</v>
      </c>
      <c r="D60" s="465">
        <v>72515</v>
      </c>
      <c r="E60" s="465">
        <v>1143</v>
      </c>
      <c r="F60" s="465">
        <v>10838</v>
      </c>
      <c r="G60" s="465"/>
      <c r="H60" s="465"/>
      <c r="I60" s="466"/>
      <c r="J60" s="466"/>
      <c r="K60" s="1693">
        <f t="shared" si="7"/>
        <v>314136</v>
      </c>
      <c r="L60" s="465">
        <v>331609</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v>55927</v>
      </c>
      <c r="D63" s="465"/>
      <c r="E63" s="465"/>
      <c r="F63" s="465">
        <v>465538</v>
      </c>
      <c r="G63" s="465">
        <v>4444</v>
      </c>
      <c r="H63" s="465"/>
      <c r="I63" s="466"/>
      <c r="J63" s="466"/>
      <c r="K63" s="1693">
        <f t="shared" si="7"/>
        <v>525909</v>
      </c>
      <c r="L63" s="465">
        <v>539427</v>
      </c>
    </row>
    <row r="64" spans="1:14" s="609" customFormat="1" x14ac:dyDescent="0.2">
      <c r="A64" s="1530" t="s">
        <v>103</v>
      </c>
      <c r="B64" s="630">
        <v>2570</v>
      </c>
      <c r="C64" s="480"/>
      <c r="D64" s="480"/>
      <c r="E64" s="480"/>
      <c r="F64" s="480"/>
      <c r="G64" s="480"/>
      <c r="H64" s="480"/>
      <c r="I64" s="466"/>
      <c r="J64" s="466"/>
      <c r="K64" s="1693">
        <f t="shared" si="7"/>
        <v>0</v>
      </c>
      <c r="L64" s="480"/>
    </row>
    <row r="65" spans="1:14" s="342" customFormat="1" ht="12.75" customHeight="1" thickBot="1" x14ac:dyDescent="0.25">
      <c r="A65" s="1689" t="s">
        <v>743</v>
      </c>
      <c r="B65" s="1690" t="s">
        <v>35</v>
      </c>
      <c r="C65" s="1691">
        <f>SUM(C59:C64)</f>
        <v>405767</v>
      </c>
      <c r="D65" s="1691">
        <f t="shared" ref="D65:L65" si="8">SUM(D59:D64)</f>
        <v>115329</v>
      </c>
      <c r="E65" s="1691">
        <f t="shared" si="8"/>
        <v>2706</v>
      </c>
      <c r="F65" s="1691">
        <f t="shared" si="8"/>
        <v>476376</v>
      </c>
      <c r="G65" s="1691">
        <f t="shared" si="8"/>
        <v>4444</v>
      </c>
      <c r="H65" s="1691">
        <f t="shared" si="8"/>
        <v>1490</v>
      </c>
      <c r="I65" s="1691">
        <f t="shared" si="8"/>
        <v>0</v>
      </c>
      <c r="J65" s="1691">
        <f t="shared" si="8"/>
        <v>0</v>
      </c>
      <c r="K65" s="1691">
        <f t="shared" si="8"/>
        <v>1006112</v>
      </c>
      <c r="L65" s="1691">
        <f t="shared" si="8"/>
        <v>1040279</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c r="F69" s="465"/>
      <c r="G69" s="465"/>
      <c r="H69" s="465"/>
      <c r="I69" s="466"/>
      <c r="J69" s="466"/>
      <c r="K69" s="1693">
        <f>SUM(C69:J69)</f>
        <v>0</v>
      </c>
      <c r="L69" s="465"/>
      <c r="M69" s="609"/>
      <c r="N69" s="609"/>
    </row>
    <row r="70" spans="1:14" s="342" customFormat="1" x14ac:dyDescent="0.2">
      <c r="A70" s="1525" t="s">
        <v>423</v>
      </c>
      <c r="B70" s="614">
        <v>2640</v>
      </c>
      <c r="C70" s="465"/>
      <c r="D70" s="465"/>
      <c r="E70" s="465"/>
      <c r="F70" s="465"/>
      <c r="G70" s="465"/>
      <c r="H70" s="465"/>
      <c r="I70" s="466"/>
      <c r="J70" s="466"/>
      <c r="K70" s="1693">
        <f>SUM(C70:J70)</f>
        <v>0</v>
      </c>
      <c r="L70" s="465"/>
      <c r="M70" s="609"/>
      <c r="N70" s="609"/>
    </row>
    <row r="71" spans="1:14" s="342" customFormat="1" x14ac:dyDescent="0.2">
      <c r="A71" s="1525" t="s">
        <v>424</v>
      </c>
      <c r="B71" s="614">
        <v>2660</v>
      </c>
      <c r="C71" s="465">
        <v>127250</v>
      </c>
      <c r="D71" s="465">
        <v>45236</v>
      </c>
      <c r="E71" s="465"/>
      <c r="F71" s="465"/>
      <c r="G71" s="465"/>
      <c r="H71" s="465"/>
      <c r="I71" s="466"/>
      <c r="J71" s="466"/>
      <c r="K71" s="1693">
        <f>SUM(C71:J71)</f>
        <v>172486</v>
      </c>
      <c r="L71" s="465">
        <v>170702</v>
      </c>
      <c r="M71" s="609"/>
      <c r="N71" s="609"/>
    </row>
    <row r="72" spans="1:14" s="342" customFormat="1" ht="12.75" customHeight="1" thickBot="1" x14ac:dyDescent="0.25">
      <c r="A72" s="1689" t="s">
        <v>37</v>
      </c>
      <c r="B72" s="1696" t="s">
        <v>36</v>
      </c>
      <c r="C72" s="1691">
        <f>SUM(C67:C71)</f>
        <v>127250</v>
      </c>
      <c r="D72" s="1691">
        <f t="shared" ref="D72:K72" si="9">SUM(D67:D71)</f>
        <v>45236</v>
      </c>
      <c r="E72" s="1691">
        <f t="shared" si="9"/>
        <v>0</v>
      </c>
      <c r="F72" s="1691">
        <f t="shared" si="9"/>
        <v>0</v>
      </c>
      <c r="G72" s="1691">
        <f t="shared" si="9"/>
        <v>0</v>
      </c>
      <c r="H72" s="1691">
        <f t="shared" si="9"/>
        <v>0</v>
      </c>
      <c r="I72" s="1691">
        <f t="shared" si="9"/>
        <v>0</v>
      </c>
      <c r="J72" s="1691">
        <f t="shared" si="9"/>
        <v>0</v>
      </c>
      <c r="K72" s="1691">
        <f t="shared" si="9"/>
        <v>172486</v>
      </c>
      <c r="L72" s="1691">
        <f>SUM(L67:L71)</f>
        <v>170702</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v>100</v>
      </c>
      <c r="M73" s="609"/>
      <c r="N73" s="609"/>
    </row>
    <row r="74" spans="1:14" ht="12.75" customHeight="1" thickTop="1" thickBot="1" x14ac:dyDescent="0.25">
      <c r="A74" s="1689" t="s">
        <v>865</v>
      </c>
      <c r="B74" s="1697">
        <v>2000</v>
      </c>
      <c r="C74" s="1698">
        <f>SUM(C42,C47,C53,C57,C65,C72,C73)</f>
        <v>1888149</v>
      </c>
      <c r="D74" s="1698">
        <f t="shared" ref="D74:K74" si="10">SUM(D42,D47,D53,D57,D65,D72,D73)</f>
        <v>487380</v>
      </c>
      <c r="E74" s="1698">
        <f t="shared" si="10"/>
        <v>270711</v>
      </c>
      <c r="F74" s="1698">
        <f t="shared" si="10"/>
        <v>510999</v>
      </c>
      <c r="G74" s="1698">
        <f t="shared" si="10"/>
        <v>4444</v>
      </c>
      <c r="H74" s="1698">
        <f t="shared" si="10"/>
        <v>11551</v>
      </c>
      <c r="I74" s="1698">
        <f t="shared" si="10"/>
        <v>0</v>
      </c>
      <c r="J74" s="1698">
        <f t="shared" si="10"/>
        <v>0</v>
      </c>
      <c r="K74" s="1698">
        <f t="shared" si="10"/>
        <v>3173234</v>
      </c>
      <c r="L74" s="1698">
        <f>SUM(L42,L47,L53,L57,L65,L72,L73)</f>
        <v>3549811</v>
      </c>
    </row>
    <row r="75" spans="1:14" s="258" customFormat="1" ht="15.75" customHeight="1" thickTop="1" thickBot="1" x14ac:dyDescent="0.25">
      <c r="A75" s="1631" t="s">
        <v>49</v>
      </c>
      <c r="B75" s="1632" t="s">
        <v>596</v>
      </c>
      <c r="C75" s="572">
        <v>15474</v>
      </c>
      <c r="D75" s="572">
        <v>2674</v>
      </c>
      <c r="E75" s="572"/>
      <c r="F75" s="572"/>
      <c r="G75" s="572"/>
      <c r="H75" s="572"/>
      <c r="I75" s="530"/>
      <c r="J75" s="530"/>
      <c r="K75" s="1691">
        <f>SUM(C75:J75)</f>
        <v>18148</v>
      </c>
      <c r="L75" s="575">
        <v>18113</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row>
    <row r="79" spans="1:14" x14ac:dyDescent="0.2">
      <c r="A79" s="1525" t="s">
        <v>322</v>
      </c>
      <c r="B79" s="614">
        <v>4120</v>
      </c>
      <c r="C79" s="616"/>
      <c r="D79" s="616"/>
      <c r="E79" s="465"/>
      <c r="F79" s="616"/>
      <c r="G79" s="616"/>
      <c r="H79" s="465">
        <v>1234453</v>
      </c>
      <c r="I79" s="476"/>
      <c r="J79" s="476"/>
      <c r="K79" s="1692">
        <f t="shared" si="11"/>
        <v>1234453</v>
      </c>
      <c r="L79" s="465">
        <v>1127000</v>
      </c>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c r="F83" s="616"/>
      <c r="G83" s="616"/>
      <c r="H83" s="465"/>
      <c r="I83" s="476"/>
      <c r="J83" s="476"/>
      <c r="K83" s="1692">
        <f t="shared" si="11"/>
        <v>0</v>
      </c>
      <c r="L83" s="465"/>
    </row>
    <row r="84" spans="1:12" ht="13.5" thickBot="1" x14ac:dyDescent="0.25">
      <c r="A84" s="1689" t="s">
        <v>1565</v>
      </c>
      <c r="B84" s="1699">
        <v>4100</v>
      </c>
      <c r="C84" s="616"/>
      <c r="D84" s="616"/>
      <c r="E84" s="1691">
        <f>SUM(E78:E83)</f>
        <v>0</v>
      </c>
      <c r="F84" s="616"/>
      <c r="G84" s="616"/>
      <c r="H84" s="1691">
        <f>SUM(H78:H83)</f>
        <v>1234453</v>
      </c>
      <c r="I84" s="476"/>
      <c r="J84" s="476"/>
      <c r="K84" s="1691">
        <f>SUM(K78:K83)</f>
        <v>1234453</v>
      </c>
      <c r="L84" s="1691">
        <f>SUM(L78:L83)</f>
        <v>1127000</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c r="I86" s="476"/>
      <c r="J86" s="476"/>
      <c r="K86" s="1698">
        <f t="shared" ref="K86:K98" si="12">H86</f>
        <v>0</v>
      </c>
      <c r="L86" s="529"/>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0</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c r="I96" s="476"/>
      <c r="J96" s="476"/>
      <c r="K96" s="1698">
        <f t="shared" si="12"/>
        <v>0</v>
      </c>
      <c r="L96" s="529"/>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0</v>
      </c>
      <c r="F102" s="616"/>
      <c r="G102" s="616"/>
      <c r="H102" s="1698">
        <f>SUM(H84,H92,H100,H101)</f>
        <v>1234453</v>
      </c>
      <c r="I102" s="476"/>
      <c r="J102" s="476"/>
      <c r="K102" s="1698">
        <f>SUM(K84,K92,K100,K101)</f>
        <v>1234453</v>
      </c>
      <c r="L102" s="1698">
        <f>SUM(L84,L92,L100,L101)</f>
        <v>1127000</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v>302142</v>
      </c>
      <c r="M113" s="613"/>
      <c r="N113" s="613"/>
    </row>
    <row r="114" spans="1:14" ht="12.75" customHeight="1" thickTop="1" thickBot="1" x14ac:dyDescent="0.25">
      <c r="A114" s="1689" t="s">
        <v>50</v>
      </c>
      <c r="B114" s="1703"/>
      <c r="C114" s="1691">
        <f>SUM(C33,C74,C75,C102,C112,C113)</f>
        <v>6660719</v>
      </c>
      <c r="D114" s="1691">
        <f t="shared" ref="D114:K114" si="13">SUM(D33,D74,D75,D102,D112,D113)</f>
        <v>1546707</v>
      </c>
      <c r="E114" s="1691">
        <f t="shared" si="13"/>
        <v>340087</v>
      </c>
      <c r="F114" s="1691">
        <f t="shared" si="13"/>
        <v>891646</v>
      </c>
      <c r="G114" s="1691">
        <f t="shared" si="13"/>
        <v>559007</v>
      </c>
      <c r="H114" s="1691">
        <f>SUM(H33,H74,H75,H102,H112,H113)</f>
        <v>1251747</v>
      </c>
      <c r="I114" s="1691">
        <f t="shared" si="13"/>
        <v>7105</v>
      </c>
      <c r="J114" s="1691">
        <f t="shared" si="13"/>
        <v>0</v>
      </c>
      <c r="K114" s="1691">
        <f t="shared" si="13"/>
        <v>11257018</v>
      </c>
      <c r="L114" s="1691">
        <f>SUM(L33,L74,L75,L102,L112,L113)</f>
        <v>12395404</v>
      </c>
    </row>
    <row r="115" spans="1:14" ht="13.5" thickTop="1" x14ac:dyDescent="0.2">
      <c r="A115" s="2172" t="s">
        <v>1053</v>
      </c>
      <c r="B115" s="2173"/>
      <c r="C115" s="618"/>
      <c r="D115" s="618"/>
      <c r="E115" s="618"/>
      <c r="F115" s="618"/>
      <c r="G115" s="618"/>
      <c r="H115" s="618"/>
      <c r="I115" s="618"/>
      <c r="J115" s="618"/>
      <c r="K115" s="1705">
        <f>'Revenues 9-14'!C275-'Expenditures 15-22'!K114</f>
        <v>1031406</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7" t="s">
        <v>314</v>
      </c>
      <c r="B117" s="2178"/>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v>848575</v>
      </c>
      <c r="H123" s="465"/>
      <c r="I123" s="466"/>
      <c r="J123" s="466"/>
      <c r="K123" s="1691">
        <f>SUM(C123:J123)</f>
        <v>848575</v>
      </c>
      <c r="L123" s="465">
        <v>1268000</v>
      </c>
    </row>
    <row r="124" spans="1:14" ht="14.25" thickTop="1" thickBot="1" x14ac:dyDescent="0.25">
      <c r="A124" s="1525" t="s">
        <v>206</v>
      </c>
      <c r="B124" s="614">
        <v>2540</v>
      </c>
      <c r="C124" s="465">
        <v>488445</v>
      </c>
      <c r="D124" s="465">
        <v>86290</v>
      </c>
      <c r="E124" s="465">
        <v>487375</v>
      </c>
      <c r="F124" s="465">
        <v>273990</v>
      </c>
      <c r="G124" s="465">
        <v>157099</v>
      </c>
      <c r="H124" s="465">
        <v>0</v>
      </c>
      <c r="I124" s="466">
        <v>44466</v>
      </c>
      <c r="J124" s="466"/>
      <c r="K124" s="1691">
        <f>SUM(C124:J124)</f>
        <v>1537665</v>
      </c>
      <c r="L124" s="465">
        <v>1683840</v>
      </c>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488445</v>
      </c>
      <c r="D127" s="1691">
        <f t="shared" ref="D127:L127" si="14">SUM(D122:D126)</f>
        <v>86290</v>
      </c>
      <c r="E127" s="1691">
        <f t="shared" si="14"/>
        <v>487375</v>
      </c>
      <c r="F127" s="1691">
        <f t="shared" si="14"/>
        <v>273990</v>
      </c>
      <c r="G127" s="1691">
        <f t="shared" si="14"/>
        <v>1005674</v>
      </c>
      <c r="H127" s="1691">
        <f t="shared" si="14"/>
        <v>0</v>
      </c>
      <c r="I127" s="1691">
        <f t="shared" si="14"/>
        <v>44466</v>
      </c>
      <c r="J127" s="1691">
        <f t="shared" si="14"/>
        <v>0</v>
      </c>
      <c r="K127" s="1691">
        <f t="shared" si="14"/>
        <v>2386240</v>
      </c>
      <c r="L127" s="1691">
        <f t="shared" si="14"/>
        <v>2951840</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488445</v>
      </c>
      <c r="D129" s="1698">
        <f t="shared" ref="D129:L129" si="15">SUM(D120,D127,D128)</f>
        <v>86290</v>
      </c>
      <c r="E129" s="1698">
        <f t="shared" si="15"/>
        <v>487375</v>
      </c>
      <c r="F129" s="1698">
        <f t="shared" si="15"/>
        <v>273990</v>
      </c>
      <c r="G129" s="1698">
        <f t="shared" si="15"/>
        <v>1005674</v>
      </c>
      <c r="H129" s="1698">
        <f t="shared" si="15"/>
        <v>0</v>
      </c>
      <c r="I129" s="1698">
        <f t="shared" si="15"/>
        <v>44466</v>
      </c>
      <c r="J129" s="1698">
        <f t="shared" si="15"/>
        <v>0</v>
      </c>
      <c r="K129" s="1698">
        <f t="shared" si="15"/>
        <v>2386240</v>
      </c>
      <c r="L129" s="1698">
        <f t="shared" si="15"/>
        <v>2951840</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1957</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row>
    <row r="151" spans="1:14" ht="12.75" customHeight="1" thickTop="1" thickBot="1" x14ac:dyDescent="0.25">
      <c r="A151" s="2189" t="s">
        <v>641</v>
      </c>
      <c r="B151" s="2169"/>
      <c r="C151" s="1691">
        <f>SUM(C129,C130,C139,C149,C150)</f>
        <v>488445</v>
      </c>
      <c r="D151" s="1691">
        <f t="shared" ref="D151:K151" si="16">SUM(D129,D130,D139,D149,D150)</f>
        <v>86290</v>
      </c>
      <c r="E151" s="1691">
        <f t="shared" si="16"/>
        <v>487375</v>
      </c>
      <c r="F151" s="1691">
        <f t="shared" si="16"/>
        <v>273990</v>
      </c>
      <c r="G151" s="1691">
        <f t="shared" si="16"/>
        <v>1005674</v>
      </c>
      <c r="H151" s="1691">
        <f t="shared" si="16"/>
        <v>0</v>
      </c>
      <c r="I151" s="1691">
        <f t="shared" si="16"/>
        <v>44466</v>
      </c>
      <c r="J151" s="1691">
        <f t="shared" si="16"/>
        <v>0</v>
      </c>
      <c r="K151" s="1691">
        <f t="shared" si="16"/>
        <v>2386240</v>
      </c>
      <c r="L151" s="1691">
        <f>SUM(L129,L130,L139,L149,L150)</f>
        <v>2951840</v>
      </c>
    </row>
    <row r="152" spans="1:14" ht="12.75" customHeight="1" thickTop="1" x14ac:dyDescent="0.2">
      <c r="A152" s="2192" t="s">
        <v>1240</v>
      </c>
      <c r="B152" s="2193"/>
      <c r="C152" s="618"/>
      <c r="D152" s="618"/>
      <c r="E152" s="618"/>
      <c r="F152" s="618"/>
      <c r="G152" s="618"/>
      <c r="H152" s="618"/>
      <c r="I152" s="618"/>
      <c r="J152" s="616"/>
      <c r="K152" s="1705">
        <f>'Revenues 9-14'!D275-'Expenditures 15-22'!K151</f>
        <v>-429998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642</v>
      </c>
      <c r="B154" s="2179"/>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1958</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1957</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1959</v>
      </c>
      <c r="C158" s="616"/>
      <c r="D158" s="616"/>
      <c r="E158" s="616"/>
      <c r="F158" s="616"/>
      <c r="G158" s="616"/>
      <c r="H158" s="466"/>
      <c r="I158" s="616"/>
      <c r="J158" s="616"/>
      <c r="K158" s="1692">
        <f>H158</f>
        <v>0</v>
      </c>
      <c r="L158" s="466"/>
      <c r="M158" s="619"/>
      <c r="N158" s="619"/>
    </row>
    <row r="159" spans="1:14" s="620" customFormat="1" ht="12" x14ac:dyDescent="0.2">
      <c r="A159" s="1848" t="s">
        <v>1960</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1961</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v>447748</v>
      </c>
      <c r="I169" s="616"/>
      <c r="J169" s="616"/>
      <c r="K169" s="1692">
        <f>SUM(C169:H169)</f>
        <v>447748</v>
      </c>
      <c r="L169" s="656">
        <v>447748</v>
      </c>
    </row>
    <row r="170" spans="1:14" ht="33.75" customHeight="1" x14ac:dyDescent="0.2">
      <c r="A170" s="669" t="s">
        <v>1769</v>
      </c>
      <c r="B170" s="671" t="s">
        <v>31</v>
      </c>
      <c r="C170" s="616"/>
      <c r="D170" s="616"/>
      <c r="E170" s="616"/>
      <c r="F170" s="616"/>
      <c r="G170" s="616"/>
      <c r="H170" s="568">
        <v>252252</v>
      </c>
      <c r="I170" s="616"/>
      <c r="J170" s="616"/>
      <c r="K170" s="1692">
        <f>SUM(C170:J170)</f>
        <v>252252</v>
      </c>
      <c r="L170" s="568">
        <v>252252</v>
      </c>
    </row>
    <row r="171" spans="1:14" ht="15.75" customHeight="1" x14ac:dyDescent="0.2">
      <c r="A171" s="621" t="s">
        <v>790</v>
      </c>
      <c r="B171" s="672" t="s">
        <v>86</v>
      </c>
      <c r="C171" s="616"/>
      <c r="D171" s="616"/>
      <c r="E171" s="465">
        <v>800</v>
      </c>
      <c r="F171" s="616"/>
      <c r="G171" s="616"/>
      <c r="H171" s="568"/>
      <c r="I171" s="476"/>
      <c r="J171" s="616"/>
      <c r="K171" s="1692">
        <f>SUM(C171:J171)</f>
        <v>800</v>
      </c>
      <c r="L171" s="568">
        <v>800</v>
      </c>
    </row>
    <row r="172" spans="1:14" ht="12.75" customHeight="1" thickBot="1" x14ac:dyDescent="0.25">
      <c r="A172" s="1689" t="s">
        <v>659</v>
      </c>
      <c r="B172" s="1690" t="s">
        <v>513</v>
      </c>
      <c r="C172" s="616"/>
      <c r="D172" s="616"/>
      <c r="E172" s="1698">
        <f>SUM(E168,E169,E170,E171)</f>
        <v>800</v>
      </c>
      <c r="F172" s="616"/>
      <c r="G172" s="616"/>
      <c r="H172" s="1698">
        <f>SUM(H168,H169,H170,H171)</f>
        <v>700000</v>
      </c>
      <c r="I172" s="638"/>
      <c r="J172" s="616"/>
      <c r="K172" s="1698">
        <f>SUM(K168,K169,K170,K171)</f>
        <v>700800</v>
      </c>
      <c r="L172" s="1698">
        <f>SUM(L168,L169,L170,L171)</f>
        <v>700800</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800</v>
      </c>
      <c r="F174" s="616"/>
      <c r="G174" s="616"/>
      <c r="H174" s="1698">
        <f>SUM(H160,H172,H173)</f>
        <v>700000</v>
      </c>
      <c r="I174" s="638"/>
      <c r="J174" s="616"/>
      <c r="K174" s="1698">
        <f>SUM(K160,K172,K173)</f>
        <v>700800</v>
      </c>
      <c r="L174" s="1698">
        <f>SUM(L160,L172,L173)</f>
        <v>700800</v>
      </c>
    </row>
    <row r="175" spans="1:14" ht="13.5" thickTop="1" x14ac:dyDescent="0.2">
      <c r="A175" s="2172" t="s">
        <v>1053</v>
      </c>
      <c r="B175" s="2173"/>
      <c r="C175" s="616"/>
      <c r="D175" s="616"/>
      <c r="E175" s="616"/>
      <c r="F175" s="616"/>
      <c r="G175" s="616"/>
      <c r="H175" s="618"/>
      <c r="I175" s="616"/>
      <c r="J175" s="616"/>
      <c r="K175" s="1705">
        <f>'Revenues 9-14'!E275-'Expenditures 15-22'!K174</f>
        <v>-273152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c r="D182" s="465"/>
      <c r="E182" s="465">
        <v>317101</v>
      </c>
      <c r="F182" s="465"/>
      <c r="G182" s="465"/>
      <c r="H182" s="465"/>
      <c r="I182" s="466"/>
      <c r="J182" s="466"/>
      <c r="K182" s="1692">
        <f>SUM(C182:J182)</f>
        <v>317101</v>
      </c>
      <c r="L182" s="465">
        <v>350500</v>
      </c>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0</v>
      </c>
      <c r="D184" s="1698">
        <f t="shared" ref="D184:J184" si="17">SUM(D180,D182,D183)</f>
        <v>0</v>
      </c>
      <c r="E184" s="1698">
        <f t="shared" si="17"/>
        <v>317101</v>
      </c>
      <c r="F184" s="1698">
        <f t="shared" si="17"/>
        <v>0</v>
      </c>
      <c r="G184" s="1698">
        <f t="shared" si="17"/>
        <v>0</v>
      </c>
      <c r="H184" s="1698">
        <f t="shared" si="17"/>
        <v>0</v>
      </c>
      <c r="I184" s="1698">
        <f t="shared" si="17"/>
        <v>0</v>
      </c>
      <c r="J184" s="1698">
        <f t="shared" si="17"/>
        <v>0</v>
      </c>
      <c r="K184" s="1698">
        <f>SUM(K180,K182,K183)</f>
        <v>317101</v>
      </c>
      <c r="L184" s="1698">
        <f>SUM(L180, L182:L183)</f>
        <v>350500</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row>
    <row r="206" spans="1:14" ht="30" customHeight="1" x14ac:dyDescent="0.2">
      <c r="A206" s="681" t="s">
        <v>1770</v>
      </c>
      <c r="B206" s="672" t="s">
        <v>31</v>
      </c>
      <c r="C206" s="616"/>
      <c r="D206" s="616"/>
      <c r="E206" s="616"/>
      <c r="F206" s="616"/>
      <c r="G206" s="616"/>
      <c r="H206" s="465"/>
      <c r="I206" s="616"/>
      <c r="J206" s="616"/>
      <c r="K206" s="1692">
        <f>SUM(H206)</f>
        <v>0</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row>
    <row r="210" spans="1:14" ht="12.75" customHeight="1" thickTop="1" thickBot="1" x14ac:dyDescent="0.25">
      <c r="A210" s="1713" t="s">
        <v>295</v>
      </c>
      <c r="B210" s="1714"/>
      <c r="C210" s="1691">
        <f>SUM(C184,C185)</f>
        <v>0</v>
      </c>
      <c r="D210" s="1691">
        <f>SUM(D184,D185)</f>
        <v>0</v>
      </c>
      <c r="E210" s="1691">
        <f>SUM(E184,E185,E196)</f>
        <v>317101</v>
      </c>
      <c r="F210" s="1691">
        <f>SUM(F184,F185)</f>
        <v>0</v>
      </c>
      <c r="G210" s="1691">
        <f>SUM(G184,G185)</f>
        <v>0</v>
      </c>
      <c r="H210" s="1691">
        <f>SUM(H184,H185,H196,H208,H209)</f>
        <v>0</v>
      </c>
      <c r="I210" s="1691">
        <f>SUM(I184,I185)</f>
        <v>0</v>
      </c>
      <c r="J210" s="1691">
        <f>SUM(J184,J185)</f>
        <v>0</v>
      </c>
      <c r="K210" s="1692">
        <f>SUM(K184,K185,K196,K208,K209)</f>
        <v>317101</v>
      </c>
      <c r="L210" s="1691">
        <f>SUM(L184,L185,L196,L208,L209)</f>
        <v>350500</v>
      </c>
    </row>
    <row r="211" spans="1:14" ht="13.5" thickTop="1" x14ac:dyDescent="0.2">
      <c r="A211" s="2172" t="s">
        <v>1053</v>
      </c>
      <c r="B211" s="2173"/>
      <c r="C211" s="618"/>
      <c r="D211" s="618"/>
      <c r="E211" s="618"/>
      <c r="F211" s="618"/>
      <c r="G211" s="618"/>
      <c r="H211" s="618"/>
      <c r="I211" s="616"/>
      <c r="J211" s="616"/>
      <c r="K211" s="1705">
        <f>'Revenues 9-14'!F275-'Expenditures 15-22'!K210</f>
        <v>1174753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4" t="s">
        <v>1022</v>
      </c>
      <c r="B213" s="2195"/>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66564</v>
      </c>
      <c r="E215" s="616"/>
      <c r="F215" s="616"/>
      <c r="G215" s="616"/>
      <c r="H215" s="616"/>
      <c r="I215" s="616"/>
      <c r="J215" s="616"/>
      <c r="K215" s="1692">
        <f>D215</f>
        <v>66564</v>
      </c>
      <c r="L215" s="465">
        <v>70050</v>
      </c>
    </row>
    <row r="216" spans="1:14" x14ac:dyDescent="0.2">
      <c r="A216" s="1525" t="s">
        <v>165</v>
      </c>
      <c r="B216" s="614" t="s">
        <v>1024</v>
      </c>
      <c r="C216" s="616"/>
      <c r="D216" s="466"/>
      <c r="E216" s="616"/>
      <c r="F216" s="616"/>
      <c r="G216" s="616"/>
      <c r="H216" s="616"/>
      <c r="I216" s="616"/>
      <c r="J216" s="616"/>
      <c r="K216" s="1692">
        <f t="shared" ref="K216:K228" si="19">D216</f>
        <v>0</v>
      </c>
      <c r="L216" s="465"/>
    </row>
    <row r="217" spans="1:14" x14ac:dyDescent="0.2">
      <c r="A217" s="1525" t="s">
        <v>166</v>
      </c>
      <c r="B217" s="614">
        <v>1200</v>
      </c>
      <c r="C217" s="616"/>
      <c r="D217" s="465">
        <v>84895</v>
      </c>
      <c r="E217" s="616"/>
      <c r="F217" s="616"/>
      <c r="G217" s="616"/>
      <c r="H217" s="616"/>
      <c r="I217" s="616"/>
      <c r="J217" s="616"/>
      <c r="K217" s="1692">
        <f t="shared" si="19"/>
        <v>84895</v>
      </c>
      <c r="L217" s="465">
        <v>84222</v>
      </c>
    </row>
    <row r="218" spans="1:14" x14ac:dyDescent="0.2">
      <c r="A218" s="1525" t="s">
        <v>296</v>
      </c>
      <c r="B218" s="614" t="s">
        <v>1025</v>
      </c>
      <c r="C218" s="616"/>
      <c r="D218" s="466"/>
      <c r="E218" s="616"/>
      <c r="F218" s="616"/>
      <c r="G218" s="616"/>
      <c r="H218" s="616"/>
      <c r="I218" s="616"/>
      <c r="J218" s="616"/>
      <c r="K218" s="1692">
        <f t="shared" si="19"/>
        <v>0</v>
      </c>
      <c r="L218" s="465"/>
    </row>
    <row r="219" spans="1:14" x14ac:dyDescent="0.2">
      <c r="A219" s="1525" t="s">
        <v>297</v>
      </c>
      <c r="B219" s="614">
        <v>1250</v>
      </c>
      <c r="C219" s="616"/>
      <c r="D219" s="465"/>
      <c r="E219" s="616"/>
      <c r="F219" s="616"/>
      <c r="G219" s="616"/>
      <c r="H219" s="616"/>
      <c r="I219" s="616"/>
      <c r="J219" s="616"/>
      <c r="K219" s="1692">
        <f t="shared" si="19"/>
        <v>0</v>
      </c>
      <c r="L219" s="465"/>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c r="E223" s="616"/>
      <c r="F223" s="616"/>
      <c r="G223" s="616"/>
      <c r="H223" s="616"/>
      <c r="I223" s="616"/>
      <c r="J223" s="616"/>
      <c r="K223" s="1692">
        <f t="shared" si="19"/>
        <v>0</v>
      </c>
      <c r="L223" s="465"/>
    </row>
    <row r="224" spans="1:14" x14ac:dyDescent="0.2">
      <c r="A224" s="1525" t="s">
        <v>1021</v>
      </c>
      <c r="B224" s="614">
        <v>1600</v>
      </c>
      <c r="C224" s="616"/>
      <c r="D224" s="465">
        <v>11</v>
      </c>
      <c r="E224" s="616"/>
      <c r="F224" s="616"/>
      <c r="G224" s="616"/>
      <c r="H224" s="616"/>
      <c r="I224" s="616"/>
      <c r="J224" s="616"/>
      <c r="K224" s="1692">
        <f t="shared" si="19"/>
        <v>11</v>
      </c>
      <c r="L224" s="465">
        <v>61</v>
      </c>
    </row>
    <row r="225" spans="1:12" x14ac:dyDescent="0.2">
      <c r="A225" s="1525" t="s">
        <v>1044</v>
      </c>
      <c r="B225" s="614">
        <v>1650</v>
      </c>
      <c r="C225" s="616"/>
      <c r="D225" s="465"/>
      <c r="E225" s="616"/>
      <c r="F225" s="616"/>
      <c r="G225" s="616"/>
      <c r="H225" s="616"/>
      <c r="I225" s="616"/>
      <c r="J225" s="616"/>
      <c r="K225" s="1692">
        <f t="shared" si="19"/>
        <v>0</v>
      </c>
      <c r="L225" s="465"/>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c r="E227" s="616"/>
      <c r="F227" s="616"/>
      <c r="G227" s="616"/>
      <c r="H227" s="616"/>
      <c r="I227" s="616"/>
      <c r="J227" s="616"/>
      <c r="K227" s="1692">
        <f t="shared" si="19"/>
        <v>0</v>
      </c>
      <c r="L227" s="465"/>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151470</v>
      </c>
      <c r="E229" s="616"/>
      <c r="F229" s="616"/>
      <c r="G229" s="616"/>
      <c r="H229" s="616"/>
      <c r="I229" s="616"/>
      <c r="J229" s="616"/>
      <c r="K229" s="1691">
        <f>SUM(K215:K228)</f>
        <v>151470</v>
      </c>
      <c r="L229" s="1691">
        <f>SUM(L215:L228)</f>
        <v>154333</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2323</v>
      </c>
      <c r="E232" s="616"/>
      <c r="F232" s="616"/>
      <c r="G232" s="616"/>
      <c r="H232" s="616"/>
      <c r="I232" s="616"/>
      <c r="J232" s="616"/>
      <c r="K232" s="1692">
        <f t="shared" ref="K232:K237" si="20">D232</f>
        <v>2323</v>
      </c>
      <c r="L232" s="465">
        <v>2465</v>
      </c>
    </row>
    <row r="233" spans="1:12" x14ac:dyDescent="0.2">
      <c r="A233" s="1525" t="s">
        <v>1151</v>
      </c>
      <c r="B233" s="614">
        <v>2120</v>
      </c>
      <c r="C233" s="616"/>
      <c r="D233" s="465"/>
      <c r="E233" s="616"/>
      <c r="F233" s="616"/>
      <c r="G233" s="616"/>
      <c r="H233" s="616"/>
      <c r="I233" s="616"/>
      <c r="J233" s="616"/>
      <c r="K233" s="1692">
        <f t="shared" si="20"/>
        <v>0</v>
      </c>
      <c r="L233" s="465"/>
    </row>
    <row r="234" spans="1:12" x14ac:dyDescent="0.2">
      <c r="A234" s="1525" t="s">
        <v>207</v>
      </c>
      <c r="B234" s="614">
        <v>2130</v>
      </c>
      <c r="C234" s="616"/>
      <c r="D234" s="465">
        <v>16908</v>
      </c>
      <c r="E234" s="616"/>
      <c r="F234" s="616"/>
      <c r="G234" s="616"/>
      <c r="H234" s="616"/>
      <c r="I234" s="616"/>
      <c r="J234" s="616"/>
      <c r="K234" s="1692">
        <f t="shared" si="20"/>
        <v>16908</v>
      </c>
      <c r="L234" s="465">
        <v>26575</v>
      </c>
    </row>
    <row r="235" spans="1:12" x14ac:dyDescent="0.2">
      <c r="A235" s="1525" t="s">
        <v>208</v>
      </c>
      <c r="B235" s="614">
        <v>2140</v>
      </c>
      <c r="C235" s="616"/>
      <c r="D235" s="465"/>
      <c r="E235" s="616"/>
      <c r="F235" s="616"/>
      <c r="G235" s="616"/>
      <c r="H235" s="616"/>
      <c r="I235" s="616"/>
      <c r="J235" s="616"/>
      <c r="K235" s="1692">
        <f t="shared" si="20"/>
        <v>0</v>
      </c>
      <c r="L235" s="465"/>
    </row>
    <row r="236" spans="1:12" x14ac:dyDescent="0.2">
      <c r="A236" s="1525" t="s">
        <v>209</v>
      </c>
      <c r="B236" s="614">
        <v>2150</v>
      </c>
      <c r="C236" s="616"/>
      <c r="D236" s="465">
        <v>975</v>
      </c>
      <c r="E236" s="616"/>
      <c r="F236" s="616"/>
      <c r="G236" s="616"/>
      <c r="H236" s="616"/>
      <c r="I236" s="616"/>
      <c r="J236" s="616"/>
      <c r="K236" s="1692">
        <f t="shared" si="20"/>
        <v>975</v>
      </c>
      <c r="L236" s="465">
        <v>973</v>
      </c>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581</v>
      </c>
      <c r="B238" s="1696" t="s">
        <v>740</v>
      </c>
      <c r="C238" s="616"/>
      <c r="D238" s="1691">
        <f>SUM(D232:D237)</f>
        <v>20206</v>
      </c>
      <c r="E238" s="616"/>
      <c r="F238" s="616"/>
      <c r="G238" s="616"/>
      <c r="H238" s="616"/>
      <c r="I238" s="616"/>
      <c r="J238" s="616"/>
      <c r="K238" s="1691">
        <f>SUM(K232:K237)</f>
        <v>20206</v>
      </c>
      <c r="L238" s="1691">
        <f>SUM(L232:L237)</f>
        <v>30013</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v>499</v>
      </c>
      <c r="E240" s="616"/>
      <c r="F240" s="616"/>
      <c r="G240" s="616"/>
      <c r="H240" s="616"/>
      <c r="I240" s="616"/>
      <c r="J240" s="616"/>
      <c r="K240" s="1693">
        <f>D240</f>
        <v>499</v>
      </c>
      <c r="L240" s="480">
        <v>725</v>
      </c>
    </row>
    <row r="241" spans="1:12" x14ac:dyDescent="0.2">
      <c r="A241" s="1525" t="s">
        <v>869</v>
      </c>
      <c r="B241" s="614">
        <v>2220</v>
      </c>
      <c r="C241" s="616"/>
      <c r="D241" s="465">
        <v>1452</v>
      </c>
      <c r="E241" s="616"/>
      <c r="F241" s="616"/>
      <c r="G241" s="616"/>
      <c r="H241" s="616"/>
      <c r="I241" s="616"/>
      <c r="J241" s="616"/>
      <c r="K241" s="1693">
        <f>D241</f>
        <v>1452</v>
      </c>
      <c r="L241" s="465">
        <v>2229</v>
      </c>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1951</v>
      </c>
      <c r="E243" s="616"/>
      <c r="F243" s="616"/>
      <c r="G243" s="616"/>
      <c r="H243" s="616"/>
      <c r="I243" s="616"/>
      <c r="J243" s="616"/>
      <c r="K243" s="1691">
        <f>SUM(K240:K242)</f>
        <v>1951</v>
      </c>
      <c r="L243" s="1691">
        <f>SUM(L240:L242)</f>
        <v>2954</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v>1107</v>
      </c>
      <c r="E245" s="616"/>
      <c r="F245" s="616"/>
      <c r="G245" s="616"/>
      <c r="H245" s="616"/>
      <c r="I245" s="616"/>
      <c r="J245" s="616"/>
      <c r="K245" s="1693">
        <f>D245</f>
        <v>1107</v>
      </c>
      <c r="L245" s="480">
        <v>1377</v>
      </c>
    </row>
    <row r="246" spans="1:12" x14ac:dyDescent="0.2">
      <c r="A246" s="1525" t="s">
        <v>872</v>
      </c>
      <c r="B246" s="614">
        <v>2320</v>
      </c>
      <c r="C246" s="616"/>
      <c r="D246" s="465">
        <v>5553</v>
      </c>
      <c r="E246" s="616"/>
      <c r="F246" s="616"/>
      <c r="G246" s="616"/>
      <c r="H246" s="616"/>
      <c r="I246" s="616"/>
      <c r="J246" s="616"/>
      <c r="K246" s="1693">
        <f t="shared" ref="K246:K256" si="21">D246</f>
        <v>5553</v>
      </c>
      <c r="L246" s="465">
        <v>5408</v>
      </c>
    </row>
    <row r="247" spans="1:12" x14ac:dyDescent="0.2">
      <c r="A247" s="1525" t="s">
        <v>873</v>
      </c>
      <c r="B247" s="614">
        <v>2330</v>
      </c>
      <c r="C247" s="616"/>
      <c r="D247" s="465">
        <v>9334</v>
      </c>
      <c r="E247" s="616"/>
      <c r="F247" s="616"/>
      <c r="G247" s="616"/>
      <c r="H247" s="616"/>
      <c r="I247" s="616"/>
      <c r="J247" s="616"/>
      <c r="K247" s="1693">
        <f t="shared" si="21"/>
        <v>9334</v>
      </c>
      <c r="L247" s="465">
        <v>9274</v>
      </c>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1908</v>
      </c>
      <c r="B249" s="683" t="s">
        <v>300</v>
      </c>
      <c r="C249" s="616"/>
      <c r="D249" s="473"/>
      <c r="E249" s="616"/>
      <c r="F249" s="616"/>
      <c r="G249" s="616"/>
      <c r="H249" s="616"/>
      <c r="I249" s="616"/>
      <c r="J249" s="616"/>
      <c r="K249" s="1693">
        <f t="shared" si="21"/>
        <v>0</v>
      </c>
      <c r="L249" s="465"/>
    </row>
    <row r="250" spans="1:12" x14ac:dyDescent="0.2">
      <c r="A250" s="1526" t="s">
        <v>1909</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c r="E254" s="616"/>
      <c r="F254" s="616"/>
      <c r="G254" s="616"/>
      <c r="H254" s="616"/>
      <c r="I254" s="616"/>
      <c r="J254" s="616"/>
      <c r="K254" s="1693">
        <f t="shared" si="21"/>
        <v>0</v>
      </c>
      <c r="L254" s="465"/>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15994</v>
      </c>
      <c r="E257" s="616"/>
      <c r="F257" s="616"/>
      <c r="G257" s="616"/>
      <c r="H257" s="616"/>
      <c r="I257" s="616"/>
      <c r="J257" s="616"/>
      <c r="K257" s="1691">
        <f>SUM(K245:K256)</f>
        <v>15994</v>
      </c>
      <c r="L257" s="1691">
        <f>SUM(L245:L256)</f>
        <v>16059</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33341</v>
      </c>
      <c r="E259" s="616"/>
      <c r="F259" s="616"/>
      <c r="G259" s="616"/>
      <c r="H259" s="616"/>
      <c r="I259" s="616"/>
      <c r="J259" s="616"/>
      <c r="K259" s="1693">
        <f>D259</f>
        <v>33341</v>
      </c>
      <c r="L259" s="480">
        <v>36635</v>
      </c>
    </row>
    <row r="260" spans="1:14" s="597" customFormat="1" x14ac:dyDescent="0.2">
      <c r="A260" s="1543" t="s">
        <v>1907</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33341</v>
      </c>
      <c r="E261" s="616"/>
      <c r="F261" s="616"/>
      <c r="G261" s="616"/>
      <c r="H261" s="616"/>
      <c r="I261" s="616"/>
      <c r="J261" s="616"/>
      <c r="K261" s="1691">
        <f>SUM(K259:K260)</f>
        <v>33341</v>
      </c>
      <c r="L261" s="1691">
        <f>SUM(L259:L260)</f>
        <v>36635</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v>1706</v>
      </c>
      <c r="E263" s="616"/>
      <c r="F263" s="616"/>
      <c r="G263" s="616"/>
      <c r="H263" s="616"/>
      <c r="I263" s="616"/>
      <c r="J263" s="616"/>
      <c r="K263" s="1693">
        <f>D263</f>
        <v>1706</v>
      </c>
      <c r="L263" s="480">
        <v>1783</v>
      </c>
    </row>
    <row r="264" spans="1:14" x14ac:dyDescent="0.2">
      <c r="A264" s="1525" t="s">
        <v>483</v>
      </c>
      <c r="B264" s="685">
        <v>2520</v>
      </c>
      <c r="C264" s="616"/>
      <c r="D264" s="465">
        <v>38047</v>
      </c>
      <c r="E264" s="616"/>
      <c r="F264" s="616"/>
      <c r="G264" s="616"/>
      <c r="H264" s="616"/>
      <c r="I264" s="616"/>
      <c r="J264" s="616"/>
      <c r="K264" s="1693">
        <f t="shared" ref="K264:K269" si="22">D264</f>
        <v>38047</v>
      </c>
      <c r="L264" s="465">
        <v>41460</v>
      </c>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v>84125</v>
      </c>
      <c r="E266" s="616"/>
      <c r="F266" s="616"/>
      <c r="G266" s="616"/>
      <c r="H266" s="616"/>
      <c r="I266" s="616"/>
      <c r="J266" s="616"/>
      <c r="K266" s="1693">
        <f t="shared" si="22"/>
        <v>84125</v>
      </c>
      <c r="L266" s="465">
        <v>91781</v>
      </c>
    </row>
    <row r="267" spans="1:14" x14ac:dyDescent="0.2">
      <c r="A267" s="1525" t="s">
        <v>1010</v>
      </c>
      <c r="B267" s="614">
        <v>2550</v>
      </c>
      <c r="C267" s="616"/>
      <c r="D267" s="465"/>
      <c r="E267" s="616"/>
      <c r="F267" s="616"/>
      <c r="G267" s="616"/>
      <c r="H267" s="616"/>
      <c r="I267" s="616"/>
      <c r="J267" s="616"/>
      <c r="K267" s="1693">
        <f t="shared" si="22"/>
        <v>0</v>
      </c>
      <c r="L267" s="465"/>
    </row>
    <row r="268" spans="1:14" x14ac:dyDescent="0.2">
      <c r="A268" s="1525" t="s">
        <v>102</v>
      </c>
      <c r="B268" s="614">
        <v>2560</v>
      </c>
      <c r="C268" s="616"/>
      <c r="D268" s="465">
        <v>4270</v>
      </c>
      <c r="E268" s="616"/>
      <c r="F268" s="616"/>
      <c r="G268" s="616"/>
      <c r="H268" s="616"/>
      <c r="I268" s="616"/>
      <c r="J268" s="616"/>
      <c r="K268" s="1693">
        <f t="shared" si="22"/>
        <v>4270</v>
      </c>
      <c r="L268" s="465">
        <v>4520</v>
      </c>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128148</v>
      </c>
      <c r="E270" s="616"/>
      <c r="F270" s="616"/>
      <c r="G270" s="616"/>
      <c r="H270" s="616"/>
      <c r="I270" s="616"/>
      <c r="J270" s="616"/>
      <c r="K270" s="1691">
        <f>SUM(K263:K269)</f>
        <v>128148</v>
      </c>
      <c r="L270" s="1691">
        <f>SUM(L263:L269)</f>
        <v>139544</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v>22402</v>
      </c>
      <c r="E276" s="616"/>
      <c r="F276" s="616"/>
      <c r="G276" s="616"/>
      <c r="H276" s="616"/>
      <c r="I276" s="616"/>
      <c r="J276" s="616"/>
      <c r="K276" s="1693">
        <f>D276</f>
        <v>22402</v>
      </c>
      <c r="L276" s="465">
        <v>21822</v>
      </c>
    </row>
    <row r="277" spans="1:12" ht="12.75" customHeight="1" thickBot="1" x14ac:dyDescent="0.25">
      <c r="A277" s="1712" t="s">
        <v>37</v>
      </c>
      <c r="B277" s="1690" t="s">
        <v>36</v>
      </c>
      <c r="C277" s="616"/>
      <c r="D277" s="1691">
        <f>SUM(D272:D276)</f>
        <v>22402</v>
      </c>
      <c r="E277" s="616"/>
      <c r="F277" s="616"/>
      <c r="G277" s="616"/>
      <c r="H277" s="616"/>
      <c r="I277" s="616"/>
      <c r="J277" s="616"/>
      <c r="K277" s="1691">
        <f>SUM(K272:K276)</f>
        <v>22402</v>
      </c>
      <c r="L277" s="1691">
        <f>SUM(L272:L276)</f>
        <v>21822</v>
      </c>
    </row>
    <row r="278" spans="1:12" ht="13.5" customHeight="1" thickTop="1" x14ac:dyDescent="0.2">
      <c r="A278" s="1531" t="s">
        <v>1037</v>
      </c>
      <c r="B278" s="655" t="s">
        <v>595</v>
      </c>
      <c r="C278" s="616"/>
      <c r="D278" s="656"/>
      <c r="E278" s="616"/>
      <c r="F278" s="616"/>
      <c r="G278" s="616"/>
      <c r="H278" s="616"/>
      <c r="I278" s="616"/>
      <c r="J278" s="616"/>
      <c r="K278" s="1706">
        <f>D278</f>
        <v>0</v>
      </c>
      <c r="L278" s="656"/>
    </row>
    <row r="279" spans="1:12" ht="12.75" customHeight="1" thickBot="1" x14ac:dyDescent="0.25">
      <c r="A279" s="1719" t="s">
        <v>865</v>
      </c>
      <c r="B279" s="1702">
        <v>2000</v>
      </c>
      <c r="C279" s="616"/>
      <c r="D279" s="1698">
        <f>SUM(D238,D243,D257,D261,D270,D277,D278)</f>
        <v>222042</v>
      </c>
      <c r="E279" s="616"/>
      <c r="F279" s="616"/>
      <c r="G279" s="616"/>
      <c r="H279" s="616"/>
      <c r="I279" s="616"/>
      <c r="J279" s="616"/>
      <c r="K279" s="1698">
        <f>SUM(K238,K243,K257,K261,K270,K277,K278)</f>
        <v>222042</v>
      </c>
      <c r="L279" s="1698">
        <f>SUM(L238,L243,L257,L261,L270,L277,L278)</f>
        <v>247027</v>
      </c>
    </row>
    <row r="280" spans="1:12" ht="15.75" customHeight="1" thickTop="1" thickBot="1" x14ac:dyDescent="0.25">
      <c r="A280" s="1645" t="s">
        <v>930</v>
      </c>
      <c r="B280" s="1634">
        <v>3000</v>
      </c>
      <c r="C280" s="616"/>
      <c r="D280" s="575">
        <v>218</v>
      </c>
      <c r="E280" s="616"/>
      <c r="F280" s="616"/>
      <c r="G280" s="616"/>
      <c r="H280" s="616"/>
      <c r="I280" s="616"/>
      <c r="J280" s="616"/>
      <c r="K280" s="1700">
        <f>D280</f>
        <v>218</v>
      </c>
      <c r="L280" s="575">
        <v>264</v>
      </c>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1957</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190" t="s">
        <v>526</v>
      </c>
      <c r="B295" s="2191"/>
      <c r="C295" s="616"/>
      <c r="D295" s="1691">
        <f>SUM(D229,D279,D280,D285)</f>
        <v>373730</v>
      </c>
      <c r="E295" s="616"/>
      <c r="F295" s="616"/>
      <c r="G295" s="616"/>
      <c r="H295" s="1691">
        <f>H293</f>
        <v>0</v>
      </c>
      <c r="I295" s="616"/>
      <c r="J295" s="616"/>
      <c r="K295" s="1691">
        <f>SUM(K229,K279,K280,K285,K293,K294)</f>
        <v>373730</v>
      </c>
      <c r="L295" s="1691">
        <f>SUM(L229,L279,L280,L285,L293,L294)</f>
        <v>401624</v>
      </c>
    </row>
    <row r="296" spans="1:14" ht="13.5" thickTop="1" x14ac:dyDescent="0.2">
      <c r="A296" s="2172" t="s">
        <v>1053</v>
      </c>
      <c r="B296" s="2173"/>
      <c r="C296" s="616"/>
      <c r="D296" s="618"/>
      <c r="E296" s="616"/>
      <c r="F296" s="616"/>
      <c r="G296" s="616"/>
      <c r="H296" s="687"/>
      <c r="I296" s="616"/>
      <c r="J296" s="616"/>
      <c r="K296" s="1705">
        <f>'Revenues 9-14'!G275-'Expenditures 15-22'!K295</f>
        <v>-95381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145</v>
      </c>
      <c r="B298" s="2176"/>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c r="H301" s="465"/>
      <c r="I301" s="466"/>
      <c r="J301" s="466"/>
      <c r="K301" s="1692">
        <f>SUM(C301:J301)</f>
        <v>0</v>
      </c>
      <c r="L301" s="466"/>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1962</v>
      </c>
      <c r="B306" s="690" t="s">
        <v>1957</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87" t="s">
        <v>295</v>
      </c>
      <c r="B312" s="2188"/>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3" t="s">
        <v>1053</v>
      </c>
      <c r="B313" s="2184"/>
      <c r="C313" s="626"/>
      <c r="D313" s="626"/>
      <c r="E313" s="626"/>
      <c r="F313" s="626"/>
      <c r="G313" s="626"/>
      <c r="H313" s="626"/>
      <c r="I313" s="626"/>
      <c r="J313" s="626"/>
      <c r="K313" s="1706">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151</v>
      </c>
      <c r="B315" s="2197"/>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954</v>
      </c>
      <c r="B317" s="2197"/>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1908</v>
      </c>
      <c r="B320" s="698" t="s">
        <v>300</v>
      </c>
      <c r="C320" s="466"/>
      <c r="D320" s="466"/>
      <c r="E320" s="466">
        <v>51324</v>
      </c>
      <c r="F320" s="466"/>
      <c r="G320" s="466"/>
      <c r="H320" s="466"/>
      <c r="I320" s="466"/>
      <c r="J320" s="466"/>
      <c r="K320" s="1692">
        <f t="shared" ref="K320:K327" si="24">SUM(C320:J320)</f>
        <v>51324</v>
      </c>
      <c r="L320" s="466">
        <v>51324</v>
      </c>
      <c r="M320" s="665"/>
      <c r="N320" s="665"/>
    </row>
    <row r="321" spans="1:14" s="674" customFormat="1" x14ac:dyDescent="0.2">
      <c r="A321" s="1540" t="s">
        <v>318</v>
      </c>
      <c r="B321" s="697" t="s">
        <v>301</v>
      </c>
      <c r="C321" s="466"/>
      <c r="D321" s="466"/>
      <c r="E321" s="466">
        <v>715</v>
      </c>
      <c r="F321" s="466"/>
      <c r="G321" s="466"/>
      <c r="H321" s="466"/>
      <c r="I321" s="466"/>
      <c r="J321" s="466"/>
      <c r="K321" s="1692">
        <f t="shared" si="24"/>
        <v>715</v>
      </c>
      <c r="L321" s="466">
        <v>1000</v>
      </c>
      <c r="M321" s="665"/>
      <c r="N321" s="665"/>
    </row>
    <row r="322" spans="1:14" s="674" customFormat="1" x14ac:dyDescent="0.2">
      <c r="A322" s="1540" t="s">
        <v>256</v>
      </c>
      <c r="B322" s="697" t="s">
        <v>302</v>
      </c>
      <c r="C322" s="466"/>
      <c r="D322" s="466"/>
      <c r="E322" s="466">
        <v>52681</v>
      </c>
      <c r="F322" s="466"/>
      <c r="G322" s="466"/>
      <c r="H322" s="466"/>
      <c r="I322" s="466"/>
      <c r="J322" s="466"/>
      <c r="K322" s="1692">
        <f t="shared" si="24"/>
        <v>52681</v>
      </c>
      <c r="L322" s="466">
        <v>52681</v>
      </c>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c r="D325" s="466"/>
      <c r="E325" s="466">
        <v>6248</v>
      </c>
      <c r="F325" s="466"/>
      <c r="G325" s="466">
        <v>67043</v>
      </c>
      <c r="H325" s="466"/>
      <c r="I325" s="466"/>
      <c r="J325" s="466"/>
      <c r="K325" s="1692">
        <f t="shared" si="24"/>
        <v>73291</v>
      </c>
      <c r="L325" s="466">
        <v>76681</v>
      </c>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c r="F328" s="473"/>
      <c r="G328" s="473"/>
      <c r="H328" s="473"/>
      <c r="I328" s="473"/>
      <c r="J328" s="473"/>
      <c r="K328" s="1720">
        <f>SUM(C328:J328)</f>
        <v>0</v>
      </c>
      <c r="L328" s="473"/>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110968</v>
      </c>
      <c r="F330" s="1691">
        <f t="shared" si="25"/>
        <v>0</v>
      </c>
      <c r="G330" s="1691">
        <f t="shared" si="25"/>
        <v>67043</v>
      </c>
      <c r="H330" s="1691">
        <f t="shared" si="25"/>
        <v>0</v>
      </c>
      <c r="I330" s="1691">
        <f t="shared" si="25"/>
        <v>0</v>
      </c>
      <c r="J330" s="1691">
        <f t="shared" si="25"/>
        <v>0</v>
      </c>
      <c r="K330" s="1691">
        <f>SUM(K319:K329)</f>
        <v>178011</v>
      </c>
      <c r="L330" s="1691">
        <f>SUM(L319:L329)</f>
        <v>181686</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1959</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0</v>
      </c>
      <c r="D342" s="1691">
        <f>SUM(D330)</f>
        <v>0</v>
      </c>
      <c r="E342" s="1691">
        <f>SUM(E330)</f>
        <v>110968</v>
      </c>
      <c r="F342" s="1691">
        <f>SUM(F330)</f>
        <v>0</v>
      </c>
      <c r="G342" s="1691">
        <f>SUM(G330)</f>
        <v>67043</v>
      </c>
      <c r="H342" s="1691">
        <f>SUM(H330,H334,H340)</f>
        <v>0</v>
      </c>
      <c r="I342" s="1691">
        <f>SUM(I330)</f>
        <v>0</v>
      </c>
      <c r="J342" s="1691">
        <f>SUM(J330)</f>
        <v>0</v>
      </c>
      <c r="K342" s="1691">
        <f>SUM(K330,K334,K340)</f>
        <v>178011</v>
      </c>
      <c r="L342" s="1698">
        <f>SUM(L330,L340,L341)</f>
        <v>181686</v>
      </c>
    </row>
    <row r="343" spans="1:14" ht="12.75" customHeight="1" thickTop="1" x14ac:dyDescent="0.2">
      <c r="A343" s="2185" t="s">
        <v>1053</v>
      </c>
      <c r="B343" s="2186"/>
      <c r="C343" s="616"/>
      <c r="D343" s="616"/>
      <c r="E343" s="616"/>
      <c r="F343" s="616"/>
      <c r="G343" s="616"/>
      <c r="H343" s="616"/>
      <c r="I343" s="616"/>
      <c r="J343" s="616"/>
      <c r="K343" s="1705">
        <f>'Revenues 9-14'!J275-'Expenditures 15-22'!K342</f>
        <v>14402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1023</v>
      </c>
      <c r="B345" s="2176"/>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v>12693</v>
      </c>
      <c r="H348" s="465"/>
      <c r="I348" s="466"/>
      <c r="J348" s="466"/>
      <c r="K348" s="1692">
        <f>SUM(C348:J348)</f>
        <v>12693</v>
      </c>
      <c r="L348" s="465">
        <v>15000</v>
      </c>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12693</v>
      </c>
      <c r="H350" s="1691">
        <f t="shared" si="26"/>
        <v>0</v>
      </c>
      <c r="I350" s="1691">
        <f t="shared" si="26"/>
        <v>0</v>
      </c>
      <c r="J350" s="1691">
        <f t="shared" si="26"/>
        <v>0</v>
      </c>
      <c r="K350" s="1691">
        <f t="shared" si="26"/>
        <v>12693</v>
      </c>
      <c r="L350" s="1691">
        <f t="shared" si="26"/>
        <v>15000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12693</v>
      </c>
      <c r="H352" s="1691">
        <f t="shared" si="27"/>
        <v>0</v>
      </c>
      <c r="I352" s="1691">
        <f t="shared" si="27"/>
        <v>0</v>
      </c>
      <c r="J352" s="1691">
        <f t="shared" si="27"/>
        <v>0</v>
      </c>
      <c r="K352" s="1691">
        <f t="shared" si="27"/>
        <v>12693</v>
      </c>
      <c r="L352" s="1691">
        <f t="shared" si="27"/>
        <v>15000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1965</v>
      </c>
      <c r="B354" s="683" t="s">
        <v>1957</v>
      </c>
      <c r="C354" s="616"/>
      <c r="D354" s="616"/>
      <c r="E354" s="616"/>
      <c r="F354" s="616"/>
      <c r="G354" s="616"/>
      <c r="H354" s="473"/>
      <c r="I354" s="701"/>
      <c r="J354" s="616"/>
      <c r="K354" s="1720">
        <f>H354</f>
        <v>0</v>
      </c>
      <c r="L354" s="470"/>
    </row>
    <row r="355" spans="1:14" ht="12.75" customHeight="1" x14ac:dyDescent="0.2">
      <c r="A355" s="1534" t="s">
        <v>1966</v>
      </c>
      <c r="B355" s="690" t="s">
        <v>1959</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12693</v>
      </c>
      <c r="H367" s="1691">
        <f t="shared" si="28"/>
        <v>0</v>
      </c>
      <c r="I367" s="1691">
        <f t="shared" si="28"/>
        <v>0</v>
      </c>
      <c r="J367" s="1691">
        <f t="shared" si="28"/>
        <v>0</v>
      </c>
      <c r="K367" s="1691">
        <f t="shared" si="28"/>
        <v>12693</v>
      </c>
      <c r="L367" s="1691">
        <f t="shared" si="28"/>
        <v>15000</v>
      </c>
    </row>
    <row r="368" spans="1:14" ht="13.5" thickTop="1" x14ac:dyDescent="0.2">
      <c r="A368" s="2172" t="s">
        <v>1053</v>
      </c>
      <c r="B368" s="2173"/>
      <c r="C368" s="654"/>
      <c r="D368" s="654"/>
      <c r="E368" s="626"/>
      <c r="F368" s="626"/>
      <c r="G368" s="626"/>
      <c r="H368" s="626"/>
      <c r="I368" s="626"/>
      <c r="J368" s="623"/>
      <c r="K368" s="1692">
        <f>'Revenues 9-14'!K275-'Expenditures 15-22'!K367</f>
        <v>141235</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16" sqref="F16"/>
    </sheetView>
  </sheetViews>
  <sheetFormatPr defaultColWidth="9.140625" defaultRowHeight="12.75" x14ac:dyDescent="0.2"/>
  <cols>
    <col min="1" max="1" width="41.42578125" style="251" customWidth="1"/>
    <col min="2" max="3" width="17.5703125" style="712" customWidth="1"/>
    <col min="4" max="5" width="17.5703125" style="713" customWidth="1"/>
    <col min="6" max="6" width="17.5703125" style="328" customWidth="1"/>
    <col min="7" max="7" width="4.42578125" style="328" customWidth="1"/>
    <col min="8" max="8" width="33.42578125" style="328" customWidth="1"/>
    <col min="9" max="16384" width="9.140625" style="328"/>
  </cols>
  <sheetData>
    <row r="1" spans="1:6" ht="33.75" customHeight="1" x14ac:dyDescent="0.2">
      <c r="A1" s="1906" t="s">
        <v>106</v>
      </c>
    </row>
    <row r="2" spans="1:6" ht="39.75" customHeight="1" x14ac:dyDescent="0.2">
      <c r="A2" s="2199" t="s">
        <v>1905</v>
      </c>
      <c r="B2" s="1549" t="s">
        <v>2037</v>
      </c>
      <c r="C2" s="714" t="s">
        <v>1910</v>
      </c>
      <c r="D2" s="714" t="s">
        <v>1911</v>
      </c>
      <c r="E2" s="714" t="s">
        <v>1912</v>
      </c>
      <c r="F2" s="714" t="s">
        <v>1913</v>
      </c>
    </row>
    <row r="3" spans="1:6" ht="12" customHeight="1" x14ac:dyDescent="0.2">
      <c r="A3" s="2200"/>
      <c r="B3" s="1546"/>
      <c r="C3" s="1547"/>
      <c r="D3" s="1548" t="s">
        <v>274</v>
      </c>
      <c r="E3" s="1547"/>
      <c r="F3" s="1548" t="s">
        <v>275</v>
      </c>
    </row>
    <row r="4" spans="1:6" ht="13.7" customHeight="1" x14ac:dyDescent="0.2">
      <c r="A4" s="715" t="s">
        <v>1217</v>
      </c>
      <c r="B4" s="1770">
        <f>'Revenues 9-14'!C5</f>
        <v>6088416</v>
      </c>
      <c r="C4" s="1545">
        <v>3710930</v>
      </c>
      <c r="D4" s="1773">
        <f>B4-C4</f>
        <v>2377486</v>
      </c>
      <c r="E4" s="1545">
        <v>7323151</v>
      </c>
      <c r="F4" s="1773">
        <f>E4-C4</f>
        <v>3612221</v>
      </c>
    </row>
    <row r="5" spans="1:6" ht="13.7" customHeight="1" x14ac:dyDescent="0.2">
      <c r="A5" s="715" t="s">
        <v>925</v>
      </c>
      <c r="B5" s="1771">
        <f>'Revenues 9-14'!D5</f>
        <v>794720</v>
      </c>
      <c r="C5" s="584">
        <v>421263</v>
      </c>
      <c r="D5" s="1774">
        <f t="shared" ref="D5:D18" si="0">B5-C5</f>
        <v>373457</v>
      </c>
      <c r="E5" s="584">
        <v>831391</v>
      </c>
      <c r="F5" s="1774">
        <f>E5-C5</f>
        <v>410128</v>
      </c>
    </row>
    <row r="6" spans="1:6" ht="13.7" customHeight="1" x14ac:dyDescent="0.2">
      <c r="A6" s="715" t="s">
        <v>431</v>
      </c>
      <c r="B6" s="1771">
        <f>'Revenues 9-14'!E5</f>
        <v>425099</v>
      </c>
      <c r="C6" s="584">
        <v>372575</v>
      </c>
      <c r="D6" s="1774">
        <f t="shared" si="0"/>
        <v>52524</v>
      </c>
      <c r="E6" s="584">
        <v>735000</v>
      </c>
      <c r="F6" s="1774">
        <f t="shared" ref="F6:F18" si="1">E6-C6</f>
        <v>362425</v>
      </c>
    </row>
    <row r="7" spans="1:6" ht="13.7" customHeight="1" x14ac:dyDescent="0.2">
      <c r="A7" s="715" t="s">
        <v>157</v>
      </c>
      <c r="B7" s="1771">
        <f>'Revenues 9-14'!F5</f>
        <v>1230184</v>
      </c>
      <c r="C7" s="584">
        <v>169881</v>
      </c>
      <c r="D7" s="1774">
        <f t="shared" si="0"/>
        <v>1060303</v>
      </c>
      <c r="E7" s="584">
        <v>334750</v>
      </c>
      <c r="F7" s="1774">
        <f t="shared" si="1"/>
        <v>164869</v>
      </c>
    </row>
    <row r="8" spans="1:6" ht="13.7" customHeight="1" x14ac:dyDescent="0.2">
      <c r="A8" s="715" t="s">
        <v>1241</v>
      </c>
      <c r="B8" s="1771">
        <f>'Revenues 9-14'!G5</f>
        <v>124334</v>
      </c>
      <c r="C8" s="584">
        <v>52393</v>
      </c>
      <c r="D8" s="1774">
        <f t="shared" si="0"/>
        <v>71941</v>
      </c>
      <c r="E8" s="584">
        <v>103000</v>
      </c>
      <c r="F8" s="1774">
        <f t="shared" si="1"/>
        <v>50607</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72059</v>
      </c>
      <c r="C10" s="584">
        <v>38104</v>
      </c>
      <c r="D10" s="1774">
        <f t="shared" si="0"/>
        <v>33955</v>
      </c>
      <c r="E10" s="584">
        <v>75581</v>
      </c>
      <c r="F10" s="1774">
        <f t="shared" si="1"/>
        <v>37477</v>
      </c>
    </row>
    <row r="11" spans="1:6" x14ac:dyDescent="0.2">
      <c r="A11" s="715" t="s">
        <v>429</v>
      </c>
      <c r="B11" s="1771">
        <f>'Revenues 9-14'!J5</f>
        <v>188921</v>
      </c>
      <c r="C11" s="584">
        <v>91556</v>
      </c>
      <c r="D11" s="1774">
        <f t="shared" si="0"/>
        <v>97365</v>
      </c>
      <c r="E11" s="584">
        <v>180250</v>
      </c>
      <c r="F11" s="1774">
        <f t="shared" si="1"/>
        <v>88694</v>
      </c>
    </row>
    <row r="12" spans="1:6" ht="13.7" customHeight="1" x14ac:dyDescent="0.2">
      <c r="A12" s="715" t="s">
        <v>159</v>
      </c>
      <c r="B12" s="1771">
        <f>'Revenues 9-14'!K5</f>
        <v>144638</v>
      </c>
      <c r="C12" s="584">
        <v>76738</v>
      </c>
      <c r="D12" s="1774">
        <f t="shared" si="0"/>
        <v>67900</v>
      </c>
      <c r="E12" s="584">
        <v>151162</v>
      </c>
      <c r="F12" s="1774">
        <f t="shared" si="1"/>
        <v>74424</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578023</v>
      </c>
      <c r="C14" s="584">
        <v>306422</v>
      </c>
      <c r="D14" s="1774">
        <f t="shared" si="0"/>
        <v>271601</v>
      </c>
      <c r="E14" s="584">
        <v>604648</v>
      </c>
      <c r="F14" s="1774">
        <f t="shared" si="1"/>
        <v>298226</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136525</v>
      </c>
      <c r="C16" s="584">
        <v>52393</v>
      </c>
      <c r="D16" s="1774">
        <f t="shared" si="0"/>
        <v>84132</v>
      </c>
      <c r="E16" s="584">
        <v>103000</v>
      </c>
      <c r="F16" s="1774">
        <f t="shared" si="1"/>
        <v>50607</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9782919</v>
      </c>
      <c r="C19" s="1772">
        <f>SUM(C4:C18)</f>
        <v>5292255</v>
      </c>
      <c r="D19" s="1772">
        <f>SUM(D4:D18)</f>
        <v>4490664</v>
      </c>
      <c r="E19" s="1772">
        <f>SUM(E4:E18)</f>
        <v>10441933</v>
      </c>
      <c r="F19" s="1772">
        <f>SUM(F4:F18)</f>
        <v>5149678</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 colorId="8" zoomScale="110" zoomScaleNormal="110" workbookViewId="0">
      <selection activeCell="J6" sqref="J6"/>
    </sheetView>
  </sheetViews>
  <sheetFormatPr defaultColWidth="9.140625" defaultRowHeight="12.75" x14ac:dyDescent="0.2"/>
  <cols>
    <col min="1" max="1" width="44" style="400" customWidth="1"/>
    <col min="2" max="2" width="12.140625" style="722" customWidth="1"/>
    <col min="3" max="5" width="16.5703125" style="722" customWidth="1"/>
    <col min="6" max="6" width="13.42578125" style="383" customWidth="1"/>
    <col min="7" max="7" width="14.5703125" style="383" customWidth="1"/>
    <col min="8" max="10" width="16.5703125" style="383" customWidth="1"/>
    <col min="11" max="16384" width="9.140625" style="383"/>
  </cols>
  <sheetData>
    <row r="1" spans="1:7" ht="27" customHeight="1" x14ac:dyDescent="0.2">
      <c r="A1" s="2221" t="s">
        <v>650</v>
      </c>
      <c r="B1" s="2219"/>
      <c r="C1" s="721"/>
    </row>
    <row r="2" spans="1:7" ht="33.75" x14ac:dyDescent="0.2">
      <c r="A2" s="2226" t="s">
        <v>1905</v>
      </c>
      <c r="B2" s="2227"/>
      <c r="C2" s="1907" t="s">
        <v>2038</v>
      </c>
      <c r="D2" s="723" t="s">
        <v>2045</v>
      </c>
      <c r="E2" s="723" t="s">
        <v>2046</v>
      </c>
      <c r="F2" s="1907" t="s">
        <v>2039</v>
      </c>
    </row>
    <row r="3" spans="1:7" ht="15.75" customHeight="1" x14ac:dyDescent="0.2">
      <c r="A3" s="2228" t="s">
        <v>1176</v>
      </c>
      <c r="B3" s="2229"/>
      <c r="C3" s="2222"/>
      <c r="D3" s="2223"/>
      <c r="E3" s="2223"/>
      <c r="F3" s="2224"/>
    </row>
    <row r="4" spans="1:7" ht="12.75" customHeight="1" thickBot="1" x14ac:dyDescent="0.25">
      <c r="A4" s="2216" t="s">
        <v>651</v>
      </c>
      <c r="B4" s="2217"/>
      <c r="C4" s="580"/>
      <c r="D4" s="580"/>
      <c r="E4" s="580"/>
      <c r="F4" s="1776">
        <f>SUM(C4+D4)-E4</f>
        <v>0</v>
      </c>
    </row>
    <row r="5" spans="1:7" ht="15.75" customHeight="1" thickTop="1" x14ac:dyDescent="0.2">
      <c r="A5" s="2220" t="s">
        <v>1172</v>
      </c>
      <c r="B5" s="2215"/>
      <c r="C5" s="2209"/>
      <c r="D5" s="2210"/>
      <c r="E5" s="2210"/>
      <c r="F5" s="2211"/>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12" t="s">
        <v>652</v>
      </c>
      <c r="B15" s="2213"/>
      <c r="C15" s="1776">
        <f>SUM(C6:C14)</f>
        <v>0</v>
      </c>
      <c r="D15" s="1776">
        <f>SUM(D6:D14)</f>
        <v>0</v>
      </c>
      <c r="E15" s="1776">
        <f>SUM(E6:E14)</f>
        <v>0</v>
      </c>
      <c r="F15" s="1776">
        <f>SUM(F6:F14)</f>
        <v>0</v>
      </c>
      <c r="G15" s="551"/>
    </row>
    <row r="16" spans="1:7" s="201" customFormat="1" ht="15.75" customHeight="1" thickTop="1" x14ac:dyDescent="0.2">
      <c r="A16" s="2225" t="s">
        <v>1173</v>
      </c>
      <c r="B16" s="2215"/>
      <c r="C16" s="2209"/>
      <c r="D16" s="2210"/>
      <c r="E16" s="2210"/>
      <c r="F16" s="2211"/>
    </row>
    <row r="17" spans="1:11" ht="12.75" customHeight="1" thickBot="1" x14ac:dyDescent="0.25">
      <c r="A17" s="2207" t="s">
        <v>66</v>
      </c>
      <c r="B17" s="2208"/>
      <c r="C17" s="726"/>
      <c r="D17" s="584"/>
      <c r="E17" s="726"/>
      <c r="F17" s="1776">
        <f>SUM(C17+D17)-E17</f>
        <v>0</v>
      </c>
    </row>
    <row r="18" spans="1:11" ht="12.75" customHeight="1" thickTop="1" thickBot="1" x14ac:dyDescent="0.25">
      <c r="A18" s="2207" t="s">
        <v>6</v>
      </c>
      <c r="B18" s="2208"/>
      <c r="C18" s="726"/>
      <c r="D18" s="584"/>
      <c r="E18" s="726"/>
      <c r="F18" s="1776">
        <f>SUM(C18+D18)-E18</f>
        <v>0</v>
      </c>
    </row>
    <row r="19" spans="1:11" ht="12.75" customHeight="1" thickTop="1" thickBot="1" x14ac:dyDescent="0.25">
      <c r="A19" s="2207" t="s">
        <v>406</v>
      </c>
      <c r="B19" s="2208"/>
      <c r="C19" s="726"/>
      <c r="D19" s="584"/>
      <c r="E19" s="726"/>
      <c r="F19" s="1776">
        <f>SUM(C19+D19)-E19</f>
        <v>0</v>
      </c>
    </row>
    <row r="20" spans="1:11" ht="12.75" customHeight="1" thickTop="1" thickBot="1" x14ac:dyDescent="0.25">
      <c r="A20" s="2207" t="s">
        <v>468</v>
      </c>
      <c r="B20" s="2208"/>
      <c r="C20" s="726"/>
      <c r="D20" s="584"/>
      <c r="E20" s="726"/>
      <c r="F20" s="1776">
        <f>SUM(C20+D20)-E20</f>
        <v>0</v>
      </c>
    </row>
    <row r="21" spans="1:11" ht="14.25" thickTop="1" thickBot="1" x14ac:dyDescent="0.25">
      <c r="A21" s="2212" t="s">
        <v>653</v>
      </c>
      <c r="B21" s="2213"/>
      <c r="C21" s="1776">
        <f>SUM(C17:C20)</f>
        <v>0</v>
      </c>
      <c r="D21" s="1776">
        <f>SUM(D17:D20)</f>
        <v>0</v>
      </c>
      <c r="E21" s="1776">
        <f>SUM(E17:E20)</f>
        <v>0</v>
      </c>
      <c r="F21" s="1776">
        <f>SUM(F17:F20)</f>
        <v>0</v>
      </c>
      <c r="G21" s="551"/>
    </row>
    <row r="22" spans="1:11" ht="15.75" customHeight="1" thickTop="1" x14ac:dyDescent="0.2">
      <c r="A22" s="2214" t="s">
        <v>1174</v>
      </c>
      <c r="B22" s="2215"/>
      <c r="C22" s="2209"/>
      <c r="D22" s="2210"/>
      <c r="E22" s="2210"/>
      <c r="F22" s="2211"/>
    </row>
    <row r="23" spans="1:11" ht="13.5" thickBot="1" x14ac:dyDescent="0.25">
      <c r="A23" s="2216" t="s">
        <v>654</v>
      </c>
      <c r="B23" s="2217"/>
      <c r="C23" s="580"/>
      <c r="D23" s="580"/>
      <c r="E23" s="580"/>
      <c r="F23" s="1776">
        <f>SUM(C23+D23)-E23</f>
        <v>0</v>
      </c>
      <c r="G23" s="551"/>
    </row>
    <row r="24" spans="1:11" ht="15.75" customHeight="1" thickTop="1" x14ac:dyDescent="0.2">
      <c r="A24" s="2214" t="s">
        <v>1175</v>
      </c>
      <c r="B24" s="2215"/>
      <c r="C24" s="2209"/>
      <c r="D24" s="2210"/>
      <c r="E24" s="2210"/>
      <c r="F24" s="2211"/>
    </row>
    <row r="25" spans="1:11" ht="13.5" thickBot="1" x14ac:dyDescent="0.25">
      <c r="A25" s="2216" t="s">
        <v>655</v>
      </c>
      <c r="B25" s="2217"/>
      <c r="C25" s="580"/>
      <c r="D25" s="580"/>
      <c r="E25" s="580"/>
      <c r="F25" s="1776">
        <f>SUM(C25+D25)-E25</f>
        <v>0</v>
      </c>
      <c r="G25" s="551"/>
    </row>
    <row r="26" spans="1:11" ht="15.75" customHeight="1" thickTop="1" x14ac:dyDescent="0.2">
      <c r="A26" s="2220" t="s">
        <v>678</v>
      </c>
      <c r="B26" s="2215"/>
      <c r="C26" s="727"/>
      <c r="D26" s="727"/>
      <c r="E26" s="727"/>
      <c r="F26" s="728"/>
    </row>
    <row r="27" spans="1:11" ht="13.5" thickBot="1" x14ac:dyDescent="0.25">
      <c r="A27" s="2212" t="s">
        <v>1130</v>
      </c>
      <c r="B27" s="2213"/>
      <c r="C27" s="584"/>
      <c r="D27" s="584"/>
      <c r="E27" s="584"/>
      <c r="F27" s="1776">
        <f>SUM(C27+D27)-E27</f>
        <v>0</v>
      </c>
      <c r="G27" s="551"/>
    </row>
    <row r="28" spans="1:11" ht="7.5" customHeight="1" thickTop="1" x14ac:dyDescent="0.2">
      <c r="A28" s="593"/>
    </row>
    <row r="29" spans="1:11" ht="23.25" customHeight="1" x14ac:dyDescent="0.2">
      <c r="A29" s="2218" t="s">
        <v>603</v>
      </c>
      <c r="B29" s="2219"/>
      <c r="C29" s="729"/>
      <c r="D29" s="729"/>
      <c r="E29" s="729"/>
      <c r="F29" s="729"/>
      <c r="G29" s="729"/>
      <c r="H29" s="729"/>
      <c r="I29" s="729"/>
      <c r="J29" s="729"/>
    </row>
    <row r="30" spans="1:11" ht="33.75" x14ac:dyDescent="0.2">
      <c r="A30" s="1550" t="s">
        <v>1131</v>
      </c>
      <c r="B30" s="730" t="s">
        <v>1186</v>
      </c>
      <c r="C30" s="1908" t="s">
        <v>604</v>
      </c>
      <c r="D30" s="1908" t="s">
        <v>1772</v>
      </c>
      <c r="E30" s="1908" t="s">
        <v>2040</v>
      </c>
      <c r="F30" s="1908" t="s">
        <v>2041</v>
      </c>
      <c r="G30" s="1908" t="s">
        <v>2044</v>
      </c>
      <c r="H30" s="1908" t="s">
        <v>2042</v>
      </c>
      <c r="I30" s="1908" t="s">
        <v>2043</v>
      </c>
      <c r="J30" s="1909" t="s">
        <v>2</v>
      </c>
      <c r="K30" s="731"/>
    </row>
    <row r="31" spans="1:11" ht="12" customHeight="1" x14ac:dyDescent="0.2">
      <c r="A31" s="732" t="s">
        <v>2112</v>
      </c>
      <c r="B31" s="733">
        <v>35942</v>
      </c>
      <c r="C31" s="734">
        <v>610401</v>
      </c>
      <c r="D31" s="735">
        <v>3</v>
      </c>
      <c r="E31" s="734">
        <v>681926</v>
      </c>
      <c r="F31" s="734"/>
      <c r="G31" s="734">
        <v>-429674</v>
      </c>
      <c r="H31" s="734">
        <v>252252</v>
      </c>
      <c r="I31" s="1777">
        <f>((E31+F31)-H31)+G31</f>
        <v>0</v>
      </c>
      <c r="J31" s="734"/>
      <c r="K31" s="736"/>
    </row>
    <row r="32" spans="1:11" ht="12" customHeight="1" x14ac:dyDescent="0.2">
      <c r="A32" s="732" t="s">
        <v>2113</v>
      </c>
      <c r="B32" s="733">
        <v>38315</v>
      </c>
      <c r="C32" s="734">
        <v>1399996</v>
      </c>
      <c r="D32" s="735">
        <v>1</v>
      </c>
      <c r="E32" s="734">
        <v>1013132</v>
      </c>
      <c r="F32" s="734"/>
      <c r="G32" s="734">
        <v>55750</v>
      </c>
      <c r="H32" s="734"/>
      <c r="I32" s="1777">
        <f>((E32+F32)-H32)+G32</f>
        <v>1068882</v>
      </c>
      <c r="J32" s="734">
        <f>1068882-4226</f>
        <v>1064656</v>
      </c>
      <c r="K32" s="736"/>
    </row>
    <row r="33" spans="1:11" ht="12" customHeight="1" x14ac:dyDescent="0.2">
      <c r="A33" s="732" t="s">
        <v>2114</v>
      </c>
      <c r="B33" s="733">
        <v>38595</v>
      </c>
      <c r="C33" s="734">
        <v>1582144</v>
      </c>
      <c r="D33" s="735">
        <v>1</v>
      </c>
      <c r="E33" s="734">
        <v>2760852</v>
      </c>
      <c r="F33" s="734"/>
      <c r="G33" s="734">
        <v>163687</v>
      </c>
      <c r="H33" s="734"/>
      <c r="I33" s="1777">
        <f t="shared" ref="I33:I48" si="1">((E33+F33)-H33)+G33</f>
        <v>2924539</v>
      </c>
      <c r="J33" s="734">
        <v>2924539</v>
      </c>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3592541</v>
      </c>
      <c r="D49" s="745"/>
      <c r="E49" s="1777">
        <f t="shared" ref="E49:J49" si="2">SUM(E31:E48)</f>
        <v>4455910</v>
      </c>
      <c r="F49" s="1777">
        <f t="shared" si="2"/>
        <v>0</v>
      </c>
      <c r="G49" s="1777">
        <f t="shared" si="2"/>
        <v>-210237</v>
      </c>
      <c r="H49" s="1777">
        <f t="shared" si="2"/>
        <v>252252</v>
      </c>
      <c r="I49" s="1777">
        <f t="shared" si="2"/>
        <v>3993421</v>
      </c>
      <c r="J49" s="1777">
        <f t="shared" si="2"/>
        <v>3989195</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1" t="s">
        <v>605</v>
      </c>
      <c r="C52" s="2202"/>
      <c r="D52" s="2202"/>
      <c r="E52" s="749" t="s">
        <v>900</v>
      </c>
      <c r="F52" s="2203"/>
      <c r="G52" s="2204"/>
      <c r="H52" s="736"/>
      <c r="I52" s="736"/>
      <c r="J52" s="746"/>
    </row>
    <row r="53" spans="1:11" ht="11.25" customHeight="1" x14ac:dyDescent="0.2">
      <c r="A53" s="750" t="s">
        <v>969</v>
      </c>
      <c r="B53" s="751" t="s">
        <v>1008</v>
      </c>
      <c r="C53" s="746"/>
      <c r="D53" s="737"/>
      <c r="E53" s="749" t="s">
        <v>518</v>
      </c>
      <c r="F53" s="2205"/>
      <c r="G53" s="2206"/>
      <c r="H53" s="736"/>
      <c r="I53" s="736"/>
      <c r="J53" s="746"/>
    </row>
    <row r="54" spans="1:11" ht="11.25" customHeight="1" x14ac:dyDescent="0.2">
      <c r="A54" s="752" t="s">
        <v>970</v>
      </c>
      <c r="B54" s="747" t="s">
        <v>1009</v>
      </c>
      <c r="C54" s="746"/>
      <c r="D54" s="737"/>
      <c r="E54" s="749" t="s">
        <v>519</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E22" colorId="8" zoomScale="110" zoomScaleNormal="110" workbookViewId="0">
      <selection activeCell="H38" sqref="H38"/>
    </sheetView>
  </sheetViews>
  <sheetFormatPr defaultColWidth="9.140625" defaultRowHeight="12.75" x14ac:dyDescent="0.2"/>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x14ac:dyDescent="0.2">
      <c r="A1" s="2230" t="s">
        <v>911</v>
      </c>
      <c r="B1" s="2231"/>
      <c r="C1" s="2231"/>
      <c r="D1" s="2231"/>
      <c r="E1" s="2231"/>
      <c r="F1" s="2231"/>
      <c r="G1" s="2232"/>
      <c r="H1" s="1551"/>
      <c r="I1" s="760"/>
      <c r="J1" s="432"/>
    </row>
    <row r="2" spans="1:11" ht="26.25" x14ac:dyDescent="0.2">
      <c r="A2" s="2249" t="s">
        <v>1776</v>
      </c>
      <c r="B2" s="2250"/>
      <c r="C2" s="2250"/>
      <c r="D2" s="2250"/>
      <c r="E2" s="2251"/>
      <c r="F2" s="761" t="s">
        <v>960</v>
      </c>
      <c r="G2" s="762" t="s">
        <v>1773</v>
      </c>
      <c r="H2" s="762" t="s">
        <v>430</v>
      </c>
      <c r="I2" s="762" t="s">
        <v>1220</v>
      </c>
      <c r="J2" s="762" t="s">
        <v>1919</v>
      </c>
      <c r="K2" s="762" t="s">
        <v>140</v>
      </c>
    </row>
    <row r="3" spans="1:11" x14ac:dyDescent="0.2">
      <c r="A3" s="2252" t="s">
        <v>1698</v>
      </c>
      <c r="B3" s="2253"/>
      <c r="C3" s="2253"/>
      <c r="D3" s="2253"/>
      <c r="E3" s="2254"/>
      <c r="F3" s="763"/>
      <c r="G3" s="764"/>
      <c r="H3" s="764"/>
      <c r="I3" s="764"/>
      <c r="J3" s="765"/>
      <c r="K3" s="765"/>
    </row>
    <row r="4" spans="1:11" x14ac:dyDescent="0.2">
      <c r="A4" s="2255" t="s">
        <v>387</v>
      </c>
      <c r="B4" s="2256"/>
      <c r="C4" s="2256"/>
      <c r="D4" s="2256"/>
      <c r="E4" s="2202"/>
      <c r="F4" s="766"/>
      <c r="G4" s="767"/>
      <c r="H4" s="768"/>
      <c r="I4" s="767"/>
      <c r="J4" s="769"/>
      <c r="K4" s="769"/>
    </row>
    <row r="5" spans="1:11" x14ac:dyDescent="0.2">
      <c r="A5" s="2233" t="s">
        <v>1129</v>
      </c>
      <c r="B5" s="2234"/>
      <c r="C5" s="2234"/>
      <c r="D5" s="2234"/>
      <c r="E5" s="2235"/>
      <c r="F5" s="770" t="s">
        <v>903</v>
      </c>
      <c r="G5" s="771"/>
      <c r="H5" s="764">
        <v>578023</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3" t="s">
        <v>1920</v>
      </c>
      <c r="B10" s="2234"/>
      <c r="C10" s="2234"/>
      <c r="D10" s="2234"/>
      <c r="E10" s="2236"/>
      <c r="F10" s="783" t="s">
        <v>917</v>
      </c>
      <c r="G10" s="782"/>
      <c r="H10" s="784"/>
      <c r="I10" s="764"/>
      <c r="J10" s="765"/>
      <c r="K10" s="765"/>
    </row>
    <row r="11" spans="1:11" x14ac:dyDescent="0.2">
      <c r="A11" s="2233" t="s">
        <v>162</v>
      </c>
      <c r="B11" s="2234"/>
      <c r="C11" s="2234"/>
      <c r="D11" s="2234"/>
      <c r="E11" s="2235"/>
      <c r="F11" s="770" t="s">
        <v>907</v>
      </c>
      <c r="G11" s="771"/>
      <c r="H11" s="764"/>
      <c r="I11" s="764"/>
      <c r="J11" s="765"/>
      <c r="K11" s="773"/>
    </row>
    <row r="12" spans="1:11" ht="13.5" thickBot="1" x14ac:dyDescent="0.25">
      <c r="A12" s="2260" t="s">
        <v>961</v>
      </c>
      <c r="B12" s="2261"/>
      <c r="C12" s="2261"/>
      <c r="D12" s="2261"/>
      <c r="E12" s="2262"/>
      <c r="F12" s="1778"/>
      <c r="G12" s="1779">
        <f>SUM(G5:G11)</f>
        <v>0</v>
      </c>
      <c r="H12" s="1779">
        <f>SUM(H5:H11)</f>
        <v>578023</v>
      </c>
      <c r="I12" s="1779">
        <f>SUM(I5:I11)</f>
        <v>0</v>
      </c>
      <c r="J12" s="1779">
        <f>SUM(J5:J11)</f>
        <v>0</v>
      </c>
      <c r="K12" s="1779">
        <f>SUM(K5:K11)</f>
        <v>0</v>
      </c>
    </row>
    <row r="13" spans="1:11" ht="13.5" thickTop="1" x14ac:dyDescent="0.2">
      <c r="A13" s="2257" t="s">
        <v>388</v>
      </c>
      <c r="B13" s="2258"/>
      <c r="C13" s="2258"/>
      <c r="D13" s="2258"/>
      <c r="E13" s="2259"/>
      <c r="F13" s="785"/>
      <c r="G13" s="786"/>
      <c r="H13" s="787"/>
      <c r="I13" s="788"/>
      <c r="J13" s="788"/>
      <c r="K13" s="788"/>
    </row>
    <row r="14" spans="1:11" x14ac:dyDescent="0.2">
      <c r="A14" s="2240" t="s">
        <v>476</v>
      </c>
      <c r="B14" s="2240"/>
      <c r="C14" s="2240"/>
      <c r="D14" s="2240"/>
      <c r="E14" s="2241"/>
      <c r="F14" s="789" t="s">
        <v>909</v>
      </c>
      <c r="G14" s="782"/>
      <c r="H14" s="764">
        <v>578023</v>
      </c>
      <c r="I14" s="771"/>
      <c r="J14" s="773"/>
      <c r="K14" s="765"/>
    </row>
    <row r="15" spans="1:11" x14ac:dyDescent="0.2">
      <c r="A15" s="2234" t="s">
        <v>4</v>
      </c>
      <c r="B15" s="2234"/>
      <c r="C15" s="2234"/>
      <c r="D15" s="2234"/>
      <c r="E15" s="2235"/>
      <c r="F15" s="789" t="s">
        <v>910</v>
      </c>
      <c r="G15" s="771"/>
      <c r="H15" s="764"/>
      <c r="I15" s="764"/>
      <c r="J15" s="765"/>
      <c r="K15" s="765"/>
    </row>
    <row r="16" spans="1:11" x14ac:dyDescent="0.2">
      <c r="A16" s="2234" t="s">
        <v>316</v>
      </c>
      <c r="B16" s="2234"/>
      <c r="C16" s="2234"/>
      <c r="D16" s="2234"/>
      <c r="E16" s="2235"/>
      <c r="F16" s="789" t="s">
        <v>980</v>
      </c>
      <c r="G16" s="772"/>
      <c r="H16" s="767"/>
      <c r="I16" s="767"/>
      <c r="J16" s="769"/>
      <c r="K16" s="769"/>
    </row>
    <row r="17" spans="1:11" x14ac:dyDescent="0.2">
      <c r="A17" s="2265" t="s">
        <v>992</v>
      </c>
      <c r="B17" s="2265"/>
      <c r="C17" s="2265"/>
      <c r="D17" s="2265"/>
      <c r="E17" s="2266"/>
      <c r="F17" s="790"/>
      <c r="G17" s="791"/>
      <c r="H17" s="792"/>
      <c r="I17" s="792"/>
      <c r="J17" s="793"/>
      <c r="K17" s="794"/>
    </row>
    <row r="18" spans="1:11" x14ac:dyDescent="0.2">
      <c r="A18" s="2244" t="s">
        <v>386</v>
      </c>
      <c r="B18" s="2245"/>
      <c r="C18" s="2245"/>
      <c r="D18" s="2245"/>
      <c r="E18" s="2246"/>
      <c r="F18" s="789" t="s">
        <v>989</v>
      </c>
      <c r="G18" s="782"/>
      <c r="H18" s="782"/>
      <c r="I18" s="782"/>
      <c r="J18" s="765"/>
      <c r="K18" s="795"/>
    </row>
    <row r="19" spans="1:11" ht="21.75" customHeight="1" x14ac:dyDescent="0.2">
      <c r="A19" s="2242" t="s">
        <v>1916</v>
      </c>
      <c r="B19" s="2242"/>
      <c r="C19" s="2242"/>
      <c r="D19" s="2242"/>
      <c r="E19" s="2243"/>
      <c r="F19" s="789" t="s">
        <v>990</v>
      </c>
      <c r="G19" s="782"/>
      <c r="H19" s="782"/>
      <c r="I19" s="782"/>
      <c r="J19" s="765"/>
      <c r="K19" s="795"/>
    </row>
    <row r="20" spans="1:11" x14ac:dyDescent="0.2">
      <c r="A20" s="2244" t="s">
        <v>1921</v>
      </c>
      <c r="B20" s="2245"/>
      <c r="C20" s="2245"/>
      <c r="D20" s="2245"/>
      <c r="E20" s="2246"/>
      <c r="F20" s="789" t="s">
        <v>991</v>
      </c>
      <c r="G20" s="782"/>
      <c r="H20" s="782"/>
      <c r="I20" s="782"/>
      <c r="J20" s="765"/>
      <c r="K20" s="795"/>
    </row>
    <row r="21" spans="1:11" ht="13.5" thickBot="1" x14ac:dyDescent="0.25">
      <c r="A21" s="2263" t="s">
        <v>659</v>
      </c>
      <c r="B21" s="2263"/>
      <c r="C21" s="2263"/>
      <c r="D21" s="2263"/>
      <c r="E21" s="2263"/>
      <c r="F21" s="1780"/>
      <c r="G21" s="792"/>
      <c r="H21" s="796"/>
      <c r="I21" s="796"/>
      <c r="J21" s="1781">
        <f>SUM(J18:J20)</f>
        <v>0</v>
      </c>
      <c r="K21" s="793"/>
    </row>
    <row r="22" spans="1:11" ht="13.5" thickTop="1" x14ac:dyDescent="0.2">
      <c r="A22" s="2234" t="s">
        <v>1922</v>
      </c>
      <c r="B22" s="2234"/>
      <c r="C22" s="2234"/>
      <c r="D22" s="2234"/>
      <c r="E22" s="2235"/>
      <c r="F22" s="789" t="s">
        <v>917</v>
      </c>
      <c r="G22" s="782"/>
      <c r="H22" s="764"/>
      <c r="I22" s="764"/>
      <c r="J22" s="797"/>
      <c r="K22" s="765"/>
    </row>
    <row r="23" spans="1:11" ht="13.5" thickBot="1" x14ac:dyDescent="0.25">
      <c r="A23" s="2264" t="s">
        <v>962</v>
      </c>
      <c r="B23" s="2263"/>
      <c r="C23" s="2263"/>
      <c r="D23" s="2263"/>
      <c r="E23" s="2263"/>
      <c r="F23" s="1782"/>
      <c r="G23" s="1779">
        <f>SUM(G14:G16,G21,G22)</f>
        <v>0</v>
      </c>
      <c r="H23" s="1779">
        <f>SUM(H14:H16,H21,H22)</f>
        <v>578023</v>
      </c>
      <c r="I23" s="1779">
        <f>SUM(I14:I16,I21,I22)</f>
        <v>0</v>
      </c>
      <c r="J23" s="1779">
        <f>SUM(J14:J16,J21,J22)</f>
        <v>0</v>
      </c>
      <c r="K23" s="1779">
        <f>SUM(K14:K16,K21,K22)</f>
        <v>0</v>
      </c>
    </row>
    <row r="24" spans="1:11" ht="14.25" thickTop="1" thickBot="1" x14ac:dyDescent="0.25">
      <c r="A24" s="2264" t="s">
        <v>2026</v>
      </c>
      <c r="B24" s="2263"/>
      <c r="C24" s="2263"/>
      <c r="D24" s="2263"/>
      <c r="E24" s="2263"/>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3" t="s">
        <v>2036</v>
      </c>
      <c r="B28" s="1904"/>
      <c r="C28" s="1904"/>
      <c r="D28" s="1904"/>
      <c r="E28" s="1905"/>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37"/>
      <c r="I31" s="2238"/>
      <c r="J31" s="2238"/>
      <c r="K31" s="2238"/>
    </row>
    <row r="32" spans="1:11" x14ac:dyDescent="0.2">
      <c r="A32" s="809"/>
      <c r="B32" s="236"/>
      <c r="C32" s="236"/>
      <c r="D32" s="236"/>
      <c r="E32" s="805"/>
      <c r="F32" s="811" t="s">
        <v>561</v>
      </c>
      <c r="G32" s="764"/>
      <c r="H32" s="2239"/>
      <c r="I32" s="2238"/>
      <c r="J32" s="2238"/>
      <c r="K32" s="2238"/>
    </row>
    <row r="33" spans="1:11" ht="1.5" customHeight="1" x14ac:dyDescent="0.2">
      <c r="A33" s="812" t="s">
        <v>1231</v>
      </c>
      <c r="B33" s="363"/>
      <c r="C33" s="363"/>
      <c r="D33" s="363"/>
      <c r="E33" s="363"/>
      <c r="F33" s="363"/>
      <c r="G33" s="813"/>
      <c r="H33" s="2239"/>
      <c r="I33" s="2238"/>
      <c r="J33" s="2238"/>
      <c r="K33" s="2238"/>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4" t="s">
        <v>562</v>
      </c>
      <c r="B41" s="2247"/>
      <c r="C41" s="2247"/>
      <c r="D41" s="2247"/>
      <c r="E41" s="2247"/>
      <c r="F41" s="2248"/>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1" colorId="8" zoomScale="110" zoomScaleNormal="110" workbookViewId="0">
      <selection activeCell="I1" sqref="I1"/>
    </sheetView>
  </sheetViews>
  <sheetFormatPr defaultColWidth="9.140625" defaultRowHeight="12.75" x14ac:dyDescent="0.2"/>
  <cols>
    <col min="1" max="1" width="28.85546875" style="808"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9" t="s">
        <v>2035</v>
      </c>
      <c r="B1" s="2270"/>
      <c r="C1" s="2271"/>
      <c r="D1" s="826"/>
      <c r="E1" s="827"/>
      <c r="F1" s="827"/>
      <c r="G1" s="828"/>
      <c r="H1" s="829"/>
      <c r="I1" s="830"/>
      <c r="J1" s="2267"/>
      <c r="K1" s="2268"/>
      <c r="L1" s="2268"/>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110334</v>
      </c>
      <c r="D5" s="841"/>
      <c r="E5" s="841"/>
      <c r="F5" s="1781">
        <f>(C5+D5)-E5</f>
        <v>110334</v>
      </c>
      <c r="G5" s="837"/>
      <c r="H5" s="842"/>
      <c r="I5" s="842"/>
      <c r="J5" s="842"/>
      <c r="K5" s="793"/>
      <c r="L5" s="1790">
        <f>F5-K5</f>
        <v>110334</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11552294</v>
      </c>
      <c r="D8" s="844">
        <v>456361</v>
      </c>
      <c r="E8" s="844"/>
      <c r="F8" s="1781">
        <f>(C8+D8)-E8</f>
        <v>12008655</v>
      </c>
      <c r="G8" s="843">
        <v>50</v>
      </c>
      <c r="H8" s="765">
        <v>4468505</v>
      </c>
      <c r="I8" s="765">
        <v>148862</v>
      </c>
      <c r="J8" s="765"/>
      <c r="K8" s="1790">
        <f>(H8+I8)-J8</f>
        <v>4617367</v>
      </c>
      <c r="L8" s="1790">
        <f>F8-K8</f>
        <v>7391288</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c r="D10" s="846"/>
      <c r="E10" s="846"/>
      <c r="F10" s="1785">
        <f>(C10+D10)-E10</f>
        <v>0</v>
      </c>
      <c r="G10" s="843">
        <v>20</v>
      </c>
      <c r="H10" s="847"/>
      <c r="I10" s="847"/>
      <c r="J10" s="847"/>
      <c r="K10" s="1790">
        <f>(H10+I10)-J10</f>
        <v>0</v>
      </c>
      <c r="L10" s="1790">
        <f>F10-K10</f>
        <v>0</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c r="D12" s="844"/>
      <c r="E12" s="844"/>
      <c r="F12" s="1781">
        <f>(C12+D12)-E12</f>
        <v>0</v>
      </c>
      <c r="G12" s="843">
        <v>10</v>
      </c>
      <c r="H12" s="765"/>
      <c r="I12" s="765"/>
      <c r="J12" s="765"/>
      <c r="K12" s="1790">
        <f>(H12+I12)-J12</f>
        <v>0</v>
      </c>
      <c r="L12" s="1790">
        <f>F12-K12</f>
        <v>0</v>
      </c>
    </row>
    <row r="13" spans="1:14" ht="14.25" thickTop="1" thickBot="1" x14ac:dyDescent="0.25">
      <c r="A13" s="848" t="s">
        <v>1184</v>
      </c>
      <c r="B13" s="840">
        <v>252</v>
      </c>
      <c r="C13" s="844">
        <v>3156947</v>
      </c>
      <c r="D13" s="844">
        <v>255874</v>
      </c>
      <c r="E13" s="844"/>
      <c r="F13" s="1781">
        <f>(C13+D13)-E13</f>
        <v>3412821</v>
      </c>
      <c r="G13" s="843">
        <v>5</v>
      </c>
      <c r="H13" s="765">
        <v>2597319</v>
      </c>
      <c r="I13" s="765">
        <v>185591</v>
      </c>
      <c r="J13" s="765"/>
      <c r="K13" s="1790">
        <f>(H13+I13)-J13</f>
        <v>2782910</v>
      </c>
      <c r="L13" s="1790">
        <f>F13-K13</f>
        <v>629911</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v>360932</v>
      </c>
      <c r="E15" s="844"/>
      <c r="F15" s="1781">
        <f>(C15+D15)-E15</f>
        <v>360932</v>
      </c>
      <c r="G15" s="849" t="s">
        <v>917</v>
      </c>
      <c r="H15" s="781"/>
      <c r="I15" s="781"/>
      <c r="J15" s="781"/>
      <c r="K15" s="781"/>
      <c r="L15" s="1790">
        <f>F15-K15</f>
        <v>360932</v>
      </c>
    </row>
    <row r="16" spans="1:14" ht="15" customHeight="1" thickTop="1" thickBot="1" x14ac:dyDescent="0.25">
      <c r="A16" s="1786" t="s">
        <v>664</v>
      </c>
      <c r="B16" s="1787">
        <v>200</v>
      </c>
      <c r="C16" s="1781">
        <f>SUM(C3,C5:C6,C8:C10,C12:C15)</f>
        <v>14819575</v>
      </c>
      <c r="D16" s="1781">
        <f>SUM(D3,D5:D6,D8:D10,D12:D15)</f>
        <v>1073167</v>
      </c>
      <c r="E16" s="1781">
        <f>SUM(E3,E5:E6,E8:E10,E12:E15)</f>
        <v>0</v>
      </c>
      <c r="F16" s="1781">
        <f>SUM(F3,F5:F6,F8:F10,F12:F15)</f>
        <v>15892742</v>
      </c>
      <c r="G16" s="843"/>
      <c r="H16" s="1781">
        <f>SUM(H3,H6,H8:H10,H12:H14,)</f>
        <v>7065824</v>
      </c>
      <c r="I16" s="1781">
        <f>SUM(I3,I6,I8:I10,I12:I14,)</f>
        <v>334453</v>
      </c>
      <c r="J16" s="1781">
        <f>SUM(J3,J6,J8:J10,J12:J14,)</f>
        <v>0</v>
      </c>
      <c r="K16" s="1781">
        <f>(H16+I16)-J16</f>
        <v>7400277</v>
      </c>
      <c r="L16" s="1781">
        <f>F16-K16</f>
        <v>8492465</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51571</v>
      </c>
      <c r="G17" s="837">
        <v>10</v>
      </c>
      <c r="H17" s="769"/>
      <c r="I17" s="1790">
        <f>F17/G17</f>
        <v>5157.1000000000004</v>
      </c>
      <c r="J17" s="769"/>
      <c r="K17" s="795"/>
      <c r="L17" s="795"/>
    </row>
    <row r="18" spans="1:12" ht="14.25" thickTop="1" thickBot="1" x14ac:dyDescent="0.25">
      <c r="A18" s="1788" t="s">
        <v>706</v>
      </c>
      <c r="B18" s="1789"/>
      <c r="C18" s="771"/>
      <c r="D18" s="771"/>
      <c r="E18" s="771"/>
      <c r="F18" s="850"/>
      <c r="G18" s="851"/>
      <c r="H18" s="773"/>
      <c r="I18" s="1781">
        <f>SUM(I16,I17)</f>
        <v>339610.1</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1.1"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9" sqref="F19"/>
    </sheetView>
  </sheetViews>
  <sheetFormatPr defaultColWidth="8.5703125" defaultRowHeight="11.25" x14ac:dyDescent="0.2"/>
  <cols>
    <col min="1" max="1" width="22.140625" style="856" customWidth="1"/>
    <col min="2" max="2" width="31.85546875" style="856" customWidth="1"/>
    <col min="3" max="3" width="6.5703125" style="863" customWidth="1"/>
    <col min="4" max="4" width="55.5703125" style="856" customWidth="1"/>
    <col min="5" max="5" width="3.140625" style="863" customWidth="1"/>
    <col min="6" max="6" width="17.42578125" style="856" customWidth="1"/>
    <col min="7" max="7" width="0.85546875" style="856" customWidth="1"/>
    <col min="8" max="8" width="2.42578125" style="856" customWidth="1"/>
    <col min="9" max="16384" width="8.5703125" style="856"/>
  </cols>
  <sheetData>
    <row r="1" spans="1:7" ht="19.5" customHeight="1" thickTop="1" x14ac:dyDescent="0.2">
      <c r="A1" s="2275" t="s">
        <v>1699</v>
      </c>
      <c r="B1" s="2276"/>
      <c r="C1" s="2276"/>
      <c r="D1" s="2276"/>
      <c r="E1" s="2276"/>
      <c r="F1" s="2277"/>
      <c r="G1" s="855"/>
    </row>
    <row r="2" spans="1:7" ht="15" customHeight="1" thickBot="1" x14ac:dyDescent="0.25">
      <c r="A2" s="2278" t="s">
        <v>498</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2">
        <f>'Expenditures 15-22'!K114</f>
        <v>11257018</v>
      </c>
      <c r="G8" s="865"/>
    </row>
    <row r="9" spans="1:7" x14ac:dyDescent="0.2">
      <c r="A9" s="869" t="s">
        <v>480</v>
      </c>
      <c r="B9" s="870" t="s">
        <v>1989</v>
      </c>
      <c r="C9" s="871"/>
      <c r="D9" s="869" t="s">
        <v>522</v>
      </c>
      <c r="E9" s="868"/>
      <c r="F9" s="1933">
        <f>'Expenditures 15-22'!K151</f>
        <v>2386240</v>
      </c>
      <c r="G9" s="872"/>
    </row>
    <row r="10" spans="1:7" x14ac:dyDescent="0.2">
      <c r="A10" s="869" t="s">
        <v>520</v>
      </c>
      <c r="B10" s="870" t="s">
        <v>1990</v>
      </c>
      <c r="C10" s="871"/>
      <c r="D10" s="869" t="s">
        <v>522</v>
      </c>
      <c r="E10" s="868"/>
      <c r="F10" s="1933">
        <f>'Expenditures 15-22'!K174</f>
        <v>700800</v>
      </c>
      <c r="G10" s="872"/>
    </row>
    <row r="11" spans="1:7" x14ac:dyDescent="0.2">
      <c r="A11" s="869" t="s">
        <v>481</v>
      </c>
      <c r="B11" s="870" t="s">
        <v>1991</v>
      </c>
      <c r="C11" s="871"/>
      <c r="D11" s="869" t="s">
        <v>522</v>
      </c>
      <c r="E11" s="868"/>
      <c r="F11" s="1933">
        <f>'Expenditures 15-22'!K210</f>
        <v>317101</v>
      </c>
      <c r="G11" s="872"/>
    </row>
    <row r="12" spans="1:7" x14ac:dyDescent="0.2">
      <c r="A12" s="869" t="s">
        <v>482</v>
      </c>
      <c r="B12" s="870" t="s">
        <v>1992</v>
      </c>
      <c r="C12" s="871"/>
      <c r="D12" s="869" t="s">
        <v>522</v>
      </c>
      <c r="E12" s="868"/>
      <c r="F12" s="1933">
        <f>'Expenditures 15-22'!K295</f>
        <v>373730</v>
      </c>
      <c r="G12" s="872"/>
    </row>
    <row r="13" spans="1:7" x14ac:dyDescent="0.2">
      <c r="A13" s="869" t="s">
        <v>108</v>
      </c>
      <c r="B13" s="870" t="s">
        <v>1993</v>
      </c>
      <c r="C13" s="871"/>
      <c r="D13" s="869" t="s">
        <v>522</v>
      </c>
      <c r="E13" s="868"/>
      <c r="F13" s="1933">
        <f>'Expenditures 15-22'!K342</f>
        <v>178011</v>
      </c>
      <c r="G13" s="873"/>
    </row>
    <row r="14" spans="1:7" ht="12" customHeight="1" thickBot="1" x14ac:dyDescent="0.25">
      <c r="A14" s="1791"/>
      <c r="B14" s="1792"/>
      <c r="C14" s="1793"/>
      <c r="D14" s="1794" t="s">
        <v>522</v>
      </c>
      <c r="E14" s="1795" t="s">
        <v>1015</v>
      </c>
      <c r="F14" s="1796">
        <f>SUM(F8:F13)</f>
        <v>15212900</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4">
        <f>'Revenues 9-14'!F43</f>
        <v>0</v>
      </c>
      <c r="G18" s="865"/>
    </row>
    <row r="19" spans="1:7" x14ac:dyDescent="0.2">
      <c r="A19" s="869" t="s">
        <v>481</v>
      </c>
      <c r="B19" s="870" t="s">
        <v>1069</v>
      </c>
      <c r="C19" s="877">
        <f>'Revenues 9-14'!B47</f>
        <v>1421</v>
      </c>
      <c r="D19" s="878" t="str">
        <f>'Revenues 9-14'!A47</f>
        <v>Summer Sch - Transp. Fees from Pupils or Parents (In State)</v>
      </c>
      <c r="E19" s="879"/>
      <c r="F19" s="1935">
        <f>'Revenues 9-14'!F47</f>
        <v>0</v>
      </c>
      <c r="G19" s="865"/>
    </row>
    <row r="20" spans="1:7" x14ac:dyDescent="0.2">
      <c r="A20" s="869" t="s">
        <v>481</v>
      </c>
      <c r="B20" s="870" t="s">
        <v>1070</v>
      </c>
      <c r="C20" s="875">
        <f>'Revenues 9-14'!B48</f>
        <v>1422</v>
      </c>
      <c r="D20" s="876" t="str">
        <f>'Revenues 9-14'!A48</f>
        <v>Summer Sch - Transp. Fees from Other Districts (In State)</v>
      </c>
      <c r="E20" s="868"/>
      <c r="F20" s="1936">
        <f>'Revenues 9-14'!F48</f>
        <v>0</v>
      </c>
      <c r="G20" s="865"/>
    </row>
    <row r="21" spans="1:7" x14ac:dyDescent="0.2">
      <c r="A21" s="869" t="s">
        <v>481</v>
      </c>
      <c r="B21" s="870" t="s">
        <v>1071</v>
      </c>
      <c r="C21" s="877">
        <f>'Revenues 9-14'!B49</f>
        <v>1423</v>
      </c>
      <c r="D21" s="876" t="str">
        <f>'Revenues 9-14'!A49</f>
        <v>Summer Sch - Transp. Fees from Other Sources (In State)</v>
      </c>
      <c r="E21" s="868"/>
      <c r="F21" s="1937">
        <f>'Revenues 9-14'!F49</f>
        <v>0</v>
      </c>
      <c r="G21" s="865"/>
    </row>
    <row r="22" spans="1:7" x14ac:dyDescent="0.2">
      <c r="A22" s="869" t="s">
        <v>481</v>
      </c>
      <c r="B22" s="870" t="s">
        <v>1072</v>
      </c>
      <c r="C22" s="877">
        <f>'Revenues 9-14'!B50</f>
        <v>1424</v>
      </c>
      <c r="D22" s="876" t="str">
        <f>'Revenues 9-14'!A50</f>
        <v>Summer Sch - Transp. Fees from Other Sources (Out of State)</v>
      </c>
      <c r="E22" s="868"/>
      <c r="F22" s="1937">
        <f>'Revenues 9-14'!F50</f>
        <v>0</v>
      </c>
      <c r="G22" s="865"/>
    </row>
    <row r="23" spans="1:7" x14ac:dyDescent="0.2">
      <c r="A23" s="869" t="s">
        <v>481</v>
      </c>
      <c r="B23" s="870" t="s">
        <v>1073</v>
      </c>
      <c r="C23" s="875">
        <f>'Revenues 9-14'!B52</f>
        <v>1432</v>
      </c>
      <c r="D23" s="876" t="str">
        <f>'Revenues 9-14'!A52</f>
        <v>CTE - Transp Fees from Other Districts (In State)</v>
      </c>
      <c r="E23" s="868"/>
      <c r="F23" s="1937">
        <f>'Revenues 9-14'!F52</f>
        <v>0</v>
      </c>
      <c r="G23" s="865"/>
    </row>
    <row r="24" spans="1:7" x14ac:dyDescent="0.2">
      <c r="A24" s="869" t="s">
        <v>481</v>
      </c>
      <c r="B24" s="870" t="s">
        <v>1074</v>
      </c>
      <c r="C24" s="875">
        <f>'Revenues 9-14'!B56</f>
        <v>1442</v>
      </c>
      <c r="D24" s="876" t="str">
        <f>'Revenues 9-14'!A56</f>
        <v>Special Ed - Transp Fees from Other Districts (In State)</v>
      </c>
      <c r="E24" s="868"/>
      <c r="F24" s="1937">
        <f>'Revenues 9-14'!F56</f>
        <v>0</v>
      </c>
      <c r="G24" s="865"/>
    </row>
    <row r="25" spans="1:7" x14ac:dyDescent="0.2">
      <c r="A25" s="869" t="s">
        <v>481</v>
      </c>
      <c r="B25" s="870" t="s">
        <v>1075</v>
      </c>
      <c r="C25" s="875">
        <f>'Revenues 9-14'!B59</f>
        <v>1451</v>
      </c>
      <c r="D25" s="876" t="str">
        <f>'Revenues 9-14'!A59</f>
        <v>Adult - Transp Fees from Pupils or Parents (In State)</v>
      </c>
      <c r="E25" s="868"/>
      <c r="F25" s="1937">
        <f>'Revenues 9-14'!F59</f>
        <v>0</v>
      </c>
      <c r="G25" s="865"/>
    </row>
    <row r="26" spans="1:7" x14ac:dyDescent="0.2">
      <c r="A26" s="869" t="s">
        <v>481</v>
      </c>
      <c r="B26" s="870" t="s">
        <v>1076</v>
      </c>
      <c r="C26" s="875">
        <f>'Revenues 9-14'!B60</f>
        <v>1452</v>
      </c>
      <c r="D26" s="876" t="str">
        <f>'Revenues 9-14'!A60</f>
        <v>Adult - Transp Fees from Other Districts (In State)</v>
      </c>
      <c r="E26" s="868"/>
      <c r="F26" s="1937">
        <f>'Revenues 9-14'!F60</f>
        <v>0</v>
      </c>
      <c r="G26" s="865"/>
    </row>
    <row r="27" spans="1:7" x14ac:dyDescent="0.2">
      <c r="A27" s="869" t="s">
        <v>481</v>
      </c>
      <c r="B27" s="870" t="s">
        <v>1077</v>
      </c>
      <c r="C27" s="875">
        <f>'Revenues 9-14'!B61</f>
        <v>1453</v>
      </c>
      <c r="D27" s="876" t="str">
        <f>'Revenues 9-14'!A61</f>
        <v>Adult - Transp Fees from Other Sources (In State)</v>
      </c>
      <c r="E27" s="868"/>
      <c r="F27" s="1937">
        <f>'Revenues 9-14'!F61</f>
        <v>0</v>
      </c>
      <c r="G27" s="865"/>
    </row>
    <row r="28" spans="1:7" x14ac:dyDescent="0.2">
      <c r="A28" s="869" t="s">
        <v>481</v>
      </c>
      <c r="B28" s="870" t="s">
        <v>1078</v>
      </c>
      <c r="C28" s="875">
        <f>'Revenues 9-14'!B62</f>
        <v>1454</v>
      </c>
      <c r="D28" s="876" t="str">
        <f>'Revenues 9-14'!A62</f>
        <v>Adult - Transp Fees from Other Sources (Out of State)</v>
      </c>
      <c r="E28" s="868"/>
      <c r="F28" s="1937">
        <f>'Revenues 9-14'!F62</f>
        <v>0</v>
      </c>
      <c r="G28" s="865"/>
    </row>
    <row r="29" spans="1:7" x14ac:dyDescent="0.2">
      <c r="A29" s="869" t="s">
        <v>1159</v>
      </c>
      <c r="B29" s="870" t="s">
        <v>1683</v>
      </c>
      <c r="C29" s="880">
        <f>'Revenues 9-14'!B148</f>
        <v>3410</v>
      </c>
      <c r="D29" s="881" t="str">
        <f>'Revenues 9-14'!A148</f>
        <v>Adult Ed (from ICCB)</v>
      </c>
      <c r="E29" s="868"/>
      <c r="F29" s="1937">
        <f>SUM('Revenues 9-14'!D148,F149)</f>
        <v>0</v>
      </c>
      <c r="G29" s="865"/>
    </row>
    <row r="30" spans="1:7" x14ac:dyDescent="0.2">
      <c r="A30" s="869" t="s">
        <v>1159</v>
      </c>
      <c r="B30" s="870" t="s">
        <v>861</v>
      </c>
      <c r="C30" s="880">
        <f>'Revenues 9-14'!B149</f>
        <v>3499</v>
      </c>
      <c r="D30" s="881" t="str">
        <f>'Revenues 9-14'!A149</f>
        <v>Adult Ed - Other (Describe &amp; Itemize)</v>
      </c>
      <c r="E30" s="868"/>
      <c r="F30" s="1938">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7">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7">
        <f>SUM('Revenues 9-14'!D219,'Revenues 9-14'!F219)</f>
        <v>0</v>
      </c>
      <c r="G32" s="865"/>
    </row>
    <row r="33" spans="1:7" x14ac:dyDescent="0.2">
      <c r="A33" s="869" t="s">
        <v>480</v>
      </c>
      <c r="B33" s="870" t="s">
        <v>801</v>
      </c>
      <c r="C33" s="875">
        <f>'Revenues 9-14'!B229</f>
        <v>4810</v>
      </c>
      <c r="D33" s="883" t="str">
        <f>'Revenues 9-14'!A229</f>
        <v>Federal - Adult Education</v>
      </c>
      <c r="E33" s="868"/>
      <c r="F33" s="1937">
        <f>'Revenues 9-14'!D229</f>
        <v>0</v>
      </c>
      <c r="G33" s="865"/>
    </row>
    <row r="34" spans="1:7" x14ac:dyDescent="0.2">
      <c r="A34" s="869" t="s">
        <v>479</v>
      </c>
      <c r="B34" s="869" t="s">
        <v>1545</v>
      </c>
      <c r="C34" s="886" t="str">
        <f>'Expenditures 15-22'!B7</f>
        <v>1125</v>
      </c>
      <c r="D34" s="887" t="str">
        <f>'Expenditures 15-22'!A7</f>
        <v>Pre-K Programs</v>
      </c>
      <c r="E34" s="868"/>
      <c r="F34" s="1937">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7">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7">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7">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7">
        <f>'Expenditures 15-22'!K15-SUM('Expenditures 15-22'!G15,'Expenditures 15-22'!I15)</f>
        <v>1325</v>
      </c>
      <c r="G38" s="865"/>
    </row>
    <row r="39" spans="1:7" x14ac:dyDescent="0.2">
      <c r="A39" s="869" t="s">
        <v>479</v>
      </c>
      <c r="B39" s="869" t="s">
        <v>119</v>
      </c>
      <c r="C39" s="886" t="str">
        <f>'Expenditures 15-22'!B20</f>
        <v>1910</v>
      </c>
      <c r="D39" s="888" t="str">
        <f>'Expenditures 15-22'!A20</f>
        <v>Pre-K Programs - Private Tuition</v>
      </c>
      <c r="E39" s="868"/>
      <c r="F39" s="1937">
        <f>'Expenditures 15-22'!K20</f>
        <v>0</v>
      </c>
      <c r="G39" s="865"/>
    </row>
    <row r="40" spans="1:7" x14ac:dyDescent="0.2">
      <c r="A40" s="869" t="s">
        <v>479</v>
      </c>
      <c r="B40" s="869" t="s">
        <v>120</v>
      </c>
      <c r="C40" s="886" t="str">
        <f>'Expenditures 15-22'!B21</f>
        <v>1911</v>
      </c>
      <c r="D40" s="888" t="str">
        <f>'Expenditures 15-22'!A21</f>
        <v>Regular K-12 Programs - Private Tuition</v>
      </c>
      <c r="E40" s="868"/>
      <c r="F40" s="1937">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7">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7">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7">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7">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7">
        <f>'Expenditures 15-22'!K26</f>
        <v>0</v>
      </c>
      <c r="G45" s="865"/>
    </row>
    <row r="46" spans="1:7" x14ac:dyDescent="0.2">
      <c r="A46" s="869" t="s">
        <v>479</v>
      </c>
      <c r="B46" s="869" t="s">
        <v>126</v>
      </c>
      <c r="C46" s="886" t="str">
        <f>'Expenditures 15-22'!B27</f>
        <v>1917</v>
      </c>
      <c r="D46" s="888" t="str">
        <f>'Expenditures 15-22'!A27</f>
        <v>CTE Programs - Private Tuition</v>
      </c>
      <c r="E46" s="868"/>
      <c r="F46" s="1937">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7">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7">
        <f>'Expenditures 15-22'!K29</f>
        <v>0</v>
      </c>
      <c r="G48" s="865"/>
    </row>
    <row r="49" spans="1:7" x14ac:dyDescent="0.2">
      <c r="A49" s="869" t="s">
        <v>479</v>
      </c>
      <c r="B49" s="869" t="s">
        <v>129</v>
      </c>
      <c r="C49" s="886" t="str">
        <f>'Expenditures 15-22'!B30</f>
        <v>1920</v>
      </c>
      <c r="D49" s="888" t="str">
        <f>'Expenditures 15-22'!A30</f>
        <v>Gifted Programs - Private Tuition</v>
      </c>
      <c r="E49" s="868"/>
      <c r="F49" s="1937">
        <f>'Expenditures 15-22'!K30</f>
        <v>0</v>
      </c>
      <c r="G49" s="865"/>
    </row>
    <row r="50" spans="1:7" x14ac:dyDescent="0.2">
      <c r="A50" s="869" t="s">
        <v>479</v>
      </c>
      <c r="B50" s="869" t="s">
        <v>130</v>
      </c>
      <c r="C50" s="886" t="str">
        <f>'Expenditures 15-22'!B31</f>
        <v>1921</v>
      </c>
      <c r="D50" s="888" t="str">
        <f>'Expenditures 15-22'!A31</f>
        <v>Bilingual Programs - Private Tuition</v>
      </c>
      <c r="E50" s="868"/>
      <c r="F50" s="1937">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7">
        <f>'Expenditures 15-22'!K32</f>
        <v>0</v>
      </c>
      <c r="G51" s="865"/>
    </row>
    <row r="52" spans="1:7" x14ac:dyDescent="0.2">
      <c r="A52" s="869" t="s">
        <v>479</v>
      </c>
      <c r="B52" s="869" t="s">
        <v>1550</v>
      </c>
      <c r="C52" s="889" t="str">
        <f>'Expenditures 15-22'!B75</f>
        <v>3000</v>
      </c>
      <c r="D52" s="888" t="s">
        <v>469</v>
      </c>
      <c r="E52" s="868"/>
      <c r="F52" s="1937">
        <f>'Expenditures 15-22'!K75-SUM('Expenditures 15-22'!G75,'Expenditures 15-22'!I75)</f>
        <v>18148</v>
      </c>
      <c r="G52" s="865"/>
    </row>
    <row r="53" spans="1:7" x14ac:dyDescent="0.2">
      <c r="A53" s="869" t="s">
        <v>479</v>
      </c>
      <c r="B53" s="869" t="s">
        <v>1551</v>
      </c>
      <c r="C53" s="889">
        <f>'Expenditures 15-22'!B102</f>
        <v>4000</v>
      </c>
      <c r="D53" s="888" t="str">
        <f>'Expenditures 15-22'!A102</f>
        <v>Total Payments to Other Govt Units</v>
      </c>
      <c r="E53" s="868"/>
      <c r="F53" s="1937">
        <f>'Expenditures 15-22'!K102</f>
        <v>1234453</v>
      </c>
      <c r="G53" s="865"/>
    </row>
    <row r="54" spans="1:7" x14ac:dyDescent="0.2">
      <c r="A54" s="869" t="s">
        <v>479</v>
      </c>
      <c r="B54" s="869" t="s">
        <v>1552</v>
      </c>
      <c r="C54" s="889" t="s">
        <v>1039</v>
      </c>
      <c r="D54" s="885" t="s">
        <v>1157</v>
      </c>
      <c r="E54" s="868"/>
      <c r="F54" s="1937">
        <f>'Expenditures 15-22'!G114</f>
        <v>559007</v>
      </c>
      <c r="G54" s="865"/>
    </row>
    <row r="55" spans="1:7" x14ac:dyDescent="0.2">
      <c r="A55" s="869" t="s">
        <v>479</v>
      </c>
      <c r="B55" s="869" t="s">
        <v>1553</v>
      </c>
      <c r="C55" s="889" t="s">
        <v>1039</v>
      </c>
      <c r="D55" s="885" t="s">
        <v>309</v>
      </c>
      <c r="E55" s="868"/>
      <c r="F55" s="1937">
        <f>'Expenditures 15-22'!I114</f>
        <v>7105</v>
      </c>
      <c r="G55" s="865"/>
    </row>
    <row r="56" spans="1:7" x14ac:dyDescent="0.2">
      <c r="A56" s="869" t="s">
        <v>480</v>
      </c>
      <c r="B56" s="869" t="s">
        <v>1554</v>
      </c>
      <c r="C56" s="886" t="str">
        <f>'Expenditures 15-22'!B130</f>
        <v>3000</v>
      </c>
      <c r="D56" s="892" t="s">
        <v>469</v>
      </c>
      <c r="E56" s="868"/>
      <c r="F56" s="1937">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7">
        <f>'Expenditures 15-22'!K139</f>
        <v>0</v>
      </c>
      <c r="G57" s="865"/>
    </row>
    <row r="58" spans="1:7" x14ac:dyDescent="0.2">
      <c r="A58" s="869" t="s">
        <v>480</v>
      </c>
      <c r="B58" s="869" t="s">
        <v>1995</v>
      </c>
      <c r="C58" s="886" t="s">
        <v>1039</v>
      </c>
      <c r="D58" s="885" t="s">
        <v>1157</v>
      </c>
      <c r="E58" s="868"/>
      <c r="F58" s="1939">
        <f>'Expenditures 15-22'!G151</f>
        <v>1005674</v>
      </c>
      <c r="G58" s="865"/>
    </row>
    <row r="59" spans="1:7" x14ac:dyDescent="0.2">
      <c r="A59" s="893" t="s">
        <v>480</v>
      </c>
      <c r="B59" s="856" t="s">
        <v>1996</v>
      </c>
      <c r="C59" s="894" t="s">
        <v>1039</v>
      </c>
      <c r="D59" s="856" t="s">
        <v>309</v>
      </c>
      <c r="F59" s="1940">
        <f>'Expenditures 15-22'!I151</f>
        <v>44466</v>
      </c>
      <c r="G59" s="865"/>
    </row>
    <row r="60" spans="1:7" x14ac:dyDescent="0.2">
      <c r="A60" s="893" t="s">
        <v>520</v>
      </c>
      <c r="B60" s="856" t="s">
        <v>1997</v>
      </c>
      <c r="C60" s="894">
        <v>4000</v>
      </c>
      <c r="D60" s="856" t="s">
        <v>330</v>
      </c>
      <c r="F60" s="1938">
        <f>'Expenditures 15-22'!K160</f>
        <v>0</v>
      </c>
      <c r="G60" s="865"/>
    </row>
    <row r="61" spans="1:7" x14ac:dyDescent="0.2">
      <c r="A61" s="895" t="s">
        <v>520</v>
      </c>
      <c r="B61" s="895" t="s">
        <v>1998</v>
      </c>
      <c r="C61" s="896" t="str">
        <f>'Expenditures 15-22'!B170</f>
        <v>5300</v>
      </c>
      <c r="D61" s="897" t="s">
        <v>329</v>
      </c>
      <c r="E61" s="879"/>
      <c r="F61" s="1937">
        <f>'Expenditures 15-22'!K170</f>
        <v>252252</v>
      </c>
      <c r="G61" s="865"/>
    </row>
    <row r="62" spans="1:7" x14ac:dyDescent="0.2">
      <c r="A62" s="869" t="s">
        <v>481</v>
      </c>
      <c r="B62" s="869" t="s">
        <v>1999</v>
      </c>
      <c r="C62" s="886">
        <f>'Expenditures 15-22'!B185</f>
        <v>3000</v>
      </c>
      <c r="D62" s="876" t="s">
        <v>469</v>
      </c>
      <c r="E62" s="868"/>
      <c r="F62" s="1937">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7">
        <f>'Expenditures 15-22'!K196</f>
        <v>0</v>
      </c>
      <c r="G63" s="865"/>
    </row>
    <row r="64" spans="1:7" x14ac:dyDescent="0.2">
      <c r="A64" s="895" t="s">
        <v>481</v>
      </c>
      <c r="B64" s="895" t="s">
        <v>2001</v>
      </c>
      <c r="C64" s="896" t="str">
        <f>'Expenditures 15-22'!B206</f>
        <v>5300</v>
      </c>
      <c r="D64" s="892" t="s">
        <v>329</v>
      </c>
      <c r="E64" s="868"/>
      <c r="F64" s="1937">
        <f>'Expenditures 15-22'!K206</f>
        <v>0</v>
      </c>
      <c r="G64" s="865"/>
    </row>
    <row r="65" spans="1:8" x14ac:dyDescent="0.2">
      <c r="A65" s="869" t="s">
        <v>481</v>
      </c>
      <c r="B65" s="869" t="s">
        <v>2002</v>
      </c>
      <c r="C65" s="886" t="s">
        <v>1039</v>
      </c>
      <c r="D65" s="885" t="s">
        <v>1157</v>
      </c>
      <c r="E65" s="868"/>
      <c r="F65" s="1937">
        <f>'Expenditures 15-22'!G210</f>
        <v>0</v>
      </c>
      <c r="G65" s="865"/>
    </row>
    <row r="66" spans="1:8" x14ac:dyDescent="0.2">
      <c r="A66" s="869" t="s">
        <v>481</v>
      </c>
      <c r="B66" s="869" t="s">
        <v>2003</v>
      </c>
      <c r="C66" s="886" t="s">
        <v>1039</v>
      </c>
      <c r="D66" s="885" t="s">
        <v>309</v>
      </c>
      <c r="E66" s="868"/>
      <c r="F66" s="1937">
        <f>'Expenditures 15-22'!I210</f>
        <v>0</v>
      </c>
      <c r="G66" s="865"/>
    </row>
    <row r="67" spans="1:8" x14ac:dyDescent="0.2">
      <c r="A67" s="869" t="s">
        <v>482</v>
      </c>
      <c r="B67" s="869" t="s">
        <v>2004</v>
      </c>
      <c r="C67" s="886" t="str">
        <f>'Expenditures 15-22'!B216</f>
        <v>1125</v>
      </c>
      <c r="D67" s="892" t="str">
        <f>'Expenditures 15-22'!A216</f>
        <v>Pre-K Programs</v>
      </c>
      <c r="E67" s="868"/>
      <c r="F67" s="1937">
        <f>'Expenditures 15-22'!K216</f>
        <v>0</v>
      </c>
      <c r="G67" s="865"/>
    </row>
    <row r="68" spans="1:8" x14ac:dyDescent="0.2">
      <c r="A68" s="869" t="s">
        <v>482</v>
      </c>
      <c r="B68" s="869" t="s">
        <v>1555</v>
      </c>
      <c r="C68" s="886" t="str">
        <f>'Expenditures 15-22'!B218</f>
        <v>1225</v>
      </c>
      <c r="D68" s="892" t="str">
        <f>'Expenditures 15-22'!A218</f>
        <v>Special Education Programs - Pre-K</v>
      </c>
      <c r="E68" s="868"/>
      <c r="F68" s="1937">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7">
        <f>'Expenditures 15-22'!K220</f>
        <v>0</v>
      </c>
      <c r="G69" s="865"/>
    </row>
    <row r="70" spans="1:8" x14ac:dyDescent="0.2">
      <c r="A70" s="869" t="s">
        <v>482</v>
      </c>
      <c r="B70" s="869" t="s">
        <v>2006</v>
      </c>
      <c r="C70" s="886">
        <f>'Expenditures 15-22'!B221</f>
        <v>1300</v>
      </c>
      <c r="D70" s="887" t="str">
        <f>'Expenditures 15-22'!A221</f>
        <v>Adult/Continuing Education Programs</v>
      </c>
      <c r="E70" s="868"/>
      <c r="F70" s="1937">
        <f>'Expenditures 15-22'!K221</f>
        <v>0</v>
      </c>
      <c r="G70" s="865"/>
    </row>
    <row r="71" spans="1:8" x14ac:dyDescent="0.2">
      <c r="A71" s="869" t="s">
        <v>482</v>
      </c>
      <c r="B71" s="869" t="s">
        <v>2007</v>
      </c>
      <c r="C71" s="886">
        <f>'Expenditures 15-22'!B224</f>
        <v>1600</v>
      </c>
      <c r="D71" s="887" t="str">
        <f>'Expenditures 15-22'!A224</f>
        <v>Summer School Programs</v>
      </c>
      <c r="E71" s="868"/>
      <c r="F71" s="1937">
        <f>'Expenditures 15-22'!K224</f>
        <v>11</v>
      </c>
      <c r="G71" s="865"/>
    </row>
    <row r="72" spans="1:8" x14ac:dyDescent="0.2">
      <c r="A72" s="869" t="s">
        <v>482</v>
      </c>
      <c r="B72" s="869" t="s">
        <v>2008</v>
      </c>
      <c r="C72" s="886">
        <f>'Expenditures 15-22'!B280</f>
        <v>3000</v>
      </c>
      <c r="D72" s="876" t="s">
        <v>469</v>
      </c>
      <c r="E72" s="868"/>
      <c r="F72" s="1937">
        <f>'Expenditures 15-22'!K280</f>
        <v>218</v>
      </c>
      <c r="G72" s="865"/>
    </row>
    <row r="73" spans="1:8" x14ac:dyDescent="0.2">
      <c r="A73" s="869" t="s">
        <v>482</v>
      </c>
      <c r="B73" s="869" t="s">
        <v>2009</v>
      </c>
      <c r="C73" s="886" t="str">
        <f>'Expenditures 15-22'!B285</f>
        <v>4000</v>
      </c>
      <c r="D73" s="887" t="str">
        <f>'Expenditures 15-22'!A285</f>
        <v>Total Payments to Other Govt Units</v>
      </c>
      <c r="E73" s="868"/>
      <c r="F73" s="1937">
        <f>'Expenditures 15-22'!K285</f>
        <v>0</v>
      </c>
      <c r="G73" s="865"/>
    </row>
    <row r="74" spans="1:8" x14ac:dyDescent="0.2">
      <c r="A74" s="869" t="s">
        <v>456</v>
      </c>
      <c r="B74" s="869" t="s">
        <v>2010</v>
      </c>
      <c r="C74" s="886" t="s">
        <v>915</v>
      </c>
      <c r="D74" s="887" t="s">
        <v>1567</v>
      </c>
      <c r="E74" s="868"/>
      <c r="F74" s="1941">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3122659</v>
      </c>
      <c r="G76" s="865"/>
    </row>
    <row r="77" spans="1:8" s="893" customFormat="1" ht="12" customHeight="1" thickTop="1" thickBot="1" x14ac:dyDescent="0.25">
      <c r="A77" s="1800"/>
      <c r="B77" s="1797"/>
      <c r="C77" s="1793"/>
      <c r="D77" s="1798" t="s">
        <v>2012</v>
      </c>
      <c r="E77" s="1795"/>
      <c r="F77" s="1801">
        <f>(F14-F76)</f>
        <v>12090241</v>
      </c>
      <c r="G77" s="869"/>
    </row>
    <row r="78" spans="1:8" s="893" customFormat="1" ht="12" customHeight="1" thickTop="1" x14ac:dyDescent="0.2">
      <c r="A78" s="1802"/>
      <c r="B78" s="1797"/>
      <c r="C78" s="1793"/>
      <c r="D78" s="1798" t="s">
        <v>2059</v>
      </c>
      <c r="E78" s="1795"/>
      <c r="F78" s="898">
        <v>1012.4</v>
      </c>
      <c r="G78" s="899"/>
      <c r="H78" s="869"/>
    </row>
    <row r="79" spans="1:8" s="893" customFormat="1" ht="12" customHeight="1" thickBot="1" x14ac:dyDescent="0.25">
      <c r="A79" s="1803"/>
      <c r="B79" s="1797"/>
      <c r="C79" s="1793"/>
      <c r="D79" s="1798" t="s">
        <v>2013</v>
      </c>
      <c r="E79" s="1795" t="s">
        <v>1015</v>
      </c>
      <c r="F79" s="1804">
        <f>IF(F78&gt;0,F77/F78," Complete Line 78")</f>
        <v>11942.158237850652</v>
      </c>
      <c r="G79" s="869"/>
    </row>
    <row r="80" spans="1:8" s="893" customFormat="1" ht="8.25" customHeight="1" thickTop="1" x14ac:dyDescent="0.2">
      <c r="A80" s="900"/>
      <c r="B80" s="869"/>
      <c r="C80" s="871"/>
      <c r="D80" s="901"/>
      <c r="E80" s="868"/>
      <c r="F80" s="902"/>
      <c r="G80" s="869"/>
    </row>
    <row r="81" spans="1:7" s="893" customFormat="1" ht="12" thickBot="1" x14ac:dyDescent="0.25">
      <c r="A81" s="2272" t="s">
        <v>1167</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1">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0</v>
      </c>
      <c r="G94" s="912"/>
    </row>
    <row r="95" spans="1:7" x14ac:dyDescent="0.2">
      <c r="A95" s="908" t="s">
        <v>142</v>
      </c>
      <c r="B95" s="908" t="s">
        <v>177</v>
      </c>
      <c r="C95" s="910">
        <v>1700</v>
      </c>
      <c r="D95" s="918" t="str">
        <f>'Revenues 9-14'!A82</f>
        <v>Total District/School Activity Income</v>
      </c>
      <c r="E95" s="906"/>
      <c r="F95" s="1810">
        <f>SUM('Revenues 9-14'!C82,'Revenues 9-14'!D82)</f>
        <v>54227</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130000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254354</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25509</v>
      </c>
      <c r="G107" s="912"/>
    </row>
    <row r="108" spans="1:7" x14ac:dyDescent="0.2">
      <c r="A108" s="908" t="s">
        <v>479</v>
      </c>
      <c r="B108" s="908" t="s">
        <v>844</v>
      </c>
      <c r="C108" s="920">
        <f>'Revenues 9-14'!B145</f>
        <v>3360</v>
      </c>
      <c r="D108" s="911" t="str">
        <f>'Revenues 9-14'!A145</f>
        <v>State Free Lunch &amp; Breakfast</v>
      </c>
      <c r="E108" s="906"/>
      <c r="F108" s="1810">
        <f>'Revenues 9-14'!C145</f>
        <v>8074</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238667</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0">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1">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1">
        <f>SUM('Revenues 9-14'!C166:G166)</f>
        <v>0</v>
      </c>
      <c r="G122" s="912"/>
    </row>
    <row r="123" spans="1:7" x14ac:dyDescent="0.2">
      <c r="A123" s="923" t="s">
        <v>525</v>
      </c>
      <c r="B123" s="923" t="s">
        <v>853</v>
      </c>
      <c r="C123" s="924">
        <f>'Revenues 9-14'!B167</f>
        <v>3815</v>
      </c>
      <c r="D123" s="925" t="str">
        <f>'Revenues 9-14'!A167</f>
        <v>State Charter Schools</v>
      </c>
      <c r="E123" s="906"/>
      <c r="F123" s="1931">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378220</v>
      </c>
      <c r="G129" s="930"/>
    </row>
    <row r="130" spans="1:7" x14ac:dyDescent="0.2">
      <c r="A130" s="927" t="s">
        <v>689</v>
      </c>
      <c r="B130" s="927" t="s">
        <v>804</v>
      </c>
      <c r="C130" s="932">
        <v>4300</v>
      </c>
      <c r="D130" s="933" t="str">
        <f>'Revenues 9-14'!A211</f>
        <v>Total Title I</v>
      </c>
      <c r="E130" s="906"/>
      <c r="F130" s="1810">
        <f>SUM('Revenues 9-14'!C211,'Revenues 9-14'!D211,'Revenues 9-14'!F211,'Revenues 9-14'!G211)</f>
        <v>233241</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160228</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4213</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1">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47028</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1">
        <f>SUM('Revenues 9-14'!C267:D267,'Revenues 9-14'!F267,'Revenues 9-14'!G267)</f>
        <v>8817</v>
      </c>
      <c r="G169" s="930"/>
    </row>
    <row r="170" spans="1:7" x14ac:dyDescent="0.2">
      <c r="A170" s="927" t="s">
        <v>689</v>
      </c>
      <c r="B170" s="927" t="s">
        <v>709</v>
      </c>
      <c r="C170" s="932">
        <f>'Revenues 9-14'!B268</f>
        <v>4932</v>
      </c>
      <c r="D170" s="933" t="str">
        <f>'Revenues 9-14'!A268</f>
        <v>Title II - Teacher Quality</v>
      </c>
      <c r="E170" s="906"/>
      <c r="F170" s="1931">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19205</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52898</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2" t="s">
        <v>5</v>
      </c>
      <c r="B175" s="1943" t="s">
        <v>2058</v>
      </c>
      <c r="C175" s="1944">
        <v>3100</v>
      </c>
      <c r="D175" s="1945" t="s">
        <v>2061</v>
      </c>
      <c r="E175" s="906"/>
      <c r="F175" s="1929"/>
      <c r="G175" s="927"/>
    </row>
    <row r="176" spans="1:7" x14ac:dyDescent="0.2">
      <c r="A176" s="1942" t="s">
        <v>685</v>
      </c>
      <c r="B176" s="1943" t="s">
        <v>2058</v>
      </c>
      <c r="C176" s="1944">
        <v>3300</v>
      </c>
      <c r="D176" s="1945" t="s">
        <v>2062</v>
      </c>
      <c r="E176" s="906"/>
      <c r="F176" s="1929"/>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1614681</v>
      </c>
    </row>
    <row r="179" spans="1:7" ht="12" customHeight="1" x14ac:dyDescent="0.2">
      <c r="A179" s="1791"/>
      <c r="B179" s="1805"/>
      <c r="C179" s="1806"/>
      <c r="D179" s="1807" t="s">
        <v>2015</v>
      </c>
      <c r="E179" s="1808"/>
      <c r="F179" s="1810">
        <f>'PCTC-OEPP 27-28'!F77-F178</f>
        <v>10475560</v>
      </c>
    </row>
    <row r="180" spans="1:7" ht="12" customHeight="1" x14ac:dyDescent="0.2">
      <c r="A180" s="1791"/>
      <c r="B180" s="1805"/>
      <c r="C180" s="1806"/>
      <c r="D180" s="1807" t="s">
        <v>1924</v>
      </c>
      <c r="E180" s="1808"/>
      <c r="F180" s="1810">
        <f>'Cap Outlay Deprec 26'!I18</f>
        <v>339610.1</v>
      </c>
    </row>
    <row r="181" spans="1:7" ht="12" customHeight="1" x14ac:dyDescent="0.2">
      <c r="A181" s="1791"/>
      <c r="B181" s="1805"/>
      <c r="C181" s="1806"/>
      <c r="D181" s="1807" t="s">
        <v>2016</v>
      </c>
      <c r="E181" s="1808"/>
      <c r="F181" s="1810">
        <f>F179+F180</f>
        <v>10815170.1</v>
      </c>
    </row>
    <row r="182" spans="1:7" ht="12" customHeight="1" x14ac:dyDescent="0.2">
      <c r="A182" s="1791"/>
      <c r="B182" s="1811"/>
      <c r="C182" s="1806"/>
      <c r="D182" s="1807" t="str">
        <f>D78</f>
        <v>9 Month ADA from District Average Daily Attendance/Prior General State Aid Inquiry 2017-2018</v>
      </c>
      <c r="E182" s="1808"/>
      <c r="F182" s="1812">
        <f>'PCTC-OEPP 27-28'!F78</f>
        <v>1012.4</v>
      </c>
      <c r="G182" s="930"/>
    </row>
    <row r="183" spans="1:7" ht="12" customHeight="1" thickBot="1" x14ac:dyDescent="0.25">
      <c r="A183" s="1791"/>
      <c r="B183" s="1811"/>
      <c r="C183" s="1806"/>
      <c r="D183" s="1807" t="s">
        <v>2017</v>
      </c>
      <c r="E183" s="1808" t="s">
        <v>1626</v>
      </c>
      <c r="F183" s="1813">
        <f>F181/F182</f>
        <v>10682.70456341367</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9"/>
      <c r="D188" s="930"/>
      <c r="E188" s="949"/>
      <c r="F188" s="930"/>
      <c r="G188" s="930"/>
    </row>
    <row r="189" spans="1:7" x14ac:dyDescent="0.2">
      <c r="A189" s="1950" t="s">
        <v>2064</v>
      </c>
      <c r="B189" s="1951"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3" customWidth="1"/>
    <col min="2" max="2" width="16.42578125" style="1564" bestFit="1" customWidth="1"/>
    <col min="3" max="3" width="33.5703125" style="1564" customWidth="1"/>
    <col min="4" max="4" width="16.42578125" style="1565" customWidth="1"/>
    <col min="5" max="5" width="0.140625" style="1565" hidden="1" customWidth="1"/>
    <col min="6" max="6" width="23.5703125" style="1565" customWidth="1"/>
    <col min="7" max="7" width="23.425781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5" t="s">
        <v>1926</v>
      </c>
      <c r="B6" s="1556"/>
      <c r="C6" s="1556"/>
      <c r="D6" s="1556"/>
      <c r="E6" s="1556"/>
      <c r="F6" s="1556"/>
      <c r="G6" s="1557"/>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8" t="s">
        <v>1927</v>
      </c>
      <c r="B10" s="1559"/>
      <c r="C10" s="1559"/>
      <c r="D10" s="1559"/>
      <c r="E10" s="1559"/>
      <c r="F10" s="1559"/>
      <c r="G10" s="1560"/>
    </row>
    <row r="11" spans="1:7" ht="17.25" customHeight="1" x14ac:dyDescent="0.25">
      <c r="A11" s="2292" t="s">
        <v>1941</v>
      </c>
      <c r="B11" s="2293"/>
      <c r="C11" s="2293"/>
      <c r="D11" s="2293"/>
      <c r="E11" s="2293"/>
      <c r="F11" s="2293"/>
      <c r="G11" s="2294"/>
    </row>
    <row r="12" spans="1:7" ht="15" customHeight="1" x14ac:dyDescent="0.25">
      <c r="A12" s="1558" t="s">
        <v>1932</v>
      </c>
      <c r="B12" s="1559"/>
      <c r="C12" s="1559"/>
      <c r="D12" s="1559"/>
      <c r="E12" s="1559"/>
      <c r="F12" s="1559"/>
      <c r="G12" s="1560"/>
    </row>
    <row r="13" spans="1:7" ht="32.25" customHeight="1" x14ac:dyDescent="0.25">
      <c r="A13" s="2283" t="s">
        <v>1933</v>
      </c>
      <c r="B13" s="2284"/>
      <c r="C13" s="2284"/>
      <c r="D13" s="2284"/>
      <c r="E13" s="2284"/>
      <c r="F13" s="2284"/>
      <c r="G13" s="2285"/>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t="30" x14ac:dyDescent="0.25">
      <c r="A17" s="1954" t="s">
        <v>2117</v>
      </c>
      <c r="B17" s="1955" t="s">
        <v>2137</v>
      </c>
      <c r="C17" s="1956" t="s">
        <v>2123</v>
      </c>
      <c r="D17" s="1866">
        <v>197531</v>
      </c>
      <c r="E17" s="1561">
        <f t="shared" ref="E17:E141" si="1">IF(D17&lt;=25000,D17,IF(D17&gt;25000,25000,0))</f>
        <v>25000</v>
      </c>
      <c r="F17" s="1814">
        <f t="shared" si="0"/>
        <v>25000</v>
      </c>
      <c r="G17" s="1815">
        <f>IF(F17=0,0,D17-F17)</f>
        <v>172531</v>
      </c>
      <c r="H17" s="1668"/>
    </row>
    <row r="18" spans="1:8" ht="30" x14ac:dyDescent="0.25">
      <c r="A18" s="1954" t="s">
        <v>2118</v>
      </c>
      <c r="B18" s="1955" t="s">
        <v>2138</v>
      </c>
      <c r="C18" s="1956" t="s">
        <v>2124</v>
      </c>
      <c r="D18" s="1866">
        <v>71290</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46290</v>
      </c>
    </row>
    <row r="19" spans="1:8" ht="45" x14ac:dyDescent="0.25">
      <c r="A19" s="1954" t="s">
        <v>2119</v>
      </c>
      <c r="B19" s="1955" t="s">
        <v>2138</v>
      </c>
      <c r="C19" s="1956" t="s">
        <v>2125</v>
      </c>
      <c r="D19" s="1866">
        <v>179596</v>
      </c>
      <c r="E19" s="1561">
        <f t="shared" si="2"/>
        <v>25000</v>
      </c>
      <c r="F19" s="1814">
        <f t="shared" si="3"/>
        <v>25000</v>
      </c>
      <c r="G19" s="1815">
        <f t="shared" si="4"/>
        <v>154596</v>
      </c>
    </row>
    <row r="20" spans="1:8" ht="30" x14ac:dyDescent="0.25">
      <c r="A20" s="1954" t="s">
        <v>2120</v>
      </c>
      <c r="B20" s="1955" t="s">
        <v>2140</v>
      </c>
      <c r="C20" s="1956" t="s">
        <v>2110</v>
      </c>
      <c r="D20" s="1866">
        <v>27017</v>
      </c>
      <c r="E20" s="1561">
        <f t="shared" si="2"/>
        <v>25000</v>
      </c>
      <c r="F20" s="1814">
        <f t="shared" si="3"/>
        <v>25000</v>
      </c>
      <c r="G20" s="1815">
        <f t="shared" si="4"/>
        <v>2017</v>
      </c>
    </row>
    <row r="21" spans="1:8" x14ac:dyDescent="0.25">
      <c r="A21" s="1954" t="s">
        <v>2121</v>
      </c>
      <c r="B21" s="1955" t="s">
        <v>2139</v>
      </c>
      <c r="C21" s="1956" t="s">
        <v>2110</v>
      </c>
      <c r="D21" s="1866">
        <v>1016240</v>
      </c>
      <c r="E21" s="1561">
        <f t="shared" si="2"/>
        <v>25000</v>
      </c>
      <c r="F21" s="1814">
        <f t="shared" si="3"/>
        <v>0</v>
      </c>
      <c r="G21" s="1815">
        <f t="shared" si="4"/>
        <v>0</v>
      </c>
    </row>
    <row r="22" spans="1:8" ht="30" x14ac:dyDescent="0.25">
      <c r="A22" s="1954" t="s">
        <v>2117</v>
      </c>
      <c r="B22" s="1955" t="s">
        <v>2137</v>
      </c>
      <c r="C22" s="1956" t="s">
        <v>2110</v>
      </c>
      <c r="D22" s="1866">
        <v>90984</v>
      </c>
      <c r="E22" s="1561">
        <f t="shared" si="2"/>
        <v>25000</v>
      </c>
      <c r="F22" s="1814">
        <f t="shared" si="3"/>
        <v>25000</v>
      </c>
      <c r="G22" s="1815">
        <f t="shared" si="4"/>
        <v>65984</v>
      </c>
    </row>
    <row r="23" spans="1:8" x14ac:dyDescent="0.25">
      <c r="A23" s="1954" t="s">
        <v>2121</v>
      </c>
      <c r="B23" s="1955" t="s">
        <v>2122</v>
      </c>
      <c r="C23" s="1956" t="s">
        <v>2126</v>
      </c>
      <c r="D23" s="1866">
        <v>117236</v>
      </c>
      <c r="E23" s="1561">
        <f t="shared" si="2"/>
        <v>25000</v>
      </c>
      <c r="F23" s="1814">
        <f t="shared" si="3"/>
        <v>0</v>
      </c>
      <c r="G23" s="1815">
        <f t="shared" si="4"/>
        <v>0</v>
      </c>
    </row>
    <row r="24" spans="1:8" ht="30" x14ac:dyDescent="0.25">
      <c r="A24" s="1954" t="s">
        <v>2117</v>
      </c>
      <c r="B24" s="1955" t="s">
        <v>2137</v>
      </c>
      <c r="C24" s="1956" t="s">
        <v>2126</v>
      </c>
      <c r="D24" s="1866">
        <v>30600</v>
      </c>
      <c r="E24" s="1561">
        <f t="shared" si="2"/>
        <v>25000</v>
      </c>
      <c r="F24" s="1814">
        <f t="shared" si="3"/>
        <v>25000</v>
      </c>
      <c r="G24" s="1815">
        <f t="shared" si="4"/>
        <v>5600</v>
      </c>
    </row>
    <row r="25" spans="1:8" x14ac:dyDescent="0.25">
      <c r="A25" s="1954" t="s">
        <v>2121</v>
      </c>
      <c r="B25" s="1955" t="s">
        <v>2122</v>
      </c>
      <c r="C25" s="1956" t="s">
        <v>2127</v>
      </c>
      <c r="D25" s="1866">
        <v>43465</v>
      </c>
      <c r="E25" s="1561">
        <f t="shared" si="2"/>
        <v>25000</v>
      </c>
      <c r="F25" s="1814">
        <f t="shared" si="3"/>
        <v>0</v>
      </c>
      <c r="G25" s="1815">
        <f t="shared" si="4"/>
        <v>0</v>
      </c>
    </row>
    <row r="26" spans="1:8" ht="30" x14ac:dyDescent="0.25">
      <c r="A26" s="1954" t="s">
        <v>2135</v>
      </c>
      <c r="B26" s="1955" t="s">
        <v>2141</v>
      </c>
      <c r="C26" s="1956" t="s">
        <v>2128</v>
      </c>
      <c r="D26" s="1866">
        <v>51324</v>
      </c>
      <c r="E26" s="1561">
        <f t="shared" si="2"/>
        <v>25000</v>
      </c>
      <c r="F26" s="1814">
        <f t="shared" si="3"/>
        <v>25000</v>
      </c>
      <c r="G26" s="1815">
        <f t="shared" si="4"/>
        <v>26324</v>
      </c>
    </row>
    <row r="27" spans="1:8" ht="30" x14ac:dyDescent="0.25">
      <c r="A27" s="1954" t="s">
        <v>2134</v>
      </c>
      <c r="B27" s="1955" t="s">
        <v>2141</v>
      </c>
      <c r="C27" s="1956" t="s">
        <v>2129</v>
      </c>
      <c r="D27" s="1866">
        <v>52651</v>
      </c>
      <c r="E27" s="1561">
        <f t="shared" si="2"/>
        <v>25000</v>
      </c>
      <c r="F27" s="1814">
        <f t="shared" si="3"/>
        <v>25000</v>
      </c>
      <c r="G27" s="1815">
        <f t="shared" si="4"/>
        <v>27651</v>
      </c>
    </row>
    <row r="28" spans="1:8" ht="30" x14ac:dyDescent="0.25">
      <c r="A28" s="1954" t="s">
        <v>2133</v>
      </c>
      <c r="B28" s="1955" t="s">
        <v>2142</v>
      </c>
      <c r="C28" s="1956" t="s">
        <v>2130</v>
      </c>
      <c r="D28" s="1866">
        <v>76923</v>
      </c>
      <c r="E28" s="1561">
        <f t="shared" si="2"/>
        <v>25000</v>
      </c>
      <c r="F28" s="1814">
        <f t="shared" si="3"/>
        <v>25000</v>
      </c>
      <c r="G28" s="1815">
        <f t="shared" si="4"/>
        <v>51923</v>
      </c>
    </row>
    <row r="29" spans="1:8" ht="30" x14ac:dyDescent="0.25">
      <c r="A29" s="1954" t="s">
        <v>2132</v>
      </c>
      <c r="B29" s="1955" t="s">
        <v>2138</v>
      </c>
      <c r="C29" s="1956" t="s">
        <v>2131</v>
      </c>
      <c r="D29" s="1866">
        <v>32027</v>
      </c>
      <c r="E29" s="1561">
        <f t="shared" si="2"/>
        <v>25000</v>
      </c>
      <c r="F29" s="1814">
        <f t="shared" si="3"/>
        <v>25000</v>
      </c>
      <c r="G29" s="1815">
        <f t="shared" si="4"/>
        <v>7027</v>
      </c>
    </row>
    <row r="30" spans="1:8" x14ac:dyDescent="0.25">
      <c r="A30" s="1674"/>
      <c r="B30" s="1867"/>
      <c r="C30" s="1956"/>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1986884</v>
      </c>
      <c r="E141" s="1562">
        <f t="shared" si="1"/>
        <v>25000</v>
      </c>
      <c r="F141" s="1816">
        <f>SUM(F17:F140)</f>
        <v>250000</v>
      </c>
      <c r="G141" s="1817">
        <f>SUM(G17:G140)</f>
        <v>559943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 colorId="8" zoomScale="110" zoomScaleNormal="110" workbookViewId="0">
      <selection activeCell="E21" sqref="E21"/>
    </sheetView>
  </sheetViews>
  <sheetFormatPr defaultColWidth="9.140625" defaultRowHeight="12.75" x14ac:dyDescent="0.2"/>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98" t="s">
        <v>1778</v>
      </c>
      <c r="B5" s="2299"/>
      <c r="C5" s="2299"/>
      <c r="D5" s="2299"/>
      <c r="E5" s="2299"/>
      <c r="F5" s="2299"/>
      <c r="G5" s="2300"/>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2076</v>
      </c>
      <c r="B10" s="971"/>
      <c r="C10" s="976"/>
      <c r="D10" s="972"/>
      <c r="E10" s="973"/>
      <c r="F10" s="974"/>
      <c r="G10" s="975"/>
      <c r="H10" s="161"/>
      <c r="I10" s="161"/>
    </row>
    <row r="11" spans="1:9" s="668" customFormat="1" ht="22.5" customHeight="1" x14ac:dyDescent="0.2">
      <c r="A11" s="2303" t="s">
        <v>1945</v>
      </c>
      <c r="B11" s="2304"/>
      <c r="C11" s="2304"/>
      <c r="D11" s="2305"/>
      <c r="E11" s="977">
        <v>21918</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6420985</v>
      </c>
      <c r="F19" s="1821"/>
      <c r="G19" s="1823">
        <f>'Expenditures 15-22'!K33-SUM('Expenditures 15-22'!G33,'Expenditures 15-22'!I33)+'Expenditures 15-22'!D229</f>
        <v>6420985</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515208</v>
      </c>
      <c r="F21" s="1824"/>
      <c r="G21" s="1827">
        <f>'Expenditures 15-22'!K42-SUM('Expenditures 15-22'!G42,'Expenditures 15-22'!I42)+'Expenditures 15-22'!K120-SUM('Expenditures 15-22'!G120,'Expenditures 15-22'!I120)+'Expenditures 15-22'!K180-SUM('Expenditures 15-22'!G180,'Expenditures 15-22'!I180)+'Expenditures 15-22'!D238</f>
        <v>515208</v>
      </c>
      <c r="H21" s="987"/>
      <c r="I21" s="161"/>
    </row>
    <row r="22" spans="1:9" s="668" customFormat="1" ht="12" customHeight="1" x14ac:dyDescent="0.2">
      <c r="A22" s="994" t="s">
        <v>585</v>
      </c>
      <c r="B22" s="995"/>
      <c r="C22" s="993">
        <v>2200</v>
      </c>
      <c r="D22" s="1824"/>
      <c r="E22" s="1826">
        <f>'Expenditures 15-22'!K47-SUM('Expenditures 15-22'!G47,'Expenditures 15-22'!I47)+'Expenditures 15-22'!D243</f>
        <v>244147</v>
      </c>
      <c r="F22" s="1824"/>
      <c r="G22" s="1827">
        <f>'Expenditures 15-22'!K47-SUM('Expenditures 15-22'!G47,'Expenditures 15-22'!I47)+'Expenditures 15-22'!D243</f>
        <v>244147</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677007</v>
      </c>
      <c r="F23" s="1824"/>
      <c r="G23" s="1826">
        <f>'Expenditures 15-22'!K53-SUM('Expenditures 15-22'!G53,'Expenditures 15-22'!I53)+'Expenditures 15-22'!D257+'Expenditures 15-22'!K330-SUM('Expenditures 15-22'!G330,'Expenditures 15-22'!I330)</f>
        <v>677007</v>
      </c>
      <c r="H23" s="987"/>
      <c r="I23" s="161"/>
    </row>
    <row r="24" spans="1:9" s="668" customFormat="1" ht="12" customHeight="1" x14ac:dyDescent="0.2">
      <c r="A24" s="994" t="s">
        <v>587</v>
      </c>
      <c r="B24" s="995"/>
      <c r="C24" s="993">
        <v>2400</v>
      </c>
      <c r="D24" s="1824"/>
      <c r="E24" s="1826">
        <f>'Expenditures 15-22'!K57-SUM('Expenditures 15-22'!G57,'Expenditures 15-22'!I57)+'Expenditures 15-22'!D261</f>
        <v>740734</v>
      </c>
      <c r="F24" s="1824"/>
      <c r="G24" s="1827">
        <f>'Expenditures 15-22'!K57-SUM('Expenditures 15-22'!G57,'Expenditures 15-22'!I57)+'Expenditures 15-22'!D261</f>
        <v>740734</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167773</v>
      </c>
      <c r="E26" s="1826">
        <f>'Expenditures 15-22'!K122-SUM('Expenditures 15-22'!G122,'Expenditures 15-22'!I122)+E7</f>
        <v>0</v>
      </c>
      <c r="F26" s="1826">
        <f>'Expenditures 15-22'!K59-SUM('Expenditures 15-22'!G59,'Expenditures 15-22'!I59)+'Expenditures 15-22'!D263-E7</f>
        <v>167773</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352183</v>
      </c>
      <c r="E27" s="1826">
        <f>E8</f>
        <v>0</v>
      </c>
      <c r="F27" s="1826">
        <f>'Expenditures 15-22'!K60-SUM('Expenditures 15-22'!G60,'Expenditures 15-22'!I60)+'Expenditures 15-22'!D264-E8</f>
        <v>352183</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1420225</v>
      </c>
      <c r="F28" s="1828">
        <f>'Expenditures 15-22'!K61-SUM('Expenditures 15-22'!G61,'Expenditures 15-22'!I61)+'Expenditures 15-22'!K124-SUM('Expenditures 15-22'!G124,'Expenditures 15-22'!I124)+'Expenditures 15-22'!D266-E9</f>
        <v>1420225</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317101</v>
      </c>
      <c r="F29" s="1824"/>
      <c r="G29" s="1827">
        <f>'Expenditures 15-22'!K62-SUM('Expenditures 15-22'!G62,'Expenditures 15-22'!I62)+'Expenditures 15-22'!K125-SUM('Expenditures 15-22'!G125,'Expenditures 15-22'!I125)+'Expenditures 15-22'!K182-SUM('Expenditures 15-22'!G182,'Expenditures 15-22'!I182)+'Expenditures 15-22'!D267</f>
        <v>317101</v>
      </c>
      <c r="H29" s="985"/>
    </row>
    <row r="30" spans="1:9" ht="12" customHeight="1" x14ac:dyDescent="0.2">
      <c r="A30" s="994" t="s">
        <v>102</v>
      </c>
      <c r="B30" s="997"/>
      <c r="C30" s="993">
        <v>2560</v>
      </c>
      <c r="D30" s="1824"/>
      <c r="E30" s="1826">
        <f>'Expenditures 15-22'!K63-SUM('Expenditures 15-22'!G63,'Expenditures 15-22'!I63)+'Expenditures 15-22'!D268-E10</f>
        <v>525735</v>
      </c>
      <c r="F30" s="1824"/>
      <c r="G30" s="1826">
        <f>'Expenditures 15-22'!K63-SUM('Expenditures 15-22'!G63,'Expenditures 15-22'!I63)+'Expenditures 15-22'!D268-E10</f>
        <v>525735</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194888</v>
      </c>
      <c r="E37" s="1826">
        <f>E14</f>
        <v>0</v>
      </c>
      <c r="F37" s="1826">
        <f>'Expenditures 15-22'!K71-SUM('Expenditures 15-22'!G71,'Expenditures 15-22'!I71)+'Expenditures 15-22'!D276-E14</f>
        <v>194888</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18366</v>
      </c>
      <c r="F39" s="1824"/>
      <c r="G39" s="1826">
        <f>'Expenditures 15-22'!K75-SUM('Expenditures 15-22'!G75,'Expenditures 15-22'!I75)+'Expenditures 15-22'!K130-SUM('Expenditures 15-22'!G130,'Expenditures 15-22'!I130)+'Expenditures 15-22'!K185-SUM('Expenditures 15-22'!G185,'Expenditures 15-22'!I185)+'Expenditures 15-22'!D280</f>
        <v>18366</v>
      </c>
    </row>
    <row r="40" spans="1:7" ht="12" customHeight="1" x14ac:dyDescent="0.2">
      <c r="A40" s="990" t="s">
        <v>1930</v>
      </c>
      <c r="B40" s="991"/>
      <c r="C40" s="993"/>
      <c r="D40" s="1824"/>
      <c r="E40" s="1828">
        <f>-'Contracts Paid in CY 29'!G141</f>
        <v>-559943</v>
      </c>
      <c r="F40" s="1824"/>
      <c r="G40" s="1828">
        <f>-'Contracts Paid in CY 29'!G141</f>
        <v>-559943</v>
      </c>
    </row>
    <row r="41" spans="1:7" ht="12" customHeight="1" x14ac:dyDescent="0.2">
      <c r="A41" s="998" t="s">
        <v>158</v>
      </c>
      <c r="B41" s="999"/>
      <c r="C41" s="1000"/>
      <c r="D41" s="1828">
        <f>SUM(D19:D39)</f>
        <v>714844</v>
      </c>
      <c r="E41" s="1828">
        <f>SUM(E19:E40)</f>
        <v>10319565</v>
      </c>
      <c r="F41" s="1828">
        <f>SUM(F19:F39)</f>
        <v>2135069</v>
      </c>
      <c r="G41" s="1828">
        <f>SUM(G19:G40)</f>
        <v>8899340</v>
      </c>
    </row>
    <row r="42" spans="1:7" x14ac:dyDescent="0.2">
      <c r="A42" s="987"/>
      <c r="B42" s="161"/>
      <c r="C42" s="1001"/>
      <c r="D42" s="2301" t="s">
        <v>543</v>
      </c>
      <c r="E42" s="2302"/>
      <c r="F42" s="1002" t="s">
        <v>544</v>
      </c>
      <c r="G42" s="1003"/>
    </row>
    <row r="43" spans="1:7" ht="12" customHeight="1" x14ac:dyDescent="0.2">
      <c r="A43" s="987"/>
      <c r="B43" s="161"/>
      <c r="C43" s="1001"/>
      <c r="D43" s="1829" t="s">
        <v>493</v>
      </c>
      <c r="E43" s="1830">
        <f>D41</f>
        <v>714844</v>
      </c>
      <c r="F43" s="1829" t="s">
        <v>495</v>
      </c>
      <c r="G43" s="1830">
        <f>F41</f>
        <v>2135069</v>
      </c>
    </row>
    <row r="44" spans="1:7" ht="12" customHeight="1" x14ac:dyDescent="0.2">
      <c r="A44" s="987"/>
      <c r="B44" s="161"/>
      <c r="C44" s="1001"/>
      <c r="D44" s="1829" t="s">
        <v>494</v>
      </c>
      <c r="E44" s="1830">
        <f>E41</f>
        <v>10319565</v>
      </c>
      <c r="F44" s="1829" t="s">
        <v>494</v>
      </c>
      <c r="G44" s="1830">
        <f>G41</f>
        <v>8899340</v>
      </c>
    </row>
    <row r="45" spans="1:7" ht="12" customHeight="1" x14ac:dyDescent="0.2">
      <c r="A45" s="987"/>
      <c r="B45" s="161"/>
      <c r="C45" s="161"/>
      <c r="D45" s="1831" t="s">
        <v>1063</v>
      </c>
      <c r="E45" s="1832">
        <f>(E43/E44)</f>
        <v>6.9270749299994716E-2</v>
      </c>
      <c r="F45" s="1831" t="s">
        <v>1063</v>
      </c>
      <c r="G45" s="1832">
        <f>(G43/G44)</f>
        <v>0.23991318457323801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0" t="s">
        <v>1446</v>
      </c>
      <c r="B1" s="2320"/>
      <c r="C1" s="2320"/>
      <c r="D1" s="2320"/>
      <c r="E1" s="2320"/>
      <c r="F1" s="232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1" t="s">
        <v>1627</v>
      </c>
      <c r="B5" s="2322"/>
      <c r="C5" s="2323"/>
      <c r="D5" s="2323"/>
      <c r="E5" s="2323"/>
      <c r="F5" s="2323"/>
    </row>
    <row r="6" spans="1:10" ht="12" customHeight="1" x14ac:dyDescent="0.25">
      <c r="A6" s="1873"/>
      <c r="B6" s="1874"/>
      <c r="C6" s="2324" t="str">
        <f>COVER!A17</f>
        <v>Worth SD 127</v>
      </c>
      <c r="D6" s="2324"/>
      <c r="E6" s="2324"/>
      <c r="F6" s="1875"/>
    </row>
    <row r="7" spans="1:10" ht="11.25" customHeight="1" thickBot="1" x14ac:dyDescent="0.3">
      <c r="A7" s="1873"/>
      <c r="B7" s="1874"/>
      <c r="C7" s="2325">
        <f>COVER!A13</f>
        <v>7016127002</v>
      </c>
      <c r="D7" s="2325"/>
      <c r="E7" s="232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2077</v>
      </c>
      <c r="D14" s="1888" t="s">
        <v>2077</v>
      </c>
      <c r="E14" s="1891"/>
      <c r="F14" s="1890" t="s">
        <v>2107</v>
      </c>
      <c r="H14" s="1901">
        <f t="shared" si="0"/>
        <v>5</v>
      </c>
      <c r="I14" s="1901">
        <f t="shared" si="1"/>
        <v>5</v>
      </c>
      <c r="J14" s="1901">
        <f t="shared" si="2"/>
        <v>0</v>
      </c>
    </row>
    <row r="15" spans="1:10" ht="12" customHeight="1" x14ac:dyDescent="0.2">
      <c r="A15" s="1886" t="s">
        <v>1454</v>
      </c>
      <c r="B15" s="1887"/>
      <c r="C15" s="1888" t="s">
        <v>2077</v>
      </c>
      <c r="D15" s="1888" t="s">
        <v>2077</v>
      </c>
      <c r="E15" s="1891"/>
      <c r="F15" s="1890" t="s">
        <v>2108</v>
      </c>
      <c r="H15" s="1901">
        <f t="shared" si="0"/>
        <v>5</v>
      </c>
      <c r="I15" s="1901">
        <f t="shared" si="1"/>
        <v>5</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2077</v>
      </c>
      <c r="D19" s="1888" t="s">
        <v>2077</v>
      </c>
      <c r="E19" s="1891"/>
      <c r="F19" s="1890" t="s">
        <v>2111</v>
      </c>
      <c r="H19" s="1901">
        <f t="shared" si="0"/>
        <v>5</v>
      </c>
      <c r="I19" s="1901">
        <f t="shared" si="1"/>
        <v>5</v>
      </c>
      <c r="J19" s="1901">
        <f t="shared" si="2"/>
        <v>0</v>
      </c>
    </row>
    <row r="20" spans="1:12" ht="12" customHeight="1" x14ac:dyDescent="0.2">
      <c r="A20" s="1886" t="s">
        <v>1609</v>
      </c>
      <c r="B20" s="1887"/>
      <c r="C20" s="1888" t="s">
        <v>2077</v>
      </c>
      <c r="D20" s="1888" t="s">
        <v>2077</v>
      </c>
      <c r="E20" s="1891"/>
      <c r="F20" s="1890" t="s">
        <v>2109</v>
      </c>
      <c r="H20" s="1901">
        <f t="shared" si="0"/>
        <v>5</v>
      </c>
      <c r="I20" s="1901">
        <f t="shared" si="1"/>
        <v>5</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t="s">
        <v>2077</v>
      </c>
      <c r="D24" s="1888" t="s">
        <v>2077</v>
      </c>
      <c r="E24" s="1891"/>
      <c r="F24" s="1890" t="s">
        <v>2110</v>
      </c>
      <c r="H24" s="1901">
        <f t="shared" si="0"/>
        <v>5</v>
      </c>
      <c r="I24" s="1901">
        <f t="shared" si="1"/>
        <v>5</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2077</v>
      </c>
      <c r="D26" s="1888" t="s">
        <v>2077</v>
      </c>
      <c r="E26" s="1891"/>
      <c r="F26" s="1890" t="s">
        <v>2110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2077</v>
      </c>
      <c r="D29" s="1888" t="s">
        <v>2077</v>
      </c>
      <c r="E29" s="1891"/>
      <c r="F29" s="1890" t="s">
        <v>2109</v>
      </c>
      <c r="H29" s="1901">
        <f t="shared" si="0"/>
        <v>5</v>
      </c>
      <c r="I29" s="1901">
        <f t="shared" si="1"/>
        <v>5</v>
      </c>
      <c r="J29" s="1901">
        <f t="shared" si="2"/>
        <v>0</v>
      </c>
    </row>
    <row r="30" spans="1:12" ht="12" customHeight="1" x14ac:dyDescent="0.2">
      <c r="A30" s="1886" t="s">
        <v>1619</v>
      </c>
      <c r="B30" s="1887"/>
      <c r="C30" s="1888" t="s">
        <v>2077</v>
      </c>
      <c r="D30" s="1888" t="s">
        <v>2077</v>
      </c>
      <c r="E30" s="1891"/>
      <c r="F30" s="1890" t="s">
        <v>2110</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40</v>
      </c>
      <c r="I34" s="1901">
        <f>SUM(I11:I32)</f>
        <v>40</v>
      </c>
      <c r="J34" s="1901">
        <f>SUM(J11:J32)</f>
        <v>0</v>
      </c>
      <c r="K34" s="1901">
        <f>SUM(H34:J34)</f>
        <v>80</v>
      </c>
    </row>
    <row r="35" spans="1:11" ht="12" customHeight="1" x14ac:dyDescent="0.2">
      <c r="A35" s="1894" t="s">
        <v>1459</v>
      </c>
      <c r="B35" s="1895"/>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6"/>
      <c r="B39" s="1896"/>
      <c r="C39" s="1896"/>
      <c r="D39" s="1896"/>
      <c r="E39" s="1896"/>
      <c r="F39" s="1896"/>
    </row>
    <row r="40" spans="1:11" s="1893" customFormat="1" ht="12" customHeight="1" x14ac:dyDescent="0.25">
      <c r="A40" s="1897" t="s">
        <v>1458</v>
      </c>
      <c r="B40" s="1898"/>
      <c r="C40" s="2315"/>
      <c r="D40" s="2315"/>
      <c r="E40" s="2315"/>
      <c r="F40" s="2316"/>
      <c r="H40" s="1902"/>
      <c r="I40" s="1902"/>
      <c r="J40" s="1902"/>
      <c r="K40" s="1902"/>
    </row>
    <row r="41" spans="1:11" s="1893" customFormat="1" ht="12" customHeight="1" x14ac:dyDescent="0.25">
      <c r="A41" s="2317"/>
      <c r="B41" s="2318"/>
      <c r="C41" s="2318"/>
      <c r="D41" s="2318"/>
      <c r="E41" s="2318"/>
      <c r="F41" s="2319"/>
      <c r="H41" s="1902"/>
      <c r="I41" s="1902"/>
      <c r="J41" s="1902"/>
      <c r="K41" s="1902"/>
    </row>
    <row r="42" spans="1:11" s="1893" customFormat="1" ht="12" customHeight="1" x14ac:dyDescent="0.25">
      <c r="A42" s="2317"/>
      <c r="B42" s="2318"/>
      <c r="C42" s="2318"/>
      <c r="D42" s="2318"/>
      <c r="E42" s="2318"/>
      <c r="F42" s="2319"/>
      <c r="H42" s="1902"/>
      <c r="I42" s="1902"/>
      <c r="J42" s="1902"/>
      <c r="K42" s="1902"/>
    </row>
    <row r="43" spans="1:11" s="1893" customFormat="1" ht="15" x14ac:dyDescent="0.25">
      <c r="A43" s="2306"/>
      <c r="B43" s="2307"/>
      <c r="C43" s="2307"/>
      <c r="D43" s="2307"/>
      <c r="E43" s="2307"/>
      <c r="F43" s="2308"/>
      <c r="H43" s="1902"/>
      <c r="I43" s="1902"/>
      <c r="J43" s="1902"/>
      <c r="K43" s="1902"/>
    </row>
    <row r="44" spans="1:11" s="1893" customFormat="1" ht="12" hidden="1" customHeight="1" x14ac:dyDescent="0.25">
      <c r="A44" s="2306"/>
      <c r="B44" s="2307"/>
      <c r="C44" s="2307"/>
      <c r="D44" s="2307"/>
      <c r="E44" s="2307"/>
      <c r="F44" s="2308"/>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0" customWidth="1"/>
    <col min="2" max="2" width="2.5703125" style="1010" customWidth="1"/>
    <col min="3" max="3" width="38.5703125" style="1010" customWidth="1"/>
    <col min="4" max="4" width="6.42578125" style="1010" customWidth="1"/>
    <col min="5" max="10" width="15.5703125" style="1010" customWidth="1"/>
    <col min="11" max="14" width="4.570312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7" t="s">
        <v>693</v>
      </c>
      <c r="B6" s="1663"/>
      <c r="C6" s="1663"/>
      <c r="D6" s="1663"/>
      <c r="E6" s="1664"/>
      <c r="F6" s="1015"/>
      <c r="G6" s="1009"/>
      <c r="H6" s="1016" t="s">
        <v>1086</v>
      </c>
      <c r="I6" s="2333" t="str">
        <f>COVER!A17</f>
        <v>Worth SD 127</v>
      </c>
      <c r="J6" s="2334"/>
      <c r="Q6" s="1685"/>
    </row>
    <row r="7" spans="1:17" x14ac:dyDescent="0.2">
      <c r="A7" s="2335" t="s">
        <v>924</v>
      </c>
      <c r="B7" s="2336"/>
      <c r="C7" s="2336"/>
      <c r="D7" s="2336"/>
      <c r="E7" s="2337"/>
      <c r="F7" s="1017"/>
      <c r="G7" s="1009"/>
      <c r="H7" s="1016" t="s">
        <v>390</v>
      </c>
      <c r="I7" s="2338">
        <f>COVER!A13</f>
        <v>7016127002</v>
      </c>
      <c r="J7" s="2338"/>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8" t="s">
        <v>1701</v>
      </c>
      <c r="F9" s="1023"/>
      <c r="G9" s="1023"/>
      <c r="H9" s="1919"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9" t="s">
        <v>502</v>
      </c>
      <c r="B11" s="2340"/>
      <c r="C11" s="234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229185</v>
      </c>
      <c r="F12" s="1039"/>
      <c r="G12" s="1833">
        <f t="shared" ref="G12:G18" si="0">SUM(E12:F12)</f>
        <v>229185</v>
      </c>
      <c r="H12" s="1040">
        <v>241606</v>
      </c>
      <c r="I12" s="1039"/>
      <c r="J12" s="1833">
        <f t="shared" ref="J12:J18" si="1">SUM(H12:I12)</f>
        <v>241606</v>
      </c>
    </row>
    <row r="13" spans="1:17" ht="15" customHeight="1" x14ac:dyDescent="0.2">
      <c r="A13" s="1035">
        <v>2</v>
      </c>
      <c r="B13" s="1036" t="s">
        <v>44</v>
      </c>
      <c r="C13" s="1037"/>
      <c r="D13" s="1038">
        <v>2330</v>
      </c>
      <c r="E13" s="1833">
        <f>'Expenditures 15-22'!K51</f>
        <v>189724</v>
      </c>
      <c r="F13" s="1039"/>
      <c r="G13" s="1833">
        <f t="shared" si="0"/>
        <v>189724</v>
      </c>
      <c r="H13" s="1040">
        <v>191729</v>
      </c>
      <c r="I13" s="1039"/>
      <c r="J13" s="1833">
        <f t="shared" si="1"/>
        <v>191729</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166067</v>
      </c>
      <c r="F15" s="1833">
        <f>'Expenditures 15-22'!K122</f>
        <v>0</v>
      </c>
      <c r="G15" s="1833">
        <f t="shared" si="0"/>
        <v>166067</v>
      </c>
      <c r="H15" s="1040">
        <v>177979</v>
      </c>
      <c r="I15" s="1040"/>
      <c r="J15" s="1833">
        <f t="shared" si="1"/>
        <v>177979</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2" t="s">
        <v>7</v>
      </c>
      <c r="C18" s="2343"/>
      <c r="D18" s="2344"/>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584976</v>
      </c>
      <c r="F19" s="1835">
        <f t="shared" si="2"/>
        <v>0</v>
      </c>
      <c r="G19" s="1835">
        <f t="shared" si="2"/>
        <v>584976</v>
      </c>
      <c r="H19" s="1835">
        <f t="shared" si="2"/>
        <v>611314</v>
      </c>
      <c r="I19" s="1835">
        <f t="shared" si="2"/>
        <v>0</v>
      </c>
      <c r="J19" s="1835">
        <f t="shared" si="2"/>
        <v>611314</v>
      </c>
    </row>
    <row r="20" spans="1:10" ht="13.5" thickTop="1" x14ac:dyDescent="0.2">
      <c r="A20" s="1035">
        <v>9</v>
      </c>
      <c r="B20" s="2345" t="s">
        <v>1703</v>
      </c>
      <c r="C20" s="2345"/>
      <c r="D20" s="2346"/>
      <c r="E20" s="1046"/>
      <c r="F20" s="1046"/>
      <c r="G20" s="1046"/>
      <c r="H20" s="1046"/>
      <c r="I20" s="1046"/>
      <c r="J20" s="1836">
        <f>IF(AND(G19&gt;0,J19&gt;0),(((J19-G19)/G19)),"Enter Budget Data")</f>
        <v>4.5024069363529443E-2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1093</v>
      </c>
      <c r="D27" s="1052"/>
      <c r="E27" s="1053"/>
      <c r="F27" s="2347" t="s">
        <v>1589</v>
      </c>
      <c r="G27" s="2347"/>
    </row>
    <row r="28" spans="1:10" ht="28.5" customHeight="1" x14ac:dyDescent="0.2">
      <c r="B28" s="1047"/>
      <c r="C28" s="2349"/>
      <c r="D28" s="2349"/>
      <c r="E28" s="1054"/>
      <c r="F28" s="2349"/>
      <c r="G28" s="2349"/>
    </row>
    <row r="29" spans="1:10" x14ac:dyDescent="0.2">
      <c r="B29" s="1047"/>
      <c r="C29" s="1055" t="s">
        <v>1642</v>
      </c>
      <c r="E29" s="1056"/>
      <c r="F29" s="2348" t="s">
        <v>1590</v>
      </c>
      <c r="G29" s="234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1944</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937</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Worth SD 127</v>
      </c>
    </row>
    <row r="65" spans="2:2" x14ac:dyDescent="0.2">
      <c r="B65" s="1070">
        <f>COVER!A13</f>
        <v>7016127002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8" customWidth="1"/>
    <col min="2" max="2" width="59.570312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6</xdr:row>
                <xdr:rowOff>0</xdr:rowOff>
              </from>
              <to>
                <xdr:col>1</xdr:col>
                <xdr:colOff>914400</xdr:colOff>
                <xdr:row>10</xdr:row>
                <xdr:rowOff>28575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B9" sqref="B9"/>
    </sheetView>
  </sheetViews>
  <sheetFormatPr defaultColWidth="9.140625" defaultRowHeight="12.75" x14ac:dyDescent="0.2"/>
  <cols>
    <col min="1" max="1" width="33.85546875" style="315" customWidth="1"/>
    <col min="2" max="6" width="16.5703125" style="315" customWidth="1"/>
    <col min="7" max="16384" width="9.140625" style="315"/>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4"/>
      <c r="H2" s="1074"/>
    </row>
    <row r="3" spans="1:8" ht="57" customHeight="1" x14ac:dyDescent="0.2">
      <c r="A3" s="2366" t="s">
        <v>1786</v>
      </c>
      <c r="B3" s="2367"/>
      <c r="C3" s="2367"/>
      <c r="D3" s="2367"/>
      <c r="E3" s="2367"/>
      <c r="F3" s="2368"/>
      <c r="G3" s="1074"/>
      <c r="H3" s="1074"/>
    </row>
    <row r="4" spans="1:8" ht="14.25" customHeight="1" x14ac:dyDescent="0.2">
      <c r="A4" s="2372" t="s">
        <v>2056</v>
      </c>
      <c r="B4" s="2373"/>
      <c r="C4" s="2373"/>
      <c r="D4" s="2373"/>
      <c r="E4" s="2373"/>
      <c r="F4" s="2374"/>
      <c r="G4" s="1074"/>
      <c r="H4" s="1074"/>
    </row>
    <row r="5" spans="1:8" ht="14.25" customHeight="1" x14ac:dyDescent="0.2">
      <c r="A5" s="2375" t="s">
        <v>2057</v>
      </c>
      <c r="B5" s="2376"/>
      <c r="C5" s="2376"/>
      <c r="D5" s="2376"/>
      <c r="E5" s="2376"/>
      <c r="F5" s="2377"/>
      <c r="G5" s="1074"/>
      <c r="H5" s="1074"/>
    </row>
    <row r="6" spans="1:8" s="1075" customFormat="1" ht="41.25" customHeight="1" x14ac:dyDescent="0.2">
      <c r="A6" s="2369" t="s">
        <v>1792</v>
      </c>
      <c r="B6" s="2370"/>
      <c r="C6" s="2370"/>
      <c r="D6" s="2370"/>
      <c r="E6" s="2370"/>
      <c r="F6" s="2371"/>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12288424</v>
      </c>
      <c r="C8" s="1837">
        <f>'Acct Summary 7-8'!D8</f>
        <v>1956242</v>
      </c>
      <c r="D8" s="1837">
        <f>'Acct Summary 7-8'!F8</f>
        <v>1491854</v>
      </c>
      <c r="E8" s="1837">
        <f>'Acct Summary 7-8'!I8</f>
        <v>95955</v>
      </c>
      <c r="F8" s="1837">
        <f>SUM(B8:E8)</f>
        <v>15832475</v>
      </c>
    </row>
    <row r="9" spans="1:8" s="1079" customFormat="1" ht="14.25" customHeight="1" thickBot="1" x14ac:dyDescent="0.25">
      <c r="A9" s="1078" t="s">
        <v>1436</v>
      </c>
      <c r="B9" s="1838">
        <f>'Acct Summary 7-8'!C17</f>
        <v>11257018</v>
      </c>
      <c r="C9" s="1838">
        <f>'Acct Summary 7-8'!D17</f>
        <v>2386240</v>
      </c>
      <c r="D9" s="1838">
        <f>'Acct Summary 7-8'!F17</f>
        <v>317101</v>
      </c>
      <c r="E9" s="1837"/>
      <c r="F9" s="1837">
        <f>SUM(B9:E9)</f>
        <v>13960359</v>
      </c>
    </row>
    <row r="10" spans="1:8" s="1079" customFormat="1" ht="14.25" thickTop="1" thickBot="1" x14ac:dyDescent="0.25">
      <c r="A10" s="1080" t="s">
        <v>1437</v>
      </c>
      <c r="B10" s="1839">
        <f>(B8-B9)</f>
        <v>1031406</v>
      </c>
      <c r="C10" s="1839">
        <f>(C8-C9)</f>
        <v>-429998</v>
      </c>
      <c r="D10" s="1839">
        <f>(D8-D9)</f>
        <v>1174753</v>
      </c>
      <c r="E10" s="1838">
        <f>(E8-E9)</f>
        <v>95955</v>
      </c>
      <c r="F10" s="1840">
        <f>SUM(F8-F9)</f>
        <v>1872116</v>
      </c>
    </row>
    <row r="11" spans="1:8" s="1079" customFormat="1" ht="14.25" thickTop="1" thickBot="1" x14ac:dyDescent="0.25">
      <c r="A11" s="1081" t="s">
        <v>1785</v>
      </c>
      <c r="B11" s="1841">
        <f>'Acct Summary 7-8'!C81</f>
        <v>7690769</v>
      </c>
      <c r="C11" s="1841">
        <f>'Acct Summary 7-8'!D81</f>
        <v>3187170</v>
      </c>
      <c r="D11" s="1841">
        <f>'Acct Summary 7-8'!F81</f>
        <v>450855</v>
      </c>
      <c r="E11" s="1841">
        <f>'Acct Summary 7-8'!I81</f>
        <v>1574199</v>
      </c>
      <c r="F11" s="1842">
        <f>SUM(B11:E11)</f>
        <v>12902993</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09" customFormat="1" ht="51.75" hidden="1" customHeight="1" x14ac:dyDescent="0.2">
      <c r="A16" s="2356" t="s">
        <v>1787</v>
      </c>
      <c r="B16" s="2356"/>
      <c r="C16" s="2356"/>
      <c r="D16" s="2356"/>
      <c r="E16" s="2356"/>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5703125" style="1133" customWidth="1"/>
    <col min="2" max="2" width="3.140625" style="1133" customWidth="1"/>
    <col min="3" max="3" width="96.140625" style="1073" customWidth="1"/>
    <col min="4" max="4" width="42.140625" style="241" customWidth="1"/>
    <col min="5" max="5" width="2.570312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78" t="s">
        <v>686</v>
      </c>
      <c r="B3" s="2379"/>
      <c r="C3" s="2379"/>
      <c r="D3" s="2380"/>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9" t="s">
        <v>1584</v>
      </c>
      <c r="D7" s="2390"/>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1" t="s">
        <v>1065</v>
      </c>
      <c r="B15" s="2382"/>
      <c r="C15" s="2382"/>
      <c r="D15" s="2383"/>
    </row>
    <row r="16" spans="1:4" s="668" customFormat="1" ht="24" customHeight="1" x14ac:dyDescent="0.2">
      <c r="A16" s="2384" t="s">
        <v>684</v>
      </c>
      <c r="B16" s="2385"/>
      <c r="C16" s="2385"/>
      <c r="D16" s="2386"/>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3" t="s">
        <v>332</v>
      </c>
      <c r="D21" s="2394"/>
    </row>
    <row r="22" spans="1:10" ht="12.75" x14ac:dyDescent="0.2">
      <c r="A22" s="1139"/>
      <c r="B22" s="1140">
        <v>2</v>
      </c>
      <c r="C22" s="2391" t="s">
        <v>1605</v>
      </c>
      <c r="D22" s="2392"/>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5" t="s">
        <v>557</v>
      </c>
      <c r="D43" s="2396"/>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7" t="s">
        <v>817</v>
      </c>
      <c r="D56" s="2388"/>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7" t="s">
        <v>1797</v>
      </c>
      <c r="D70" s="2388"/>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7016127002</v>
      </c>
    </row>
    <row r="3" spans="1:2" x14ac:dyDescent="0.2">
      <c r="A3" t="s">
        <v>1013</v>
      </c>
      <c r="B3" s="137" t="str">
        <f>COVER!A15</f>
        <v>Cook</v>
      </c>
    </row>
    <row r="4" spans="1:2" x14ac:dyDescent="0.2">
      <c r="A4" t="s">
        <v>1064</v>
      </c>
      <c r="B4" s="137" t="str">
        <f>COVER!A17</f>
        <v>Worth SD 127</v>
      </c>
    </row>
    <row r="5" spans="1:2" x14ac:dyDescent="0.2">
      <c r="A5" t="s">
        <v>728</v>
      </c>
      <c r="B5" s="137" t="str">
        <f>COVER!A38</f>
        <v>Dr. Rita Wojtylewski</v>
      </c>
    </row>
    <row r="6" spans="1:2" x14ac:dyDescent="0.2">
      <c r="A6" t="s">
        <v>733</v>
      </c>
      <c r="B6" s="137">
        <f>COVER!P35</f>
        <v>0</v>
      </c>
    </row>
    <row r="7" spans="1:2" x14ac:dyDescent="0.2">
      <c r="A7" t="s">
        <v>729</v>
      </c>
      <c r="B7" s="137" t="str">
        <f>COVER!I38</f>
        <v>Terry La Bella</v>
      </c>
    </row>
    <row r="8" spans="1:2" x14ac:dyDescent="0.2">
      <c r="A8" t="s">
        <v>730</v>
      </c>
      <c r="B8" s="137" t="str">
        <f>COVER!T38</f>
        <v>Dr. Vanessa Kinder</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Yes</v>
      </c>
    </row>
    <row r="13" spans="1:2" x14ac:dyDescent="0.2">
      <c r="A13" s="1" t="s">
        <v>1625</v>
      </c>
      <c r="B13" s="137" t="str">
        <f>IF(COVER!J30="x","Yes",IF(COVER!L30="x","No",0))</f>
        <v>Yes</v>
      </c>
    </row>
    <row r="14" spans="1:2" x14ac:dyDescent="0.2">
      <c r="A14" t="s">
        <v>497</v>
      </c>
      <c r="B14" s="137" t="str">
        <f>IF(COVER!J31="x","Yes",IF(COVER!L31="x","No",0))</f>
        <v>Yes</v>
      </c>
    </row>
    <row r="15" spans="1:2" x14ac:dyDescent="0.2">
      <c r="A15" t="s">
        <v>598</v>
      </c>
      <c r="B15" s="137" t="str">
        <f>COVER!T23</f>
        <v>06-5035081</v>
      </c>
    </row>
    <row r="16" spans="1:2" x14ac:dyDescent="0.2">
      <c r="A16" t="s">
        <v>442</v>
      </c>
      <c r="B16" s="137" t="str">
        <f>COVER!T13</f>
        <v>RSM US LLP</v>
      </c>
    </row>
    <row r="17" spans="1:2" x14ac:dyDescent="0.2">
      <c r="A17" t="s">
        <v>939</v>
      </c>
      <c r="B17" s="137" t="str">
        <f>COVER!T15</f>
        <v>Mandy Pittman</v>
      </c>
    </row>
    <row r="18" spans="1:2" x14ac:dyDescent="0.2">
      <c r="A18" t="s">
        <v>1212</v>
      </c>
      <c r="B18" s="137" t="str">
        <f>COVER!T17</f>
        <v>One South Wacker Drive, Suite 800</v>
      </c>
    </row>
    <row r="19" spans="1:2" x14ac:dyDescent="0.2">
      <c r="A19" t="s">
        <v>941</v>
      </c>
      <c r="B19" s="137" t="str">
        <f>COVER!T25</f>
        <v>mandy.pittman@rsmus.com</v>
      </c>
    </row>
    <row r="20" spans="1:2" x14ac:dyDescent="0.2">
      <c r="A20" t="s">
        <v>942</v>
      </c>
      <c r="B20" s="137" t="str">
        <f>COVER!T19</f>
        <v>Chicago</v>
      </c>
    </row>
    <row r="21" spans="1:2" x14ac:dyDescent="0.2">
      <c r="A21" t="s">
        <v>500</v>
      </c>
      <c r="B21" s="137" t="str">
        <f>COVER!X19</f>
        <v>Illinois</v>
      </c>
    </row>
    <row r="22" spans="1:2" x14ac:dyDescent="0.2">
      <c r="A22" t="s">
        <v>943</v>
      </c>
      <c r="B22" s="137">
        <f>COVER!Z19</f>
        <v>60606</v>
      </c>
    </row>
    <row r="23" spans="1:2" x14ac:dyDescent="0.2">
      <c r="A23" t="s">
        <v>1214</v>
      </c>
      <c r="B23" s="137" t="str">
        <f>COVER!T21</f>
        <v>312-634-4414</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34700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7700058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9289</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9289</v>
      </c>
      <c r="C91" s="2" t="s">
        <v>594</v>
      </c>
      <c r="D91" s="2" t="str">
        <f t="shared" si="0"/>
        <v>Error?</v>
      </c>
    </row>
    <row r="92" spans="1:4" x14ac:dyDescent="0.2">
      <c r="A92" s="5">
        <v>31</v>
      </c>
      <c r="B92" s="137">
        <f>'Assets-Liab 5-6'!C39</f>
        <v>7690769</v>
      </c>
      <c r="D92" s="2" t="str">
        <f t="shared" si="0"/>
        <v>Error?</v>
      </c>
    </row>
    <row r="93" spans="1:4" x14ac:dyDescent="0.2">
      <c r="A93" s="5">
        <v>32</v>
      </c>
      <c r="B93" s="137">
        <f>'Assets-Liab 5-6'!C41</f>
        <v>7700058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3187170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0</v>
      </c>
      <c r="D123" s="2" t="str">
        <f t="shared" si="0"/>
        <v>Error?</v>
      </c>
    </row>
    <row r="124" spans="1:4" x14ac:dyDescent="0.2">
      <c r="A124" s="5">
        <v>63</v>
      </c>
      <c r="B124" s="137">
        <f>'Assets-Liab 5-6'!D41</f>
        <v>3187170</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4226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4226</v>
      </c>
      <c r="D140" s="2" t="str">
        <f t="shared" si="1"/>
        <v>Error?</v>
      </c>
    </row>
    <row r="141" spans="1:4" x14ac:dyDescent="0.2">
      <c r="A141" s="5">
        <v>80</v>
      </c>
      <c r="B141" s="137">
        <f>'Assets-Liab 5-6'!E41</f>
        <v>4226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450855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450855</v>
      </c>
      <c r="D170" s="2" t="str">
        <f t="shared" si="1"/>
        <v>Error?</v>
      </c>
    </row>
    <row r="171" spans="1:4" x14ac:dyDescent="0.2">
      <c r="A171" s="5">
        <v>110</v>
      </c>
      <c r="B171" s="137">
        <f>'Assets-Liab 5-6'!F41</f>
        <v>450855</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921391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921391</v>
      </c>
      <c r="D189" s="2" t="str">
        <f t="shared" si="1"/>
        <v>Error?</v>
      </c>
    </row>
    <row r="190" spans="1:4" x14ac:dyDescent="0.2">
      <c r="A190" s="5">
        <v>129</v>
      </c>
      <c r="B190" s="137">
        <f>'Assets-Liab 5-6'!G41</f>
        <v>921391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110334</v>
      </c>
      <c r="D273" s="2" t="str">
        <f t="shared" si="3"/>
        <v>Error?</v>
      </c>
    </row>
    <row r="274" spans="1:4" x14ac:dyDescent="0.2">
      <c r="A274" s="5">
        <v>213</v>
      </c>
      <c r="B274" s="137">
        <f>'Assets-Liab 5-6'!M17</f>
        <v>7391288</v>
      </c>
      <c r="D274" s="2" t="str">
        <f t="shared" si="3"/>
        <v>Error?</v>
      </c>
    </row>
    <row r="275" spans="1:4" x14ac:dyDescent="0.2">
      <c r="A275" s="5">
        <v>214</v>
      </c>
      <c r="B275" s="137">
        <f>'Assets-Liab 5-6'!M18</f>
        <v>0</v>
      </c>
      <c r="D275" s="2" t="str">
        <f t="shared" si="3"/>
        <v>Error?</v>
      </c>
    </row>
    <row r="276" spans="1:4" x14ac:dyDescent="0.2">
      <c r="A276" s="5">
        <v>215</v>
      </c>
      <c r="B276" s="137">
        <f>'Assets-Liab 5-6'!M19</f>
        <v>629911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8492465</v>
      </c>
      <c r="C279" s="2" t="s">
        <v>594</v>
      </c>
      <c r="D279" s="2" t="str">
        <f t="shared" si="3"/>
        <v>Error?</v>
      </c>
    </row>
    <row r="280" spans="1:4" x14ac:dyDescent="0.2">
      <c r="A280" s="5">
        <v>219</v>
      </c>
      <c r="B280" s="137">
        <f>'Assets-Liab 5-6'!M40</f>
        <v>8492465</v>
      </c>
      <c r="D280" s="2" t="str">
        <f t="shared" si="3"/>
        <v>Error?</v>
      </c>
    </row>
    <row r="281" spans="1:4" x14ac:dyDescent="0.2">
      <c r="A281" s="5">
        <v>220</v>
      </c>
      <c r="B281" s="137">
        <f>'Assets-Liab 5-6'!M41</f>
        <v>8492465</v>
      </c>
      <c r="C281" s="2" t="s">
        <v>594</v>
      </c>
      <c r="D281" s="2" t="str">
        <f t="shared" si="3"/>
        <v>Error?</v>
      </c>
    </row>
    <row r="282" spans="1:4" x14ac:dyDescent="0.2">
      <c r="A282" s="5">
        <v>221</v>
      </c>
      <c r="B282" s="137">
        <f>'Assets-Liab 5-6'!N21</f>
        <v>4226</v>
      </c>
      <c r="D282" s="2" t="str">
        <f t="shared" si="3"/>
        <v>Error?</v>
      </c>
    </row>
    <row r="283" spans="1:4" x14ac:dyDescent="0.2">
      <c r="A283" s="5">
        <v>222</v>
      </c>
      <c r="B283" s="137">
        <f>'Assets-Liab 5-6'!N22</f>
        <v>3989195</v>
      </c>
      <c r="D283" s="2" t="str">
        <f t="shared" si="3"/>
        <v>Error?</v>
      </c>
    </row>
    <row r="284" spans="1:4" x14ac:dyDescent="0.2">
      <c r="A284" s="5">
        <v>223</v>
      </c>
      <c r="B284" s="137">
        <f>'Assets-Liab 5-6'!N23</f>
        <v>3993421</v>
      </c>
      <c r="C284" s="2" t="s">
        <v>594</v>
      </c>
      <c r="D284" s="2" t="str">
        <f t="shared" si="3"/>
        <v>Error?</v>
      </c>
    </row>
    <row r="285" spans="1:4" x14ac:dyDescent="0.2">
      <c r="A285" s="5">
        <v>224</v>
      </c>
      <c r="B285" s="137">
        <f>'Assets-Liab 5-6'!N36</f>
        <v>3993421</v>
      </c>
      <c r="D285" s="2" t="str">
        <f t="shared" si="3"/>
        <v>Error?</v>
      </c>
    </row>
    <row r="286" spans="1:4" x14ac:dyDescent="0.2">
      <c r="A286" s="10">
        <v>225</v>
      </c>
      <c r="D286" s="2" t="str">
        <f t="shared" si="3"/>
        <v>OK</v>
      </c>
    </row>
    <row r="287" spans="1:4" x14ac:dyDescent="0.2">
      <c r="A287" s="5">
        <v>226</v>
      </c>
      <c r="B287" s="137">
        <f>'Assets-Liab 5-6'!N37</f>
        <v>3993421</v>
      </c>
      <c r="C287" s="2" t="s">
        <v>594</v>
      </c>
      <c r="D287" s="2" t="str">
        <f t="shared" si="3"/>
        <v>Error?</v>
      </c>
    </row>
    <row r="288" spans="1:4" x14ac:dyDescent="0.2">
      <c r="A288" s="5">
        <v>227</v>
      </c>
      <c r="B288" s="137">
        <f>'Assets-Liab 5-6'!N41</f>
        <v>3993421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23896</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3815811</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840</v>
      </c>
      <c r="D719" s="2" t="str">
        <f t="shared" si="10"/>
        <v>Error?</v>
      </c>
    </row>
    <row r="720" spans="1:4" x14ac:dyDescent="0.2">
      <c r="A720" s="5">
        <v>659</v>
      </c>
      <c r="B720" s="137">
        <f>'Expenditures 15-22'!C33</f>
        <v>4757096</v>
      </c>
      <c r="C720" s="2" t="s">
        <v>594</v>
      </c>
      <c r="D720" s="2" t="str">
        <f t="shared" si="10"/>
        <v>Error?</v>
      </c>
    </row>
    <row r="721" spans="1:4" x14ac:dyDescent="0.2">
      <c r="A721" s="5">
        <v>660</v>
      </c>
      <c r="B721" s="137">
        <f>'Expenditures 15-22'!C36</f>
        <v>161829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101614</v>
      </c>
      <c r="D723" s="2" t="str">
        <f t="shared" si="10"/>
        <v>Error?</v>
      </c>
    </row>
    <row r="724" spans="1:4" x14ac:dyDescent="0.2">
      <c r="A724" s="5">
        <v>663</v>
      </c>
      <c r="B724" s="137">
        <f>'Expenditures 15-22'!C39</f>
        <v>0</v>
      </c>
      <c r="D724" s="2" t="str">
        <f t="shared" si="10"/>
        <v>Error?</v>
      </c>
    </row>
    <row r="725" spans="1:4" x14ac:dyDescent="0.2">
      <c r="A725" s="5">
        <v>664</v>
      </c>
      <c r="B725" s="137">
        <f>'Expenditures 15-22'!C40</f>
        <v>64561</v>
      </c>
      <c r="D725" s="2" t="str">
        <f t="shared" si="10"/>
        <v>Error?</v>
      </c>
    </row>
    <row r="726" spans="1:4" x14ac:dyDescent="0.2">
      <c r="A726" s="5">
        <v>665</v>
      </c>
      <c r="B726" s="137">
        <f>'Expenditures 15-22'!C41</f>
        <v>0</v>
      </c>
      <c r="D726" s="2" t="str">
        <f t="shared" si="10"/>
        <v>Error?</v>
      </c>
    </row>
    <row r="727" spans="1:4" x14ac:dyDescent="0.2">
      <c r="A727" s="5">
        <v>666</v>
      </c>
      <c r="B727" s="137">
        <f>'Expenditures 15-22'!C42</f>
        <v>328004</v>
      </c>
      <c r="C727" s="2" t="s">
        <v>594</v>
      </c>
      <c r="D727" s="2" t="str">
        <f t="shared" si="10"/>
        <v>Error?</v>
      </c>
    </row>
    <row r="728" spans="1:4" x14ac:dyDescent="0.2">
      <c r="A728" s="5">
        <v>667</v>
      </c>
      <c r="B728" s="137">
        <f>'Expenditures 15-22'!C44</f>
        <v>34768</v>
      </c>
      <c r="D728" s="2" t="str">
        <f t="shared" si="10"/>
        <v>Error?</v>
      </c>
    </row>
    <row r="729" spans="1:4" x14ac:dyDescent="0.2">
      <c r="A729" s="5">
        <v>668</v>
      </c>
      <c r="B729" s="137">
        <f>'Expenditures 15-22'!C45</f>
        <v>105617</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140385</v>
      </c>
      <c r="C731" s="2" t="s">
        <v>594</v>
      </c>
      <c r="D731" s="2" t="str">
        <f t="shared" si="10"/>
        <v>Error?</v>
      </c>
    </row>
    <row r="732" spans="1:4" x14ac:dyDescent="0.2">
      <c r="A732" s="5">
        <v>671</v>
      </c>
      <c r="B732" s="137">
        <f>'Expenditures 15-22'!C49</f>
        <v>6534</v>
      </c>
      <c r="D732" s="2" t="str">
        <f t="shared" si="10"/>
        <v>Error?</v>
      </c>
    </row>
    <row r="733" spans="1:4" x14ac:dyDescent="0.2">
      <c r="A733" s="5">
        <v>672</v>
      </c>
      <c r="B733" s="137">
        <f>'Expenditures 15-22'!C50</f>
        <v>186469</v>
      </c>
      <c r="D733" s="2" t="str">
        <f t="shared" si="10"/>
        <v>Error?</v>
      </c>
    </row>
    <row r="734" spans="1:4" x14ac:dyDescent="0.2">
      <c r="A734" s="5">
        <v>673</v>
      </c>
      <c r="B734" s="137">
        <f>'Expenditures 15-22'!C53</f>
        <v>342066</v>
      </c>
      <c r="C734" s="2" t="s">
        <v>594</v>
      </c>
      <c r="D734" s="2" t="str">
        <f t="shared" si="10"/>
        <v>Error?</v>
      </c>
    </row>
    <row r="735" spans="1:4" x14ac:dyDescent="0.2">
      <c r="A735" s="5">
        <v>674</v>
      </c>
      <c r="B735" s="137">
        <f>'Expenditures 15-22'!C55</f>
        <v>544677</v>
      </c>
      <c r="D735" s="2" t="str">
        <f t="shared" si="10"/>
        <v>Error?</v>
      </c>
    </row>
    <row r="736" spans="1:4" x14ac:dyDescent="0.2">
      <c r="A736" s="5">
        <v>675</v>
      </c>
      <c r="B736" s="137">
        <f>'Expenditures 15-22'!C56</f>
        <v>0</v>
      </c>
      <c r="D736" s="2" t="str">
        <f t="shared" si="10"/>
        <v>Error?</v>
      </c>
    </row>
    <row r="737" spans="1:4" x14ac:dyDescent="0.2">
      <c r="A737" s="5">
        <v>676</v>
      </c>
      <c r="B737" s="137">
        <f>'Expenditures 15-22'!C57</f>
        <v>544677</v>
      </c>
      <c r="C737" s="2" t="s">
        <v>594</v>
      </c>
      <c r="D737" s="2" t="str">
        <f t="shared" si="10"/>
        <v>Error?</v>
      </c>
    </row>
    <row r="738" spans="1:4" x14ac:dyDescent="0.2">
      <c r="A738" s="5">
        <v>677</v>
      </c>
      <c r="B738" s="137">
        <f>'Expenditures 15-22'!C59</f>
        <v>120200</v>
      </c>
      <c r="D738" s="2" t="str">
        <f t="shared" si="10"/>
        <v>Error?</v>
      </c>
    </row>
    <row r="739" spans="1:4" x14ac:dyDescent="0.2">
      <c r="A739" s="5">
        <v>678</v>
      </c>
      <c r="B739" s="137">
        <f>'Expenditures 15-22'!C60</f>
        <v>229640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55927</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405767</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127250</v>
      </c>
      <c r="D751" s="2" t="str">
        <f t="shared" si="10"/>
        <v>Error?</v>
      </c>
    </row>
    <row r="752" spans="1:4" x14ac:dyDescent="0.2">
      <c r="A752" s="10">
        <v>691</v>
      </c>
      <c r="D752" s="2" t="str">
        <f t="shared" si="10"/>
        <v>OK</v>
      </c>
    </row>
    <row r="753" spans="1:4" x14ac:dyDescent="0.2">
      <c r="A753" s="5">
        <v>692</v>
      </c>
      <c r="B753" s="137">
        <f>'Expenditures 15-22'!C72</f>
        <v>127250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1888149</v>
      </c>
      <c r="C755" s="2" t="s">
        <v>594</v>
      </c>
      <c r="D755" s="2" t="str">
        <f t="shared" si="10"/>
        <v>Error?</v>
      </c>
    </row>
    <row r="756" spans="1:4" x14ac:dyDescent="0.2">
      <c r="A756" s="5">
        <v>695</v>
      </c>
      <c r="B756" s="137">
        <f>'Expenditures 15-22'!C75</f>
        <v>15474</v>
      </c>
      <c r="D756" s="2" t="str">
        <f t="shared" si="10"/>
        <v>Error?</v>
      </c>
    </row>
    <row r="757" spans="1:4" x14ac:dyDescent="0.2">
      <c r="A757" s="5">
        <v>696</v>
      </c>
      <c r="B757" s="137">
        <f>'Expenditures 15-22'!C114</f>
        <v>6660719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814875</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12</v>
      </c>
      <c r="D777" s="2" t="str">
        <f t="shared" si="11"/>
        <v>Error?</v>
      </c>
    </row>
    <row r="778" spans="1:4" x14ac:dyDescent="0.2">
      <c r="A778" s="5">
        <v>717</v>
      </c>
      <c r="B778" s="137">
        <f>'Expenditures 15-22'!D33</f>
        <v>1056653</v>
      </c>
      <c r="C778" s="2" t="s">
        <v>594</v>
      </c>
      <c r="D778" s="2" t="str">
        <f t="shared" si="11"/>
        <v>Error?</v>
      </c>
    </row>
    <row r="779" spans="1:4" x14ac:dyDescent="0.2">
      <c r="A779" s="5">
        <v>718</v>
      </c>
      <c r="B779" s="137">
        <f>'Expenditures 15-22'!D36</f>
        <v>19730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36450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3724</v>
      </c>
      <c r="D783" s="2" t="str">
        <f t="shared" si="11"/>
        <v>Error?</v>
      </c>
    </row>
    <row r="784" spans="1:4" x14ac:dyDescent="0.2">
      <c r="A784" s="5">
        <v>723</v>
      </c>
      <c r="B784" s="137">
        <f>'Expenditures 15-22'!D41</f>
        <v>0</v>
      </c>
      <c r="D784" s="2" t="str">
        <f t="shared" si="11"/>
        <v>Error?</v>
      </c>
    </row>
    <row r="785" spans="1:4" x14ac:dyDescent="0.2">
      <c r="A785" s="5">
        <v>724</v>
      </c>
      <c r="B785" s="137">
        <f>'Expenditures 15-22'!D42</f>
        <v>59904</v>
      </c>
      <c r="C785" s="2" t="s">
        <v>594</v>
      </c>
      <c r="D785" s="2" t="str">
        <f t="shared" si="11"/>
        <v>Error?</v>
      </c>
    </row>
    <row r="786" spans="1:4" x14ac:dyDescent="0.2">
      <c r="A786" s="5">
        <v>725</v>
      </c>
      <c r="B786" s="137">
        <f>'Expenditures 15-22'!D44</f>
        <v>12193</v>
      </c>
      <c r="D786" s="2" t="str">
        <f t="shared" si="11"/>
        <v>Error?</v>
      </c>
    </row>
    <row r="787" spans="1:4" x14ac:dyDescent="0.2">
      <c r="A787" s="5">
        <v>726</v>
      </c>
      <c r="B787" s="137">
        <f>'Expenditures 15-22'!D45</f>
        <v>21872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34065</v>
      </c>
      <c r="C789" s="2" t="s">
        <v>594</v>
      </c>
      <c r="D789" s="2" t="str">
        <f t="shared" si="11"/>
        <v>Error?</v>
      </c>
    </row>
    <row r="790" spans="1:4" x14ac:dyDescent="0.2">
      <c r="A790" s="5">
        <v>729</v>
      </c>
      <c r="B790" s="137">
        <f>'Expenditures 15-22'!D49</f>
        <v>5149</v>
      </c>
      <c r="D790" s="2" t="str">
        <f t="shared" si="11"/>
        <v>Error?</v>
      </c>
    </row>
    <row r="791" spans="1:4" x14ac:dyDescent="0.2">
      <c r="A791" s="5">
        <v>730</v>
      </c>
      <c r="B791" s="137">
        <f>'Expenditures 15-22'!D50</f>
        <v>37427</v>
      </c>
      <c r="D791" s="2" t="str">
        <f t="shared" si="11"/>
        <v>Error?</v>
      </c>
    </row>
    <row r="792" spans="1:4" x14ac:dyDescent="0.2">
      <c r="A792" s="5">
        <v>731</v>
      </c>
      <c r="B792" s="137">
        <f>'Expenditures 15-22'!D53</f>
        <v>83237</v>
      </c>
      <c r="C792" s="2" t="s">
        <v>594</v>
      </c>
      <c r="D792" s="2" t="str">
        <f t="shared" si="11"/>
        <v>Error?</v>
      </c>
    </row>
    <row r="793" spans="1:4" x14ac:dyDescent="0.2">
      <c r="A793" s="5">
        <v>732</v>
      </c>
      <c r="B793" s="137">
        <f>'Expenditures 15-22'!D55</f>
        <v>149609</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149609</v>
      </c>
      <c r="C795" s="2" t="s">
        <v>594</v>
      </c>
      <c r="D795" s="2" t="str">
        <f t="shared" si="11"/>
        <v>Error?</v>
      </c>
    </row>
    <row r="796" spans="1:4" x14ac:dyDescent="0.2">
      <c r="A796" s="5">
        <v>735</v>
      </c>
      <c r="B796" s="137">
        <f>'Expenditures 15-22'!D59</f>
        <v>42814</v>
      </c>
      <c r="D796" s="2" t="str">
        <f t="shared" si="11"/>
        <v>Error?</v>
      </c>
    </row>
    <row r="797" spans="1:4" x14ac:dyDescent="0.2">
      <c r="A797" s="5">
        <v>736</v>
      </c>
      <c r="B797" s="137">
        <f>'Expenditures 15-22'!D60</f>
        <v>72515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115329</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45236</v>
      </c>
      <c r="D809" s="2" t="str">
        <f t="shared" si="11"/>
        <v>Error?</v>
      </c>
    </row>
    <row r="810" spans="1:4" x14ac:dyDescent="0.2">
      <c r="A810" s="10">
        <v>749</v>
      </c>
      <c r="D810" s="2" t="str">
        <f t="shared" si="11"/>
        <v>OK</v>
      </c>
    </row>
    <row r="811" spans="1:4" x14ac:dyDescent="0.2">
      <c r="A811" s="5">
        <v>750</v>
      </c>
      <c r="B811" s="137">
        <f>'Expenditures 15-22'!D72</f>
        <v>45236</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487380</v>
      </c>
      <c r="C813" s="2" t="s">
        <v>594</v>
      </c>
      <c r="D813" s="2" t="str">
        <f t="shared" si="11"/>
        <v>Error?</v>
      </c>
    </row>
    <row r="814" spans="1:4" x14ac:dyDescent="0.2">
      <c r="A814" s="5">
        <v>753</v>
      </c>
      <c r="B814" s="137">
        <f>'Expenditures 15-22'!D75</f>
        <v>2674</v>
      </c>
      <c r="D814" s="2" t="str">
        <f t="shared" si="11"/>
        <v>Error?</v>
      </c>
    </row>
    <row r="815" spans="1:4" x14ac:dyDescent="0.2">
      <c r="A815" s="5">
        <v>754</v>
      </c>
      <c r="B815" s="137">
        <f>'Expenditures 15-22'!D114</f>
        <v>1546707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39833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69376</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77388</v>
      </c>
      <c r="D839" s="2" t="str">
        <f t="shared" si="12"/>
        <v>Error?</v>
      </c>
    </row>
    <row r="840" spans="1:4" x14ac:dyDescent="0.2">
      <c r="A840" s="5">
        <v>779</v>
      </c>
      <c r="B840" s="137">
        <f>'Expenditures 15-22'!E39</f>
        <v>8800</v>
      </c>
      <c r="D840" s="2" t="str">
        <f t="shared" si="12"/>
        <v>Error?</v>
      </c>
    </row>
    <row r="841" spans="1:4" x14ac:dyDescent="0.2">
      <c r="A841" s="5">
        <v>780</v>
      </c>
      <c r="B841" s="137">
        <f>'Expenditures 15-22'!E40</f>
        <v>16790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102978</v>
      </c>
      <c r="C843" s="2" t="s">
        <v>594</v>
      </c>
      <c r="D843" s="2" t="str">
        <f t="shared" si="12"/>
        <v>Error?</v>
      </c>
    </row>
    <row r="844" spans="1:4" x14ac:dyDescent="0.2">
      <c r="A844" s="5">
        <v>783</v>
      </c>
      <c r="B844" s="137">
        <f>'Expenditures 15-22'!E44</f>
        <v>38158</v>
      </c>
      <c r="D844" s="2" t="str">
        <f t="shared" si="12"/>
        <v>Error?</v>
      </c>
    </row>
    <row r="845" spans="1:4" x14ac:dyDescent="0.2">
      <c r="A845" s="5">
        <v>784</v>
      </c>
      <c r="B845" s="137">
        <f>'Expenditures 15-22'!E45</f>
        <v>0</v>
      </c>
      <c r="D845" s="2" t="str">
        <f t="shared" si="12"/>
        <v>Error?</v>
      </c>
    </row>
    <row r="846" spans="1:4" x14ac:dyDescent="0.2">
      <c r="A846" s="5">
        <v>785</v>
      </c>
      <c r="B846" s="137">
        <f>'Expenditures 15-22'!E46</f>
        <v>9900</v>
      </c>
      <c r="D846" s="2" t="str">
        <f t="shared" si="12"/>
        <v>Error?</v>
      </c>
    </row>
    <row r="847" spans="1:4" x14ac:dyDescent="0.2">
      <c r="A847" s="5">
        <v>786</v>
      </c>
      <c r="B847" s="137">
        <f>'Expenditures 15-22'!E47</f>
        <v>48058</v>
      </c>
      <c r="C847" s="2" t="s">
        <v>594</v>
      </c>
      <c r="D847" s="2" t="str">
        <f t="shared" si="12"/>
        <v>Error?</v>
      </c>
    </row>
    <row r="848" spans="1:4" x14ac:dyDescent="0.2">
      <c r="A848" s="5">
        <v>787</v>
      </c>
      <c r="B848" s="137">
        <f>'Expenditures 15-22'!E49</f>
        <v>112920</v>
      </c>
      <c r="D848" s="2" t="str">
        <f t="shared" si="12"/>
        <v>Error?</v>
      </c>
    </row>
    <row r="849" spans="1:4" x14ac:dyDescent="0.2">
      <c r="A849" s="5">
        <v>788</v>
      </c>
      <c r="B849" s="137">
        <f>'Expenditures 15-22'!E50</f>
        <v>3155</v>
      </c>
      <c r="D849" s="2" t="str">
        <f t="shared" si="12"/>
        <v>Error?</v>
      </c>
    </row>
    <row r="850" spans="1:4" x14ac:dyDescent="0.2">
      <c r="A850" s="5">
        <v>789</v>
      </c>
      <c r="B850" s="137">
        <f>'Expenditures 15-22'!E53</f>
        <v>116075</v>
      </c>
      <c r="C850" s="2" t="s">
        <v>594</v>
      </c>
      <c r="D850" s="2" t="str">
        <f t="shared" si="12"/>
        <v>Error?</v>
      </c>
    </row>
    <row r="851" spans="1:4" x14ac:dyDescent="0.2">
      <c r="A851" s="5">
        <v>790</v>
      </c>
      <c r="B851" s="137">
        <f>'Expenditures 15-22'!E55</f>
        <v>894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894</v>
      </c>
      <c r="C853" s="2" t="s">
        <v>594</v>
      </c>
      <c r="D853" s="2" t="str">
        <f t="shared" si="12"/>
        <v>Error?</v>
      </c>
    </row>
    <row r="854" spans="1:4" x14ac:dyDescent="0.2">
      <c r="A854" s="5">
        <v>793</v>
      </c>
      <c r="B854" s="137">
        <f>'Expenditures 15-22'!E59</f>
        <v>1563</v>
      </c>
      <c r="D854" s="2" t="str">
        <f t="shared" si="12"/>
        <v>Error?</v>
      </c>
    </row>
    <row r="855" spans="1:4" x14ac:dyDescent="0.2">
      <c r="A855" s="5">
        <v>794</v>
      </c>
      <c r="B855" s="137">
        <f>'Expenditures 15-22'!E60</f>
        <v>1143</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2706</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270711</v>
      </c>
      <c r="C871" s="2" t="s">
        <v>594</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340087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380174</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473</v>
      </c>
      <c r="D893" s="2" t="str">
        <f t="shared" si="12"/>
        <v>Error?</v>
      </c>
    </row>
    <row r="894" spans="1:4" x14ac:dyDescent="0.2">
      <c r="A894" s="5">
        <v>833</v>
      </c>
      <c r="B894" s="137">
        <f>'Expenditures 15-22'!F33</f>
        <v>380647</v>
      </c>
      <c r="C894" s="2" t="s">
        <v>594</v>
      </c>
      <c r="D894" s="2" t="str">
        <f t="shared" si="12"/>
        <v>Error?</v>
      </c>
    </row>
    <row r="895" spans="1:4" x14ac:dyDescent="0.2">
      <c r="A895" s="5">
        <v>834</v>
      </c>
      <c r="B895" s="137">
        <f>'Expenditures 15-22'!F36</f>
        <v>286</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3462</v>
      </c>
      <c r="D897" s="2" t="str">
        <f t="shared" si="13"/>
        <v>Error?</v>
      </c>
    </row>
    <row r="898" spans="1:4" x14ac:dyDescent="0.2">
      <c r="A898" s="5">
        <v>837</v>
      </c>
      <c r="B898" s="137">
        <f>'Expenditures 15-22'!F39</f>
        <v>0</v>
      </c>
      <c r="D898" s="2" t="str">
        <f t="shared" si="13"/>
        <v>Error?</v>
      </c>
    </row>
    <row r="899" spans="1:4" x14ac:dyDescent="0.2">
      <c r="A899" s="5">
        <v>838</v>
      </c>
      <c r="B899" s="137">
        <f>'Expenditures 15-22'!F40</f>
        <v>368</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4116</v>
      </c>
      <c r="C901" s="2" t="s">
        <v>594</v>
      </c>
      <c r="D901" s="2" t="str">
        <f t="shared" si="13"/>
        <v>Error?</v>
      </c>
    </row>
    <row r="902" spans="1:4" x14ac:dyDescent="0.2">
      <c r="A902" s="5">
        <v>841</v>
      </c>
      <c r="B902" s="137">
        <f>'Expenditures 15-22'!F44</f>
        <v>1406</v>
      </c>
      <c r="D902" s="2" t="str">
        <f t="shared" si="13"/>
        <v>Error?</v>
      </c>
    </row>
    <row r="903" spans="1:4" x14ac:dyDescent="0.2">
      <c r="A903" s="5">
        <v>842</v>
      </c>
      <c r="B903" s="137">
        <f>'Expenditures 15-22'!F45</f>
        <v>4155</v>
      </c>
      <c r="D903" s="2" t="str">
        <f t="shared" si="13"/>
        <v>Error?</v>
      </c>
    </row>
    <row r="904" spans="1:4" x14ac:dyDescent="0.2">
      <c r="A904" s="5">
        <v>843</v>
      </c>
      <c r="B904" s="137">
        <f>'Expenditures 15-22'!F46</f>
        <v>14127</v>
      </c>
      <c r="D904" s="2" t="str">
        <f t="shared" si="13"/>
        <v>Error?</v>
      </c>
    </row>
    <row r="905" spans="1:4" x14ac:dyDescent="0.2">
      <c r="A905" s="5">
        <v>844</v>
      </c>
      <c r="B905" s="137">
        <f>'Expenditures 15-22'!F47</f>
        <v>19688</v>
      </c>
      <c r="C905" s="2" t="s">
        <v>594</v>
      </c>
      <c r="D905" s="2" t="str">
        <f t="shared" si="13"/>
        <v>Error?</v>
      </c>
    </row>
    <row r="906" spans="1:4" x14ac:dyDescent="0.2">
      <c r="A906" s="5">
        <v>845</v>
      </c>
      <c r="B906" s="137">
        <f>'Expenditures 15-22'!F49</f>
        <v>4</v>
      </c>
      <c r="D906" s="2" t="str">
        <f t="shared" si="13"/>
        <v>Error?</v>
      </c>
    </row>
    <row r="907" spans="1:4" x14ac:dyDescent="0.2">
      <c r="A907" s="5">
        <v>846</v>
      </c>
      <c r="B907" s="137">
        <f>'Expenditures 15-22'!F50</f>
        <v>60</v>
      </c>
      <c r="D907" s="2" t="str">
        <f t="shared" si="13"/>
        <v>Error?</v>
      </c>
    </row>
    <row r="908" spans="1:4" x14ac:dyDescent="0.2">
      <c r="A908" s="5">
        <v>847</v>
      </c>
      <c r="B908" s="137">
        <f>'Expenditures 15-22'!F53</f>
        <v>64</v>
      </c>
      <c r="C908" s="2" t="s">
        <v>594</v>
      </c>
      <c r="D908" s="2" t="str">
        <f t="shared" si="13"/>
        <v>Error?</v>
      </c>
    </row>
    <row r="909" spans="1:4" x14ac:dyDescent="0.2">
      <c r="A909" s="5">
        <v>848</v>
      </c>
      <c r="B909" s="137">
        <f>'Expenditures 15-22'!F55</f>
        <v>10755</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10755</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10838</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465538</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476376</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510999</v>
      </c>
      <c r="C929" s="2" t="s">
        <v>594</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891646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554563</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554563</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4444</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4444</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4444</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559007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309</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5074</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5743</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6529</v>
      </c>
      <c r="D1022" s="2" t="str">
        <f t="shared" si="14"/>
        <v>Error?</v>
      </c>
    </row>
    <row r="1023" spans="1:4" x14ac:dyDescent="0.2">
      <c r="A1023" s="5">
        <v>962</v>
      </c>
      <c r="B1023" s="137">
        <f>'Expenditures 15-22'!H50</f>
        <v>2074</v>
      </c>
      <c r="D1023" s="2" t="str">
        <f t="shared" ref="D1023:D1086" si="15">IF(ISBLANK(B1023),"OK",IF(A1023-B1023=0,"OK","Error?"))</f>
        <v>Error?</v>
      </c>
    </row>
    <row r="1024" spans="1:4" x14ac:dyDescent="0.2">
      <c r="A1024" s="5">
        <v>963</v>
      </c>
      <c r="B1024" s="137">
        <f>'Expenditures 15-22'!H53</f>
        <v>8603</v>
      </c>
      <c r="C1024" s="2" t="s">
        <v>594</v>
      </c>
      <c r="D1024" s="2" t="str">
        <f t="shared" si="15"/>
        <v>Error?</v>
      </c>
    </row>
    <row r="1025" spans="1:4" x14ac:dyDescent="0.2">
      <c r="A1025" s="5">
        <v>964</v>
      </c>
      <c r="B1025" s="137">
        <f>'Expenditures 15-22'!H55</f>
        <v>1458</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1458</v>
      </c>
      <c r="C1027" s="2" t="s">
        <v>594</v>
      </c>
      <c r="D1027" s="2" t="str">
        <f t="shared" si="15"/>
        <v>Error?</v>
      </c>
    </row>
    <row r="1028" spans="1:4" x14ac:dyDescent="0.2">
      <c r="A1028" s="5">
        <v>967</v>
      </c>
      <c r="B1028" s="137">
        <f>'Expenditures 15-22'!H59</f>
        <v>1490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1490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11551</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1234453</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1251747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5612670</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5074</v>
      </c>
      <c r="C1106" s="2" t="s">
        <v>594</v>
      </c>
      <c r="D1106" s="2" t="str">
        <f t="shared" si="16"/>
        <v>Error?</v>
      </c>
    </row>
    <row r="1107" spans="1:4" x14ac:dyDescent="0.2">
      <c r="A1107" s="5">
        <v>1046</v>
      </c>
      <c r="B1107" s="137">
        <f>'Expenditures 15-22'!K15</f>
        <v>1325</v>
      </c>
      <c r="C1107" s="2" t="s">
        <v>594</v>
      </c>
      <c r="D1107" s="2" t="str">
        <f t="shared" si="16"/>
        <v>Error?</v>
      </c>
    </row>
    <row r="1108" spans="1:4" x14ac:dyDescent="0.2">
      <c r="A1108" s="5">
        <v>1047</v>
      </c>
      <c r="B1108" s="137">
        <f>'Expenditures 15-22'!K33</f>
        <v>6831183</v>
      </c>
      <c r="C1108" s="2" t="s">
        <v>594</v>
      </c>
      <c r="D1108" s="2" t="str">
        <f t="shared" si="16"/>
        <v>Error?</v>
      </c>
    </row>
    <row r="1109" spans="1:4" x14ac:dyDescent="0.2">
      <c r="A1109" s="5">
        <v>1048</v>
      </c>
      <c r="B1109" s="137">
        <f>'Expenditures 15-22'!K36</f>
        <v>181845</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218914</v>
      </c>
      <c r="C1111" s="2" t="s">
        <v>594</v>
      </c>
      <c r="D1111" s="2" t="str">
        <f t="shared" si="16"/>
        <v>Error?</v>
      </c>
    </row>
    <row r="1112" spans="1:4" x14ac:dyDescent="0.2">
      <c r="A1112" s="5">
        <v>1051</v>
      </c>
      <c r="B1112" s="137">
        <f>'Expenditures 15-22'!K39</f>
        <v>8800</v>
      </c>
      <c r="C1112" s="2" t="s">
        <v>594</v>
      </c>
      <c r="D1112" s="2" t="str">
        <f t="shared" si="16"/>
        <v>Error?</v>
      </c>
    </row>
    <row r="1113" spans="1:4" x14ac:dyDescent="0.2">
      <c r="A1113" s="5">
        <v>1052</v>
      </c>
      <c r="B1113" s="137">
        <f>'Expenditures 15-22'!K40</f>
        <v>85443</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495002</v>
      </c>
      <c r="C1115" s="2" t="s">
        <v>594</v>
      </c>
      <c r="D1115" s="2" t="str">
        <f t="shared" si="16"/>
        <v>Error?</v>
      </c>
    </row>
    <row r="1116" spans="1:4" x14ac:dyDescent="0.2">
      <c r="A1116" s="5">
        <v>1055</v>
      </c>
      <c r="B1116" s="137">
        <f>'Expenditures 15-22'!K44</f>
        <v>86525</v>
      </c>
      <c r="C1116" s="2" t="s">
        <v>594</v>
      </c>
      <c r="D1116" s="2" t="str">
        <f t="shared" si="16"/>
        <v>Error?</v>
      </c>
    </row>
    <row r="1117" spans="1:4" x14ac:dyDescent="0.2">
      <c r="A1117" s="5">
        <v>1056</v>
      </c>
      <c r="B1117" s="137">
        <f>'Expenditures 15-22'!K45</f>
        <v>131644</v>
      </c>
      <c r="C1117" s="2" t="s">
        <v>594</v>
      </c>
      <c r="D1117" s="2" t="str">
        <f t="shared" si="16"/>
        <v>Error?</v>
      </c>
    </row>
    <row r="1118" spans="1:4" x14ac:dyDescent="0.2">
      <c r="A1118" s="5">
        <v>1057</v>
      </c>
      <c r="B1118" s="137">
        <f>'Expenditures 15-22'!K46</f>
        <v>24027</v>
      </c>
      <c r="C1118" s="2" t="s">
        <v>594</v>
      </c>
      <c r="D1118" s="2" t="str">
        <f t="shared" si="16"/>
        <v>Error?</v>
      </c>
    </row>
    <row r="1119" spans="1:4" x14ac:dyDescent="0.2">
      <c r="A1119" s="5">
        <v>1058</v>
      </c>
      <c r="B1119" s="137">
        <f>'Expenditures 15-22'!K47</f>
        <v>242196</v>
      </c>
      <c r="C1119" s="2" t="s">
        <v>594</v>
      </c>
      <c r="D1119" s="2" t="str">
        <f t="shared" si="16"/>
        <v>Error?</v>
      </c>
    </row>
    <row r="1120" spans="1:4" x14ac:dyDescent="0.2">
      <c r="A1120" s="5">
        <v>1059</v>
      </c>
      <c r="B1120" s="137">
        <f>'Expenditures 15-22'!K49</f>
        <v>131136</v>
      </c>
      <c r="C1120" s="2" t="s">
        <v>594</v>
      </c>
      <c r="D1120" s="2" t="str">
        <f t="shared" si="16"/>
        <v>Error?</v>
      </c>
    </row>
    <row r="1121" spans="1:4" x14ac:dyDescent="0.2">
      <c r="A1121" s="5">
        <v>1060</v>
      </c>
      <c r="B1121" s="137">
        <f>'Expenditures 15-22'!K50</f>
        <v>229185</v>
      </c>
      <c r="C1121" s="2" t="s">
        <v>594</v>
      </c>
      <c r="D1121" s="2" t="str">
        <f t="shared" si="16"/>
        <v>Error?</v>
      </c>
    </row>
    <row r="1122" spans="1:4" x14ac:dyDescent="0.2">
      <c r="A1122" s="5">
        <v>1061</v>
      </c>
      <c r="B1122" s="137">
        <f>'Expenditures 15-22'!K53</f>
        <v>550045</v>
      </c>
      <c r="C1122" s="2" t="s">
        <v>594</v>
      </c>
      <c r="D1122" s="2" t="str">
        <f t="shared" si="16"/>
        <v>Error?</v>
      </c>
    </row>
    <row r="1123" spans="1:4" x14ac:dyDescent="0.2">
      <c r="A1123" s="5">
        <v>1062</v>
      </c>
      <c r="B1123" s="137">
        <f>'Expenditures 15-22'!K55</f>
        <v>707393</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707393</v>
      </c>
      <c r="C1125" s="2" t="s">
        <v>594</v>
      </c>
      <c r="D1125" s="2" t="str">
        <f t="shared" si="16"/>
        <v>Error?</v>
      </c>
    </row>
    <row r="1126" spans="1:4" x14ac:dyDescent="0.2">
      <c r="A1126" s="5">
        <v>1065</v>
      </c>
      <c r="B1126" s="137">
        <f>'Expenditures 15-22'!K59</f>
        <v>166067</v>
      </c>
      <c r="C1126" s="2" t="s">
        <v>594</v>
      </c>
      <c r="D1126" s="2" t="str">
        <f t="shared" si="16"/>
        <v>Error?</v>
      </c>
    </row>
    <row r="1127" spans="1:4" x14ac:dyDescent="0.2">
      <c r="A1127" s="5">
        <v>1066</v>
      </c>
      <c r="B1127" s="137">
        <f>'Expenditures 15-22'!K60</f>
        <v>314136</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525909</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1006112</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172486</v>
      </c>
      <c r="C1139" s="2" t="s">
        <v>594</v>
      </c>
      <c r="D1139" s="2" t="str">
        <f t="shared" si="16"/>
        <v>Error?</v>
      </c>
    </row>
    <row r="1140" spans="1:4" x14ac:dyDescent="0.2">
      <c r="A1140" s="10">
        <v>1079</v>
      </c>
      <c r="D1140" s="2" t="str">
        <f t="shared" si="16"/>
        <v>OK</v>
      </c>
    </row>
    <row r="1141" spans="1:4" x14ac:dyDescent="0.2">
      <c r="A1141" s="5">
        <v>1080</v>
      </c>
      <c r="B1141" s="137">
        <f>'Expenditures 15-22'!K72</f>
        <v>172486</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3173234</v>
      </c>
      <c r="C1143" s="2" t="s">
        <v>594</v>
      </c>
      <c r="D1143" s="2" t="str">
        <f t="shared" si="16"/>
        <v>Error?</v>
      </c>
    </row>
    <row r="1144" spans="1:4" x14ac:dyDescent="0.2">
      <c r="A1144" s="5">
        <v>1083</v>
      </c>
      <c r="B1144" s="137">
        <f>'Expenditures 15-22'!K75</f>
        <v>18148</v>
      </c>
      <c r="C1144" s="2" t="s">
        <v>594</v>
      </c>
      <c r="D1144" s="2" t="str">
        <f t="shared" si="16"/>
        <v>Error?</v>
      </c>
    </row>
    <row r="1145" spans="1:4" x14ac:dyDescent="0.2">
      <c r="A1145" s="5">
        <v>1084</v>
      </c>
      <c r="B1145" s="137">
        <f>'Expenditures 15-22'!K102</f>
        <v>1234453</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11257018</v>
      </c>
      <c r="C1152" s="2" t="s">
        <v>594</v>
      </c>
      <c r="D1152" s="2" t="str">
        <f t="shared" si="17"/>
        <v>Error?</v>
      </c>
    </row>
    <row r="1153" spans="1:4" x14ac:dyDescent="0.2">
      <c r="A1153" s="5">
        <v>1092</v>
      </c>
      <c r="B1153" s="137">
        <f>'Expenditures 15-22'!K115</f>
        <v>1031406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488445</v>
      </c>
      <c r="D1221" s="2" t="str">
        <f t="shared" si="18"/>
        <v>Error?</v>
      </c>
    </row>
    <row r="1222" spans="1:4" x14ac:dyDescent="0.2">
      <c r="A1222" s="10">
        <v>1161</v>
      </c>
      <c r="D1222" s="2" t="str">
        <f t="shared" si="18"/>
        <v>OK</v>
      </c>
    </row>
    <row r="1223" spans="1:4" x14ac:dyDescent="0.2">
      <c r="A1223" s="5">
        <v>1162</v>
      </c>
      <c r="B1223" s="137">
        <f>'Expenditures 15-22'!C127</f>
        <v>488445</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488445</v>
      </c>
      <c r="C1225" s="2" t="s">
        <v>594</v>
      </c>
      <c r="D1225" s="2" t="str">
        <f t="shared" si="18"/>
        <v>Error?</v>
      </c>
    </row>
    <row r="1226" spans="1:4" x14ac:dyDescent="0.2">
      <c r="A1226" s="5">
        <v>1165</v>
      </c>
      <c r="B1226" s="137">
        <f>'Expenditures 15-22'!C151</f>
        <v>488445</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86290</v>
      </c>
      <c r="D1229" s="2" t="str">
        <f t="shared" si="18"/>
        <v>Error?</v>
      </c>
    </row>
    <row r="1230" spans="1:4" x14ac:dyDescent="0.2">
      <c r="A1230" s="10">
        <v>1169</v>
      </c>
      <c r="D1230" s="2" t="str">
        <f t="shared" si="18"/>
        <v>OK</v>
      </c>
    </row>
    <row r="1231" spans="1:4" x14ac:dyDescent="0.2">
      <c r="A1231" s="5">
        <v>1170</v>
      </c>
      <c r="B1231" s="137">
        <f>'Expenditures 15-22'!D127</f>
        <v>86290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86290</v>
      </c>
      <c r="C1233" s="2" t="s">
        <v>594</v>
      </c>
      <c r="D1233" s="2" t="str">
        <f t="shared" si="18"/>
        <v>Error?</v>
      </c>
    </row>
    <row r="1234" spans="1:4" x14ac:dyDescent="0.2">
      <c r="A1234" s="5">
        <v>1173</v>
      </c>
      <c r="B1234" s="137">
        <f>'Expenditures 15-22'!D151</f>
        <v>86290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487375</v>
      </c>
      <c r="D1237" s="2" t="str">
        <f t="shared" si="18"/>
        <v>Error?</v>
      </c>
    </row>
    <row r="1238" spans="1:4" x14ac:dyDescent="0.2">
      <c r="A1238" s="10">
        <v>1177</v>
      </c>
      <c r="D1238" s="2" t="str">
        <f t="shared" si="18"/>
        <v>OK</v>
      </c>
    </row>
    <row r="1239" spans="1:4" x14ac:dyDescent="0.2">
      <c r="A1239" s="5">
        <v>1178</v>
      </c>
      <c r="B1239" s="137">
        <f>'Expenditures 15-22'!E127</f>
        <v>487375</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487375</v>
      </c>
      <c r="C1241" s="2" t="s">
        <v>594</v>
      </c>
      <c r="D1241" s="2" t="str">
        <f t="shared" si="18"/>
        <v>Error?</v>
      </c>
    </row>
    <row r="1242" spans="1:4" x14ac:dyDescent="0.2">
      <c r="A1242" s="5">
        <v>1181</v>
      </c>
      <c r="B1242" s="137">
        <f>'Expenditures 15-22'!E151</f>
        <v>487375</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273990</v>
      </c>
      <c r="D1245" s="2" t="str">
        <f t="shared" si="18"/>
        <v>Error?</v>
      </c>
    </row>
    <row r="1246" spans="1:4" x14ac:dyDescent="0.2">
      <c r="A1246" s="10">
        <v>1185</v>
      </c>
      <c r="D1246" s="2" t="str">
        <f t="shared" si="18"/>
        <v>OK</v>
      </c>
    </row>
    <row r="1247" spans="1:4" x14ac:dyDescent="0.2">
      <c r="A1247" s="5">
        <v>1186</v>
      </c>
      <c r="B1247" s="137">
        <f>'Expenditures 15-22'!F127</f>
        <v>273990</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273990</v>
      </c>
      <c r="C1249" s="2" t="s">
        <v>594</v>
      </c>
      <c r="D1249" s="2" t="str">
        <f t="shared" si="18"/>
        <v>Error?</v>
      </c>
    </row>
    <row r="1250" spans="1:4" x14ac:dyDescent="0.2">
      <c r="A1250" s="5">
        <v>1189</v>
      </c>
      <c r="B1250" s="137">
        <f>'Expenditures 15-22'!F151</f>
        <v>273990</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848575</v>
      </c>
      <c r="D1252" s="2" t="str">
        <f t="shared" si="18"/>
        <v>Error?</v>
      </c>
    </row>
    <row r="1253" spans="1:4" x14ac:dyDescent="0.2">
      <c r="A1253" s="5">
        <v>1192</v>
      </c>
      <c r="B1253" s="137">
        <f>'Expenditures 15-22'!G124</f>
        <v>157099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1005674</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1005674</v>
      </c>
      <c r="C1258" s="2" t="s">
        <v>594</v>
      </c>
      <c r="D1258" s="2" t="str">
        <f t="shared" si="18"/>
        <v>Error?</v>
      </c>
    </row>
    <row r="1259" spans="1:4" x14ac:dyDescent="0.2">
      <c r="A1259" s="5">
        <v>1198</v>
      </c>
      <c r="B1259" s="137">
        <f>'Expenditures 15-22'!G151</f>
        <v>1005674</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848575</v>
      </c>
      <c r="C1275" s="2" t="s">
        <v>594</v>
      </c>
      <c r="D1275" s="2" t="str">
        <f t="shared" si="18"/>
        <v>Error?</v>
      </c>
    </row>
    <row r="1276" spans="1:4" x14ac:dyDescent="0.2">
      <c r="A1276" s="5">
        <v>1215</v>
      </c>
      <c r="B1276" s="137">
        <f>'Expenditures 15-22'!K124</f>
        <v>1537665</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2386240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2386240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2386240</v>
      </c>
      <c r="C1288" s="2" t="s">
        <v>594</v>
      </c>
      <c r="D1288" s="2" t="str">
        <f t="shared" si="19"/>
        <v>Error?</v>
      </c>
    </row>
    <row r="1289" spans="1:4" x14ac:dyDescent="0.2">
      <c r="A1289" s="5">
        <v>1228</v>
      </c>
      <c r="B1289" s="137">
        <f>'Expenditures 15-22'!K152</f>
        <v>-429998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800</v>
      </c>
      <c r="D1307" s="2" t="str">
        <f t="shared" si="19"/>
        <v>Error?</v>
      </c>
    </row>
    <row r="1308" spans="1:4" x14ac:dyDescent="0.2">
      <c r="A1308" s="5">
        <v>1247</v>
      </c>
      <c r="B1308" s="137">
        <f>'Expenditures 15-22'!E172</f>
        <v>800</v>
      </c>
      <c r="C1308" s="2" t="s">
        <v>594</v>
      </c>
      <c r="D1308" s="2" t="str">
        <f t="shared" si="19"/>
        <v>Error?</v>
      </c>
    </row>
    <row r="1309" spans="1:4" x14ac:dyDescent="0.2">
      <c r="A1309" s="5">
        <v>1248</v>
      </c>
      <c r="B1309" s="137">
        <f>'Expenditures 15-22'!E174</f>
        <v>800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447748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252252</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700000</v>
      </c>
      <c r="C1317" s="2" t="s">
        <v>594</v>
      </c>
      <c r="D1317" s="2" t="str">
        <f t="shared" si="19"/>
        <v>Error?</v>
      </c>
    </row>
    <row r="1318" spans="1:4" x14ac:dyDescent="0.2">
      <c r="A1318" s="5">
        <v>1257</v>
      </c>
      <c r="B1318" s="137">
        <f>'Expenditures 15-22'!H174</f>
        <v>700000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447748</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252252</v>
      </c>
      <c r="C1329" s="2" t="s">
        <v>594</v>
      </c>
      <c r="D1329" s="2" t="str">
        <f t="shared" si="19"/>
        <v>Error?</v>
      </c>
    </row>
    <row r="1330" spans="1:4" x14ac:dyDescent="0.2">
      <c r="A1330" s="5">
        <v>1269</v>
      </c>
      <c r="B1330" s="137">
        <f>'Expenditures 15-22'!K171</f>
        <v>800</v>
      </c>
      <c r="C1330" s="2" t="s">
        <v>594</v>
      </c>
      <c r="D1330" s="2" t="str">
        <f t="shared" si="19"/>
        <v>Error?</v>
      </c>
    </row>
    <row r="1331" spans="1:4" x14ac:dyDescent="0.2">
      <c r="A1331" s="5">
        <v>1270</v>
      </c>
      <c r="B1331" s="137">
        <f>'Expenditures 15-22'!K172</f>
        <v>700800</v>
      </c>
      <c r="C1331" s="2" t="s">
        <v>594</v>
      </c>
      <c r="D1331" s="2" t="str">
        <f t="shared" si="19"/>
        <v>Error?</v>
      </c>
    </row>
    <row r="1332" spans="1:4" x14ac:dyDescent="0.2">
      <c r="A1332" s="5">
        <v>1271</v>
      </c>
      <c r="B1332" s="137">
        <f>'Expenditures 15-22'!K174</f>
        <v>700800</v>
      </c>
      <c r="C1332" s="2" t="s">
        <v>594</v>
      </c>
      <c r="D1332" s="2" t="str">
        <f t="shared" si="19"/>
        <v>Error?</v>
      </c>
    </row>
    <row r="1333" spans="1:4" x14ac:dyDescent="0.2">
      <c r="A1333" s="5">
        <v>1272</v>
      </c>
      <c r="B1333" s="137">
        <f>'Expenditures 15-22'!K175</f>
        <v>-273152</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317101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317101</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317101</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317101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317101</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317101</v>
      </c>
      <c r="C1388" s="2" t="s">
        <v>594</v>
      </c>
      <c r="D1388" s="2" t="str">
        <f t="shared" si="20"/>
        <v>Error?</v>
      </c>
    </row>
    <row r="1389" spans="1:4" x14ac:dyDescent="0.2">
      <c r="A1389" s="5">
        <v>1328</v>
      </c>
      <c r="B1389" s="137">
        <f>'Expenditures 15-22'!K211</f>
        <v>1174753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11</v>
      </c>
      <c r="D1409" s="2" t="str">
        <f t="shared" si="21"/>
        <v>Error?</v>
      </c>
    </row>
    <row r="1410" spans="1:4" x14ac:dyDescent="0.2">
      <c r="A1410" s="5">
        <v>1349</v>
      </c>
      <c r="B1410" s="137">
        <f>'Expenditures 15-22'!D229</f>
        <v>151470</v>
      </c>
      <c r="C1410" s="2" t="s">
        <v>594</v>
      </c>
      <c r="D1410" s="2" t="str">
        <f t="shared" si="21"/>
        <v>Error?</v>
      </c>
    </row>
    <row r="1411" spans="1:4" x14ac:dyDescent="0.2">
      <c r="A1411" s="5">
        <v>1350</v>
      </c>
      <c r="B1411" s="137">
        <f>'Expenditures 15-22'!D232</f>
        <v>2323</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16908</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975</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20206</v>
      </c>
      <c r="C1417" s="2" t="s">
        <v>594</v>
      </c>
      <c r="D1417" s="2" t="str">
        <f t="shared" si="21"/>
        <v>Error?</v>
      </c>
    </row>
    <row r="1418" spans="1:4" x14ac:dyDescent="0.2">
      <c r="A1418" s="5">
        <v>1357</v>
      </c>
      <c r="B1418" s="137">
        <f>'Expenditures 15-22'!D240</f>
        <v>499</v>
      </c>
      <c r="D1418" s="2" t="str">
        <f t="shared" si="21"/>
        <v>Error?</v>
      </c>
    </row>
    <row r="1419" spans="1:4" x14ac:dyDescent="0.2">
      <c r="A1419" s="5">
        <v>1358</v>
      </c>
      <c r="B1419" s="137">
        <f>'Expenditures 15-22'!D241</f>
        <v>1452</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1951</v>
      </c>
      <c r="C1421" s="2" t="s">
        <v>594</v>
      </c>
      <c r="D1421" s="2" t="str">
        <f t="shared" si="21"/>
        <v>Error?</v>
      </c>
    </row>
    <row r="1422" spans="1:4" x14ac:dyDescent="0.2">
      <c r="A1422" s="5">
        <v>1361</v>
      </c>
      <c r="B1422" s="137">
        <f>'Expenditures 15-22'!D245</f>
        <v>1107</v>
      </c>
      <c r="D1422" s="2" t="str">
        <f t="shared" si="21"/>
        <v>Error?</v>
      </c>
    </row>
    <row r="1423" spans="1:4" x14ac:dyDescent="0.2">
      <c r="A1423" s="5">
        <v>1362</v>
      </c>
      <c r="B1423" s="137">
        <f>'Expenditures 15-22'!D246</f>
        <v>5553</v>
      </c>
      <c r="D1423" s="2" t="str">
        <f t="shared" si="21"/>
        <v>Error?</v>
      </c>
    </row>
    <row r="1424" spans="1:4" x14ac:dyDescent="0.2">
      <c r="A1424" s="5">
        <v>1363</v>
      </c>
      <c r="B1424" s="137">
        <f>'Expenditures 15-22'!D257</f>
        <v>15994</v>
      </c>
      <c r="C1424" s="2" t="s">
        <v>594</v>
      </c>
      <c r="D1424" s="2" t="str">
        <f t="shared" si="21"/>
        <v>Error?</v>
      </c>
    </row>
    <row r="1425" spans="1:4" x14ac:dyDescent="0.2">
      <c r="A1425" s="5">
        <v>1364</v>
      </c>
      <c r="B1425" s="137">
        <f>'Expenditures 15-22'!D259</f>
        <v>33341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33341</v>
      </c>
      <c r="C1427" s="2" t="s">
        <v>594</v>
      </c>
      <c r="D1427" s="2" t="str">
        <f t="shared" si="21"/>
        <v>Error?</v>
      </c>
    </row>
    <row r="1428" spans="1:4" x14ac:dyDescent="0.2">
      <c r="A1428" s="5">
        <v>1367</v>
      </c>
      <c r="B1428" s="137">
        <f>'Expenditures 15-22'!D263</f>
        <v>1706</v>
      </c>
      <c r="D1428" s="2" t="str">
        <f t="shared" si="21"/>
        <v>Error?</v>
      </c>
    </row>
    <row r="1429" spans="1:4" x14ac:dyDescent="0.2">
      <c r="A1429" s="5">
        <v>1368</v>
      </c>
      <c r="B1429" s="137">
        <f>'Expenditures 15-22'!D264</f>
        <v>38047</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84125</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4270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128148</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22402</v>
      </c>
      <c r="D1442" s="2" t="str">
        <f t="shared" si="21"/>
        <v>Error?</v>
      </c>
    </row>
    <row r="1443" spans="1:4" x14ac:dyDescent="0.2">
      <c r="A1443" s="10">
        <v>1382</v>
      </c>
      <c r="D1443" s="2" t="str">
        <f t="shared" si="21"/>
        <v>OK</v>
      </c>
    </row>
    <row r="1444" spans="1:4" x14ac:dyDescent="0.2">
      <c r="A1444" s="5">
        <v>1383</v>
      </c>
      <c r="B1444" s="137">
        <f>'Expenditures 15-22'!D277</f>
        <v>22402</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222042</v>
      </c>
      <c r="C1446" s="2" t="s">
        <v>594</v>
      </c>
      <c r="D1446" s="2" t="str">
        <f t="shared" si="21"/>
        <v>Error?</v>
      </c>
    </row>
    <row r="1447" spans="1:4" x14ac:dyDescent="0.2">
      <c r="A1447" s="5">
        <v>1386</v>
      </c>
      <c r="B1447" s="137">
        <f>'Expenditures 15-22'!D280</f>
        <v>218</v>
      </c>
      <c r="D1447" s="2" t="str">
        <f t="shared" si="21"/>
        <v>Error?</v>
      </c>
    </row>
    <row r="1448" spans="1:4" x14ac:dyDescent="0.2">
      <c r="A1448" s="5">
        <v>1387</v>
      </c>
      <c r="B1448" s="137">
        <f>'Expenditures 15-22'!D295</f>
        <v>373730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11</v>
      </c>
      <c r="C1473" s="2" t="s">
        <v>594</v>
      </c>
      <c r="D1473" s="2" t="str">
        <f t="shared" si="22"/>
        <v>Error?</v>
      </c>
    </row>
    <row r="1474" spans="1:4" x14ac:dyDescent="0.2">
      <c r="A1474" s="5">
        <v>1413</v>
      </c>
      <c r="B1474" s="137">
        <f>'Expenditures 15-22'!K229</f>
        <v>151470</v>
      </c>
      <c r="C1474" s="2" t="s">
        <v>594</v>
      </c>
      <c r="D1474" s="2" t="str">
        <f t="shared" si="22"/>
        <v>Error?</v>
      </c>
    </row>
    <row r="1475" spans="1:4" x14ac:dyDescent="0.2">
      <c r="A1475" s="5">
        <v>1414</v>
      </c>
      <c r="B1475" s="137">
        <f>'Expenditures 15-22'!K232</f>
        <v>2323</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16908</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975</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20206</v>
      </c>
      <c r="C1481" s="2" t="s">
        <v>594</v>
      </c>
      <c r="D1481" s="2" t="str">
        <f t="shared" si="22"/>
        <v>Error?</v>
      </c>
    </row>
    <row r="1482" spans="1:4" x14ac:dyDescent="0.2">
      <c r="A1482" s="5">
        <v>1421</v>
      </c>
      <c r="B1482" s="137">
        <f>'Expenditures 15-22'!K240</f>
        <v>499</v>
      </c>
      <c r="C1482" s="2" t="s">
        <v>594</v>
      </c>
      <c r="D1482" s="2" t="str">
        <f t="shared" si="22"/>
        <v>Error?</v>
      </c>
    </row>
    <row r="1483" spans="1:4" x14ac:dyDescent="0.2">
      <c r="A1483" s="5">
        <v>1422</v>
      </c>
      <c r="B1483" s="137">
        <f>'Expenditures 15-22'!K241</f>
        <v>1452</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1951</v>
      </c>
      <c r="C1485" s="2" t="s">
        <v>594</v>
      </c>
      <c r="D1485" s="2" t="str">
        <f t="shared" si="22"/>
        <v>Error?</v>
      </c>
    </row>
    <row r="1486" spans="1:4" x14ac:dyDescent="0.2">
      <c r="A1486" s="5">
        <v>1425</v>
      </c>
      <c r="B1486" s="137">
        <f>'Expenditures 15-22'!K245</f>
        <v>1107</v>
      </c>
      <c r="C1486" s="2" t="s">
        <v>594</v>
      </c>
      <c r="D1486" s="2" t="str">
        <f t="shared" si="22"/>
        <v>Error?</v>
      </c>
    </row>
    <row r="1487" spans="1:4" x14ac:dyDescent="0.2">
      <c r="A1487" s="5">
        <v>1426</v>
      </c>
      <c r="B1487" s="137">
        <f>'Expenditures 15-22'!K246</f>
        <v>5553</v>
      </c>
      <c r="C1487" s="2" t="s">
        <v>594</v>
      </c>
      <c r="D1487" s="2" t="str">
        <f t="shared" si="22"/>
        <v>Error?</v>
      </c>
    </row>
    <row r="1488" spans="1:4" x14ac:dyDescent="0.2">
      <c r="A1488" s="5">
        <v>1427</v>
      </c>
      <c r="B1488" s="137">
        <f>'Expenditures 15-22'!K257</f>
        <v>15994</v>
      </c>
      <c r="C1488" s="2" t="s">
        <v>594</v>
      </c>
      <c r="D1488" s="2" t="str">
        <f t="shared" si="22"/>
        <v>Error?</v>
      </c>
    </row>
    <row r="1489" spans="1:4" x14ac:dyDescent="0.2">
      <c r="A1489" s="5">
        <v>1428</v>
      </c>
      <c r="B1489" s="137">
        <f>'Expenditures 15-22'!K259</f>
        <v>33341</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33341</v>
      </c>
      <c r="C1491" s="2" t="s">
        <v>594</v>
      </c>
      <c r="D1491" s="2" t="str">
        <f t="shared" si="22"/>
        <v>Error?</v>
      </c>
    </row>
    <row r="1492" spans="1:4" x14ac:dyDescent="0.2">
      <c r="A1492" s="5">
        <v>1431</v>
      </c>
      <c r="B1492" s="137">
        <f>'Expenditures 15-22'!K263</f>
        <v>1706</v>
      </c>
      <c r="C1492" s="2" t="s">
        <v>594</v>
      </c>
      <c r="D1492" s="2" t="str">
        <f t="shared" si="22"/>
        <v>Error?</v>
      </c>
    </row>
    <row r="1493" spans="1:4" x14ac:dyDescent="0.2">
      <c r="A1493" s="5">
        <v>1432</v>
      </c>
      <c r="B1493" s="137">
        <f>'Expenditures 15-22'!K264</f>
        <v>38047</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84125</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4270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128148</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22402</v>
      </c>
      <c r="C1506" s="2" t="s">
        <v>594</v>
      </c>
      <c r="D1506" s="2" t="str">
        <f t="shared" si="22"/>
        <v>Error?</v>
      </c>
    </row>
    <row r="1507" spans="1:4" x14ac:dyDescent="0.2">
      <c r="A1507" s="10">
        <v>1446</v>
      </c>
      <c r="D1507" s="2" t="str">
        <f t="shared" si="22"/>
        <v>OK</v>
      </c>
    </row>
    <row r="1508" spans="1:4" x14ac:dyDescent="0.2">
      <c r="A1508" s="5">
        <v>1447</v>
      </c>
      <c r="B1508" s="137">
        <f>'Expenditures 15-22'!K277</f>
        <v>22402</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222042</v>
      </c>
      <c r="C1510" s="2" t="s">
        <v>594</v>
      </c>
      <c r="D1510" s="2" t="str">
        <f t="shared" si="22"/>
        <v>Error?</v>
      </c>
    </row>
    <row r="1511" spans="1:4" x14ac:dyDescent="0.2">
      <c r="A1511" s="5">
        <v>1450</v>
      </c>
      <c r="B1511" s="137">
        <f>'Expenditures 15-22'!K280</f>
        <v>218</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373730</v>
      </c>
      <c r="C1517" s="2" t="s">
        <v>594</v>
      </c>
      <c r="D1517" s="2" t="str">
        <f t="shared" si="22"/>
        <v>Error?</v>
      </c>
    </row>
    <row r="1518" spans="1:4" x14ac:dyDescent="0.2">
      <c r="A1518" s="5">
        <v>1457</v>
      </c>
      <c r="B1518" s="137">
        <f>'Expenditures 15-22'!K296</f>
        <v>-95381</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6600435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7690769</v>
      </c>
      <c r="C1630" s="2" t="s">
        <v>594</v>
      </c>
      <c r="D1630" s="2" t="str">
        <f t="shared" si="24"/>
        <v>Error?</v>
      </c>
    </row>
    <row r="1631" spans="1:4" x14ac:dyDescent="0.2">
      <c r="A1631" s="5">
        <v>1570</v>
      </c>
      <c r="B1631" s="137">
        <f>'Acct Summary 7-8'!D79</f>
        <v>2617168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3187170</v>
      </c>
      <c r="C1644" s="2" t="s">
        <v>594</v>
      </c>
      <c r="D1644" s="2" t="str">
        <f t="shared" si="24"/>
        <v>Error?</v>
      </c>
    </row>
    <row r="1645" spans="1:4" x14ac:dyDescent="0.2">
      <c r="A1645" s="5">
        <v>1584</v>
      </c>
      <c r="B1645" s="137">
        <f>'Acct Summary 7-8'!E79</f>
        <v>279927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4226</v>
      </c>
      <c r="C1658" s="2" t="s">
        <v>594</v>
      </c>
      <c r="D1658" s="2" t="str">
        <f t="shared" si="24"/>
        <v>Error?</v>
      </c>
    </row>
    <row r="1659" spans="1:4" x14ac:dyDescent="0.2">
      <c r="A1659" s="5">
        <v>1598</v>
      </c>
      <c r="B1659" s="137">
        <f>'Acct Summary 7-8'!F79</f>
        <v>299105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450855</v>
      </c>
      <c r="C1672" s="2" t="s">
        <v>594</v>
      </c>
      <c r="D1672" s="2" t="str">
        <f t="shared" si="25"/>
        <v>Error?</v>
      </c>
    </row>
    <row r="1673" spans="1:4" x14ac:dyDescent="0.2">
      <c r="A1673" s="5">
        <v>1612</v>
      </c>
      <c r="B1673" s="137">
        <f>'Acct Summary 7-8'!G79</f>
        <v>1026252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921391</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6088416</v>
      </c>
      <c r="C1744" s="2" t="s">
        <v>594</v>
      </c>
      <c r="D1744" s="2" t="str">
        <f t="shared" si="26"/>
        <v>Error?</v>
      </c>
    </row>
    <row r="1745" spans="1:5" x14ac:dyDescent="0.2">
      <c r="A1745" s="5">
        <v>1684</v>
      </c>
      <c r="B1745" s="137">
        <f>'Tax Sched 23'!B5</f>
        <v>794720</v>
      </c>
      <c r="C1745" s="2" t="s">
        <v>594</v>
      </c>
      <c r="D1745" s="2" t="str">
        <f t="shared" si="26"/>
        <v>Error?</v>
      </c>
    </row>
    <row r="1746" spans="1:5" x14ac:dyDescent="0.2">
      <c r="A1746" s="5">
        <v>1685</v>
      </c>
      <c r="B1746" s="137">
        <f>'Tax Sched 23'!B6</f>
        <v>425099</v>
      </c>
      <c r="C1746" s="2" t="s">
        <v>594</v>
      </c>
      <c r="D1746" s="2" t="str">
        <f t="shared" si="26"/>
        <v>Error?</v>
      </c>
    </row>
    <row r="1747" spans="1:5" x14ac:dyDescent="0.2">
      <c r="A1747" s="5">
        <v>1686</v>
      </c>
      <c r="B1747" s="137">
        <f>'Tax Sched 23'!B7</f>
        <v>1230184</v>
      </c>
      <c r="C1747" s="2" t="s">
        <v>594</v>
      </c>
      <c r="D1747" s="2" t="str">
        <f t="shared" si="26"/>
        <v>Error?</v>
      </c>
    </row>
    <row r="1748" spans="1:5" x14ac:dyDescent="0.2">
      <c r="A1748" s="5">
        <v>1687</v>
      </c>
      <c r="B1748" s="137">
        <f>'Tax Sched 23'!B8</f>
        <v>124334</v>
      </c>
      <c r="C1748" s="2" t="s">
        <v>594</v>
      </c>
      <c r="D1748" s="2" t="str">
        <f t="shared" si="26"/>
        <v>Error?</v>
      </c>
    </row>
    <row r="1749" spans="1:5" x14ac:dyDescent="0.2">
      <c r="A1749" s="5">
        <v>1688</v>
      </c>
      <c r="B1749" s="137">
        <f>'Tax Sched 23'!B10</f>
        <v>72059</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188921</v>
      </c>
      <c r="C1752" s="2" t="s">
        <v>594</v>
      </c>
      <c r="D1752" s="2" t="str">
        <f t="shared" si="26"/>
        <v>Error?</v>
      </c>
    </row>
    <row r="1753" spans="1:5" x14ac:dyDescent="0.2">
      <c r="A1753" s="5">
        <v>1692</v>
      </c>
      <c r="B1753" s="137">
        <f>'Tax Sched 23'!B12</f>
        <v>144638</v>
      </c>
      <c r="C1753" s="2" t="s">
        <v>594</v>
      </c>
      <c r="D1753" s="2" t="str">
        <f t="shared" si="26"/>
        <v>Error?</v>
      </c>
    </row>
    <row r="1754" spans="1:5" x14ac:dyDescent="0.2">
      <c r="A1754" s="5">
        <v>1693</v>
      </c>
      <c r="B1754" s="137">
        <f>'Tax Sched 23'!B14</f>
        <v>578023</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9782919</v>
      </c>
      <c r="C1759" s="2" t="s">
        <v>594</v>
      </c>
      <c r="D1759" s="2" t="str">
        <f t="shared" si="26"/>
        <v>Error?</v>
      </c>
    </row>
    <row r="1760" spans="1:5" x14ac:dyDescent="0.2">
      <c r="A1760" s="5">
        <v>1699</v>
      </c>
      <c r="B1760" s="137">
        <f>'Tax Sched 23'!D4</f>
        <v>2377486</v>
      </c>
      <c r="C1760" s="2" t="s">
        <v>594</v>
      </c>
      <c r="D1760" s="2" t="str">
        <f t="shared" si="26"/>
        <v>Error?</v>
      </c>
    </row>
    <row r="1761" spans="1:5" x14ac:dyDescent="0.2">
      <c r="A1761" s="5">
        <v>1700</v>
      </c>
      <c r="B1761" s="137">
        <f>'Tax Sched 23'!D5</f>
        <v>373457</v>
      </c>
      <c r="C1761" s="2" t="s">
        <v>594</v>
      </c>
      <c r="D1761" s="2" t="str">
        <f t="shared" si="26"/>
        <v>Error?</v>
      </c>
    </row>
    <row r="1762" spans="1:5" s="8" customFormat="1" x14ac:dyDescent="0.2">
      <c r="A1762" s="5">
        <v>1701</v>
      </c>
      <c r="B1762" s="137">
        <f>'Tax Sched 23'!D6</f>
        <v>52524</v>
      </c>
      <c r="C1762" s="2" t="s">
        <v>594</v>
      </c>
      <c r="D1762" s="2" t="str">
        <f t="shared" si="26"/>
        <v>Error?</v>
      </c>
      <c r="E1762" s="9"/>
    </row>
    <row r="1763" spans="1:5" x14ac:dyDescent="0.2">
      <c r="A1763" s="5">
        <v>1702</v>
      </c>
      <c r="B1763" s="137">
        <f>'Tax Sched 23'!D7</f>
        <v>1060303</v>
      </c>
      <c r="C1763" s="2" t="s">
        <v>594</v>
      </c>
      <c r="D1763" s="2" t="str">
        <f t="shared" si="26"/>
        <v>Error?</v>
      </c>
    </row>
    <row r="1764" spans="1:5" x14ac:dyDescent="0.2">
      <c r="A1764" s="5">
        <v>1703</v>
      </c>
      <c r="B1764" s="137">
        <f>'Tax Sched 23'!D8</f>
        <v>71941</v>
      </c>
      <c r="C1764" s="2" t="s">
        <v>594</v>
      </c>
      <c r="D1764" s="2" t="str">
        <f t="shared" si="26"/>
        <v>Error?</v>
      </c>
    </row>
    <row r="1765" spans="1:5" x14ac:dyDescent="0.2">
      <c r="A1765" s="5">
        <v>1704</v>
      </c>
      <c r="B1765" s="137">
        <f>'Tax Sched 23'!D10</f>
        <v>33955</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97365</v>
      </c>
      <c r="C1768" s="2" t="s">
        <v>594</v>
      </c>
      <c r="D1768" s="2" t="str">
        <f t="shared" si="26"/>
        <v>Error?</v>
      </c>
    </row>
    <row r="1769" spans="1:5" x14ac:dyDescent="0.2">
      <c r="A1769" s="5">
        <v>1708</v>
      </c>
      <c r="B1769" s="137">
        <f>'Tax Sched 23'!D12</f>
        <v>67900</v>
      </c>
      <c r="C1769" s="2" t="s">
        <v>594</v>
      </c>
      <c r="D1769" s="2" t="str">
        <f t="shared" si="26"/>
        <v>Error?</v>
      </c>
    </row>
    <row r="1770" spans="1:5" x14ac:dyDescent="0.2">
      <c r="A1770" s="5">
        <v>1709</v>
      </c>
      <c r="B1770" s="137">
        <f>'Tax Sched 23'!D14</f>
        <v>271601</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4490664</v>
      </c>
      <c r="C1775" s="2" t="s">
        <v>594</v>
      </c>
      <c r="D1775" s="2" t="str">
        <f t="shared" si="26"/>
        <v>Error?</v>
      </c>
    </row>
    <row r="1776" spans="1:5" x14ac:dyDescent="0.2">
      <c r="A1776" s="5">
        <v>1715</v>
      </c>
      <c r="B1776" s="137">
        <f>'Tax Sched 23'!C4</f>
        <v>3710930</v>
      </c>
      <c r="D1776" s="2" t="str">
        <f t="shared" si="26"/>
        <v>Error?</v>
      </c>
    </row>
    <row r="1777" spans="1:4" x14ac:dyDescent="0.2">
      <c r="A1777" s="5">
        <v>1716</v>
      </c>
      <c r="B1777" s="137">
        <f>'Tax Sched 23'!C5</f>
        <v>421263</v>
      </c>
      <c r="D1777" s="2" t="str">
        <f t="shared" si="26"/>
        <v>Error?</v>
      </c>
    </row>
    <row r="1778" spans="1:4" x14ac:dyDescent="0.2">
      <c r="A1778" s="5">
        <v>1717</v>
      </c>
      <c r="B1778" s="137">
        <f>'Tax Sched 23'!C6</f>
        <v>372575</v>
      </c>
      <c r="D1778" s="2" t="str">
        <f t="shared" si="26"/>
        <v>Error?</v>
      </c>
    </row>
    <row r="1779" spans="1:4" x14ac:dyDescent="0.2">
      <c r="A1779" s="5">
        <v>1718</v>
      </c>
      <c r="B1779" s="137">
        <f>'Tax Sched 23'!C7</f>
        <v>169881</v>
      </c>
      <c r="D1779" s="2" t="str">
        <f t="shared" si="26"/>
        <v>Error?</v>
      </c>
    </row>
    <row r="1780" spans="1:4" x14ac:dyDescent="0.2">
      <c r="A1780" s="5">
        <v>1719</v>
      </c>
      <c r="B1780" s="137">
        <f>'Tax Sched 23'!C8</f>
        <v>52393</v>
      </c>
      <c r="D1780" s="2" t="str">
        <f t="shared" si="26"/>
        <v>Error?</v>
      </c>
    </row>
    <row r="1781" spans="1:4" x14ac:dyDescent="0.2">
      <c r="A1781" s="5">
        <v>1720</v>
      </c>
      <c r="B1781" s="137">
        <f>'Tax Sched 23'!C10</f>
        <v>38104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91556</v>
      </c>
      <c r="D1784" s="2" t="str">
        <f t="shared" si="26"/>
        <v>Error?</v>
      </c>
    </row>
    <row r="1785" spans="1:4" x14ac:dyDescent="0.2">
      <c r="A1785" s="5">
        <v>1724</v>
      </c>
      <c r="B1785" s="137">
        <f>'Tax Sched 23'!C12</f>
        <v>76738</v>
      </c>
      <c r="D1785" s="2" t="str">
        <f t="shared" si="26"/>
        <v>Error?</v>
      </c>
    </row>
    <row r="1786" spans="1:4" x14ac:dyDescent="0.2">
      <c r="A1786" s="5">
        <v>1725</v>
      </c>
      <c r="B1786" s="137">
        <f>'Tax Sched 23'!C14</f>
        <v>306422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5292255</v>
      </c>
      <c r="C1791" s="2" t="s">
        <v>594</v>
      </c>
      <c r="D1791" s="2" t="str">
        <f t="shared" ref="D1791:D1854" si="27">IF(ISBLANK(B1791),"OK",IF(A1791-B1791=0,"OK","Error?"))</f>
        <v>Error?</v>
      </c>
    </row>
    <row r="1792" spans="1:4" x14ac:dyDescent="0.2">
      <c r="A1792" s="5">
        <v>1731</v>
      </c>
      <c r="B1792" s="137">
        <f>'Tax Sched 23'!F4</f>
        <v>3612221</v>
      </c>
      <c r="C1792" s="2" t="s">
        <v>594</v>
      </c>
      <c r="D1792" s="2" t="str">
        <f t="shared" si="27"/>
        <v>Error?</v>
      </c>
    </row>
    <row r="1793" spans="1:4" x14ac:dyDescent="0.2">
      <c r="A1793" s="5">
        <v>1732</v>
      </c>
      <c r="B1793" s="137">
        <f>'Tax Sched 23'!F5</f>
        <v>410128</v>
      </c>
      <c r="C1793" s="2" t="s">
        <v>594</v>
      </c>
      <c r="D1793" s="2" t="str">
        <f t="shared" si="27"/>
        <v>Error?</v>
      </c>
    </row>
    <row r="1794" spans="1:4" x14ac:dyDescent="0.2">
      <c r="A1794" s="5">
        <v>1733</v>
      </c>
      <c r="B1794" s="137">
        <f>'Tax Sched 23'!F6</f>
        <v>362425</v>
      </c>
      <c r="C1794" s="2" t="s">
        <v>594</v>
      </c>
      <c r="D1794" s="2" t="str">
        <f t="shared" si="27"/>
        <v>Error?</v>
      </c>
    </row>
    <row r="1795" spans="1:4" x14ac:dyDescent="0.2">
      <c r="A1795" s="5">
        <v>1734</v>
      </c>
      <c r="B1795" s="137">
        <f>'Tax Sched 23'!F7</f>
        <v>164869</v>
      </c>
      <c r="C1795" s="2" t="s">
        <v>594</v>
      </c>
      <c r="D1795" s="2" t="str">
        <f t="shared" si="27"/>
        <v>Error?</v>
      </c>
    </row>
    <row r="1796" spans="1:4" x14ac:dyDescent="0.2">
      <c r="A1796" s="5">
        <v>1735</v>
      </c>
      <c r="B1796" s="137">
        <f>'Tax Sched 23'!F8</f>
        <v>50607</v>
      </c>
      <c r="C1796" s="2" t="s">
        <v>594</v>
      </c>
      <c r="D1796" s="2" t="str">
        <f t="shared" si="27"/>
        <v>Error?</v>
      </c>
    </row>
    <row r="1797" spans="1:4" x14ac:dyDescent="0.2">
      <c r="A1797" s="5">
        <v>1736</v>
      </c>
      <c r="B1797" s="137">
        <f>'Tax Sched 23'!F10</f>
        <v>37477</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88694</v>
      </c>
      <c r="C1800" s="2" t="s">
        <v>594</v>
      </c>
      <c r="D1800" s="2" t="str">
        <f t="shared" si="27"/>
        <v>Error?</v>
      </c>
    </row>
    <row r="1801" spans="1:4" x14ac:dyDescent="0.2">
      <c r="A1801" s="5">
        <v>1740</v>
      </c>
      <c r="B1801" s="137">
        <f>'Tax Sched 23'!F12</f>
        <v>74424</v>
      </c>
      <c r="C1801" s="2" t="s">
        <v>594</v>
      </c>
      <c r="D1801" s="2" t="str">
        <f t="shared" si="27"/>
        <v>Error?</v>
      </c>
    </row>
    <row r="1802" spans="1:4" x14ac:dyDescent="0.2">
      <c r="A1802" s="5">
        <v>1741</v>
      </c>
      <c r="B1802" s="137">
        <f>'Tax Sched 23'!F14</f>
        <v>298226</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5149678</v>
      </c>
      <c r="C1807" s="2" t="s">
        <v>594</v>
      </c>
      <c r="D1807" s="2" t="str">
        <f t="shared" si="27"/>
        <v>Error?</v>
      </c>
    </row>
    <row r="1808" spans="1:4" x14ac:dyDescent="0.2">
      <c r="A1808" s="5">
        <v>1747</v>
      </c>
      <c r="B1808" s="137">
        <f>'Tax Sched 23'!E4</f>
        <v>7323151</v>
      </c>
      <c r="D1808" s="2" t="str">
        <f t="shared" si="27"/>
        <v>Error?</v>
      </c>
    </row>
    <row r="1809" spans="1:4" x14ac:dyDescent="0.2">
      <c r="A1809" s="5">
        <v>1748</v>
      </c>
      <c r="B1809" s="137">
        <f>'Tax Sched 23'!E5</f>
        <v>831391</v>
      </c>
      <c r="D1809" s="2" t="str">
        <f t="shared" si="27"/>
        <v>Error?</v>
      </c>
    </row>
    <row r="1810" spans="1:4" x14ac:dyDescent="0.2">
      <c r="A1810" s="5">
        <v>1749</v>
      </c>
      <c r="B1810" s="137">
        <f>'Tax Sched 23'!E6</f>
        <v>735000</v>
      </c>
      <c r="D1810" s="2" t="str">
        <f t="shared" si="27"/>
        <v>Error?</v>
      </c>
    </row>
    <row r="1811" spans="1:4" x14ac:dyDescent="0.2">
      <c r="A1811" s="5">
        <v>1750</v>
      </c>
      <c r="B1811" s="137">
        <f>'Tax Sched 23'!E7</f>
        <v>334750</v>
      </c>
      <c r="D1811" s="2" t="str">
        <f t="shared" si="27"/>
        <v>Error?</v>
      </c>
    </row>
    <row r="1812" spans="1:4" x14ac:dyDescent="0.2">
      <c r="A1812" s="5">
        <v>1751</v>
      </c>
      <c r="B1812" s="137">
        <f>'Tax Sched 23'!E8</f>
        <v>103000</v>
      </c>
      <c r="D1812" s="2" t="str">
        <f t="shared" si="27"/>
        <v>Error?</v>
      </c>
    </row>
    <row r="1813" spans="1:4" x14ac:dyDescent="0.2">
      <c r="A1813" s="5">
        <v>1752</v>
      </c>
      <c r="B1813" s="137">
        <f>'Tax Sched 23'!E10</f>
        <v>75581</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180250</v>
      </c>
      <c r="D1816" s="2" t="str">
        <f t="shared" si="27"/>
        <v>Error?</v>
      </c>
    </row>
    <row r="1817" spans="1:4" x14ac:dyDescent="0.2">
      <c r="A1817" s="5">
        <v>1756</v>
      </c>
      <c r="B1817" s="137">
        <f>'Tax Sched 23'!E12</f>
        <v>151162</v>
      </c>
      <c r="D1817" s="2" t="str">
        <f t="shared" si="27"/>
        <v>Error?</v>
      </c>
    </row>
    <row r="1818" spans="1:4" x14ac:dyDescent="0.2">
      <c r="A1818" s="5">
        <v>1757</v>
      </c>
      <c r="B1818" s="137">
        <f>'Tax Sched 23'!E14</f>
        <v>604648</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10441933</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4455910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578023</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578023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578023</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110334</v>
      </c>
      <c r="D2008" s="2" t="str">
        <f t="shared" si="30"/>
        <v>Error?</v>
      </c>
    </row>
    <row r="2009" spans="1:4" x14ac:dyDescent="0.2">
      <c r="A2009" s="5">
        <v>1948</v>
      </c>
      <c r="B2009" s="137">
        <f>'Cap Outlay Deprec 26'!C8</f>
        <v>11552294</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3156947</v>
      </c>
      <c r="D2012" s="2" t="str">
        <f t="shared" si="30"/>
        <v>Error?</v>
      </c>
    </row>
    <row r="2013" spans="1:4" x14ac:dyDescent="0.2">
      <c r="A2013" s="5">
        <v>1952</v>
      </c>
      <c r="B2013" s="137">
        <f>'Cap Outlay Deprec 26'!C16</f>
        <v>14819575</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456361</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255874</v>
      </c>
      <c r="D2018" s="2" t="str">
        <f t="shared" si="30"/>
        <v>Error?</v>
      </c>
    </row>
    <row r="2019" spans="1:4" x14ac:dyDescent="0.2">
      <c r="A2019" s="5">
        <v>1958</v>
      </c>
      <c r="B2019" s="137">
        <f>'Cap Outlay Deprec 26'!D16</f>
        <v>1073167</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110334</v>
      </c>
      <c r="C2026" s="2" t="s">
        <v>594</v>
      </c>
      <c r="D2026" s="2" t="str">
        <f t="shared" si="30"/>
        <v>Error?</v>
      </c>
    </row>
    <row r="2027" spans="1:4" x14ac:dyDescent="0.2">
      <c r="A2027" s="5">
        <v>1966</v>
      </c>
      <c r="B2027" s="137">
        <f>'Cap Outlay Deprec 26'!F8</f>
        <v>12008655</v>
      </c>
      <c r="C2027" s="2" t="s">
        <v>594</v>
      </c>
      <c r="D2027" s="2" t="str">
        <f t="shared" si="30"/>
        <v>Error?</v>
      </c>
    </row>
    <row r="2028" spans="1:4" x14ac:dyDescent="0.2">
      <c r="A2028" s="5">
        <v>1967</v>
      </c>
      <c r="B2028" s="137">
        <f>'Cap Outlay Deprec 26'!F10</f>
        <v>0</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3412821</v>
      </c>
      <c r="C2030" s="2" t="s">
        <v>594</v>
      </c>
      <c r="D2030" s="2" t="str">
        <f t="shared" si="30"/>
        <v>Error?</v>
      </c>
    </row>
    <row r="2031" spans="1:4" x14ac:dyDescent="0.2">
      <c r="A2031" s="5">
        <v>1970</v>
      </c>
      <c r="B2031" s="137">
        <f>'Cap Outlay Deprec 26'!F16</f>
        <v>15892742</v>
      </c>
      <c r="C2031" s="2" t="s">
        <v>594</v>
      </c>
      <c r="D2031" s="2" t="str">
        <f t="shared" si="30"/>
        <v>Error?</v>
      </c>
    </row>
    <row r="2032" spans="1:4" x14ac:dyDescent="0.2">
      <c r="A2032" s="10">
        <v>1971</v>
      </c>
      <c r="D2032" s="2" t="str">
        <f t="shared" si="30"/>
        <v>OK</v>
      </c>
    </row>
    <row r="2033" spans="1:4" x14ac:dyDescent="0.2">
      <c r="A2033" s="5">
        <v>1972</v>
      </c>
      <c r="B2033" s="137">
        <f>'Cap Outlay Deprec 26'!H8</f>
        <v>4468505</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2597319</v>
      </c>
      <c r="D2036" s="2" t="str">
        <f t="shared" si="30"/>
        <v>Error?</v>
      </c>
    </row>
    <row r="2037" spans="1:4" x14ac:dyDescent="0.2">
      <c r="A2037" s="5">
        <v>1976</v>
      </c>
      <c r="B2037" s="137">
        <f>'Cap Outlay Deprec 26'!H16</f>
        <v>7065824</v>
      </c>
      <c r="C2037" s="2" t="s">
        <v>594</v>
      </c>
      <c r="D2037" s="2" t="str">
        <f t="shared" si="30"/>
        <v>Error?</v>
      </c>
    </row>
    <row r="2038" spans="1:4" x14ac:dyDescent="0.2">
      <c r="A2038" s="10">
        <v>1977</v>
      </c>
      <c r="D2038" s="2" t="str">
        <f t="shared" si="30"/>
        <v>OK</v>
      </c>
    </row>
    <row r="2039" spans="1:4" x14ac:dyDescent="0.2">
      <c r="A2039" s="5">
        <v>1978</v>
      </c>
      <c r="B2039" s="137">
        <f>'Cap Outlay Deprec 26'!I8</f>
        <v>148862</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185591</v>
      </c>
      <c r="D2042" s="2" t="str">
        <f t="shared" si="30"/>
        <v>Error?</v>
      </c>
    </row>
    <row r="2043" spans="1:4" x14ac:dyDescent="0.2">
      <c r="A2043" s="5">
        <v>1982</v>
      </c>
      <c r="B2043" s="137">
        <f>'Cap Outlay Deprec 26'!I16</f>
        <v>334453</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4617367</v>
      </c>
      <c r="C2051" s="2" t="s">
        <v>594</v>
      </c>
      <c r="D2051" s="2" t="str">
        <f t="shared" si="31"/>
        <v>Error?</v>
      </c>
    </row>
    <row r="2052" spans="1:4" x14ac:dyDescent="0.2">
      <c r="A2052" s="5">
        <v>1991</v>
      </c>
      <c r="B2052" s="137">
        <f>'Cap Outlay Deprec 26'!K10</f>
        <v>0</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2782910</v>
      </c>
      <c r="C2054" s="2" t="s">
        <v>594</v>
      </c>
      <c r="D2054" s="2" t="str">
        <f t="shared" si="31"/>
        <v>Error?</v>
      </c>
    </row>
    <row r="2055" spans="1:4" x14ac:dyDescent="0.2">
      <c r="A2055" s="5">
        <v>1994</v>
      </c>
      <c r="B2055" s="137">
        <f>'Cap Outlay Deprec 26'!K16</f>
        <v>7400277</v>
      </c>
      <c r="C2055" s="2" t="s">
        <v>594</v>
      </c>
      <c r="D2055" s="2" t="str">
        <f t="shared" si="31"/>
        <v>Error?</v>
      </c>
    </row>
    <row r="2056" spans="1:4" x14ac:dyDescent="0.2">
      <c r="A2056" s="5">
        <v>1995</v>
      </c>
      <c r="B2056" s="137">
        <f>'Cap Outlay Deprec 26'!L5</f>
        <v>110334</v>
      </c>
      <c r="C2056" s="2" t="s">
        <v>594</v>
      </c>
      <c r="D2056" s="2" t="str">
        <f t="shared" si="31"/>
        <v>Error?</v>
      </c>
    </row>
    <row r="2057" spans="1:4" x14ac:dyDescent="0.2">
      <c r="A2057" s="5">
        <v>1996</v>
      </c>
      <c r="B2057" s="137">
        <f>'Cap Outlay Deprec 26'!L8</f>
        <v>7391288</v>
      </c>
      <c r="C2057" s="2" t="s">
        <v>594</v>
      </c>
      <c r="D2057" s="2" t="str">
        <f t="shared" si="31"/>
        <v>Error?</v>
      </c>
    </row>
    <row r="2058" spans="1:4" x14ac:dyDescent="0.2">
      <c r="A2058" s="5">
        <v>1997</v>
      </c>
      <c r="B2058" s="137">
        <f>'Cap Outlay Deprec 26'!L10</f>
        <v>0</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629911</v>
      </c>
      <c r="C2060" s="2" t="s">
        <v>594</v>
      </c>
      <c r="D2060" s="2" t="str">
        <f t="shared" si="31"/>
        <v>Error?</v>
      </c>
    </row>
    <row r="2061" spans="1:4" x14ac:dyDescent="0.2">
      <c r="A2061" s="5">
        <v>2000</v>
      </c>
      <c r="B2061" s="137">
        <f>'Cap Outlay Deprec 26'!L16</f>
        <v>8492465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1234453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1234453</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23896</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3187170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6917618</v>
      </c>
      <c r="C2551" s="2" t="s">
        <v>594</v>
      </c>
      <c r="D2551" s="2" t="str">
        <f t="shared" si="38"/>
        <v>Error?</v>
      </c>
    </row>
    <row r="2552" spans="1:4" x14ac:dyDescent="0.2">
      <c r="A2552" s="10">
        <v>2491</v>
      </c>
      <c r="D2552" s="2" t="str">
        <f t="shared" si="38"/>
        <v>OK</v>
      </c>
    </row>
    <row r="2553" spans="1:4" x14ac:dyDescent="0.2">
      <c r="A2553" s="5">
        <v>2492</v>
      </c>
      <c r="B2553" s="137">
        <f>'Acct Summary 7-8'!C6</f>
        <v>4453442</v>
      </c>
      <c r="C2553" s="2" t="s">
        <v>594</v>
      </c>
      <c r="D2553" s="2" t="str">
        <f t="shared" si="38"/>
        <v>Error?</v>
      </c>
    </row>
    <row r="2554" spans="1:4" x14ac:dyDescent="0.2">
      <c r="A2554" s="5">
        <v>2493</v>
      </c>
      <c r="B2554" s="137">
        <f>'Acct Summary 7-8'!C7</f>
        <v>917364</v>
      </c>
      <c r="C2554" s="2" t="s">
        <v>594</v>
      </c>
      <c r="D2554" s="2" t="str">
        <f t="shared" si="38"/>
        <v>Error?</v>
      </c>
    </row>
    <row r="2555" spans="1:4" x14ac:dyDescent="0.2">
      <c r="A2555" s="5">
        <v>2494</v>
      </c>
      <c r="B2555" s="137">
        <f>'Acct Summary 7-8'!C8</f>
        <v>12288424</v>
      </c>
      <c r="C2555" s="2" t="s">
        <v>594</v>
      </c>
      <c r="D2555" s="2" t="str">
        <f t="shared" si="38"/>
        <v>Error?</v>
      </c>
    </row>
    <row r="2556" spans="1:4" x14ac:dyDescent="0.2">
      <c r="A2556" s="5">
        <v>2495</v>
      </c>
      <c r="B2556" s="137">
        <f>'Acct Summary 7-8'!C12</f>
        <v>6831183</v>
      </c>
      <c r="C2556" s="2" t="s">
        <v>594</v>
      </c>
      <c r="D2556" s="2" t="str">
        <f t="shared" si="38"/>
        <v>Error?</v>
      </c>
    </row>
    <row r="2557" spans="1:4" x14ac:dyDescent="0.2">
      <c r="A2557" s="5">
        <v>2496</v>
      </c>
      <c r="B2557" s="137">
        <f>'Acct Summary 7-8'!C13</f>
        <v>3173234</v>
      </c>
      <c r="C2557" s="2" t="s">
        <v>594</v>
      </c>
      <c r="D2557" s="2" t="str">
        <f t="shared" si="38"/>
        <v>Error?</v>
      </c>
    </row>
    <row r="2558" spans="1:4" x14ac:dyDescent="0.2">
      <c r="A2558" s="5">
        <v>2497</v>
      </c>
      <c r="B2558" s="137">
        <f>'Acct Summary 7-8'!C14</f>
        <v>18148</v>
      </c>
      <c r="C2558" s="2" t="s">
        <v>594</v>
      </c>
      <c r="D2558" s="2" t="str">
        <f t="shared" si="38"/>
        <v>Error?</v>
      </c>
    </row>
    <row r="2559" spans="1:4" x14ac:dyDescent="0.2">
      <c r="A2559" s="5">
        <v>2498</v>
      </c>
      <c r="B2559" s="137">
        <f>'Acct Summary 7-8'!C15</f>
        <v>1234453</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11257018</v>
      </c>
      <c r="C2561" s="2" t="s">
        <v>594</v>
      </c>
      <c r="D2561" s="2" t="str">
        <f t="shared" si="39"/>
        <v>Error?</v>
      </c>
    </row>
    <row r="2562" spans="1:4" x14ac:dyDescent="0.2">
      <c r="A2562" s="5">
        <v>2501</v>
      </c>
      <c r="B2562" s="137">
        <f>'Acct Summary 7-8'!C20</f>
        <v>1031406</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956242</v>
      </c>
      <c r="C2564" s="2" t="s">
        <v>594</v>
      </c>
      <c r="D2564" s="2" t="str">
        <f t="shared" si="39"/>
        <v>Error?</v>
      </c>
    </row>
    <row r="2565" spans="1:4" x14ac:dyDescent="0.2">
      <c r="A2565" s="10">
        <v>2504</v>
      </c>
      <c r="D2565" s="2" t="str">
        <f t="shared" si="39"/>
        <v>OK</v>
      </c>
    </row>
    <row r="2566" spans="1:4" x14ac:dyDescent="0.2">
      <c r="A2566" s="5">
        <v>2505</v>
      </c>
      <c r="B2566" s="137">
        <f>'Acct Summary 7-8'!D6</f>
        <v>1000000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1956242</v>
      </c>
      <c r="C2568" s="2" t="s">
        <v>594</v>
      </c>
      <c r="D2568" s="2" t="str">
        <f t="shared" si="39"/>
        <v>Error?</v>
      </c>
    </row>
    <row r="2569" spans="1:4" x14ac:dyDescent="0.2">
      <c r="A2569" s="5">
        <v>2508</v>
      </c>
      <c r="B2569" s="137">
        <f>'Acct Summary 7-8'!D13</f>
        <v>2386240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2386240</v>
      </c>
      <c r="C2573" s="2" t="s">
        <v>594</v>
      </c>
      <c r="D2573" s="2" t="str">
        <f t="shared" si="39"/>
        <v>Error?</v>
      </c>
    </row>
    <row r="2574" spans="1:4" x14ac:dyDescent="0.2">
      <c r="A2574" s="5">
        <v>2513</v>
      </c>
      <c r="B2574" s="137">
        <f>'Acct Summary 7-8'!D20</f>
        <v>-429998</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1253187</v>
      </c>
      <c r="C2591" s="2" t="s">
        <v>594</v>
      </c>
      <c r="D2591" s="2" t="str">
        <f t="shared" si="39"/>
        <v>Error?</v>
      </c>
    </row>
    <row r="2592" spans="1:4" x14ac:dyDescent="0.2">
      <c r="A2592" s="10">
        <v>2531</v>
      </c>
      <c r="D2592" s="2" t="str">
        <f t="shared" si="39"/>
        <v>OK</v>
      </c>
    </row>
    <row r="2593" spans="1:4" x14ac:dyDescent="0.2">
      <c r="A2593" s="5">
        <v>2532</v>
      </c>
      <c r="B2593" s="137">
        <f>'Acct Summary 7-8'!F6</f>
        <v>238667</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1491854</v>
      </c>
      <c r="C2595" s="2" t="s">
        <v>594</v>
      </c>
      <c r="D2595" s="2" t="str">
        <f t="shared" si="39"/>
        <v>Error?</v>
      </c>
    </row>
    <row r="2596" spans="1:4" x14ac:dyDescent="0.2">
      <c r="A2596" s="5">
        <v>2535</v>
      </c>
      <c r="B2596" s="137">
        <f>'Acct Summary 7-8'!F13</f>
        <v>317101</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317101</v>
      </c>
      <c r="C2600" s="2" t="s">
        <v>594</v>
      </c>
      <c r="D2600" s="2" t="str">
        <f t="shared" si="39"/>
        <v>Error?</v>
      </c>
    </row>
    <row r="2601" spans="1:4" x14ac:dyDescent="0.2">
      <c r="A2601" s="5">
        <v>2540</v>
      </c>
      <c r="B2601" s="137">
        <f>'Acct Summary 7-8'!F20</f>
        <v>1174753</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278349</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278349</v>
      </c>
      <c r="C2606" s="2" t="s">
        <v>594</v>
      </c>
      <c r="D2606" s="2" t="str">
        <f t="shared" si="39"/>
        <v>Error?</v>
      </c>
    </row>
    <row r="2607" spans="1:4" x14ac:dyDescent="0.2">
      <c r="A2607" s="5">
        <v>2546</v>
      </c>
      <c r="B2607" s="137">
        <f>'Acct Summary 7-8'!G12</f>
        <v>151470</v>
      </c>
      <c r="C2607" s="2" t="s">
        <v>594</v>
      </c>
      <c r="D2607" s="2" t="str">
        <f t="shared" si="39"/>
        <v>Error?</v>
      </c>
    </row>
    <row r="2608" spans="1:4" x14ac:dyDescent="0.2">
      <c r="A2608" s="5">
        <v>2547</v>
      </c>
      <c r="B2608" s="137">
        <f>'Acct Summary 7-8'!G13</f>
        <v>222042</v>
      </c>
      <c r="C2608" s="2" t="s">
        <v>594</v>
      </c>
      <c r="D2608" s="2" t="str">
        <f t="shared" si="39"/>
        <v>Error?</v>
      </c>
    </row>
    <row r="2609" spans="1:4" x14ac:dyDescent="0.2">
      <c r="A2609" s="5">
        <v>2548</v>
      </c>
      <c r="B2609" s="137">
        <f>'Acct Summary 7-8'!G14</f>
        <v>218</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373730</v>
      </c>
      <c r="C2612" s="2" t="s">
        <v>594</v>
      </c>
      <c r="D2612" s="2" t="str">
        <f t="shared" si="39"/>
        <v>Error?</v>
      </c>
    </row>
    <row r="2613" spans="1:4" x14ac:dyDescent="0.2">
      <c r="A2613" s="5">
        <v>2552</v>
      </c>
      <c r="B2613" s="137">
        <f>'Acct Summary 7-8'!G20</f>
        <v>-95381</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427648</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427648</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700800</v>
      </c>
      <c r="C2634" s="2" t="s">
        <v>594</v>
      </c>
      <c r="D2634" s="2" t="str">
        <f t="shared" si="40"/>
        <v>Error?</v>
      </c>
    </row>
    <row r="2635" spans="1:4" x14ac:dyDescent="0.2">
      <c r="A2635" s="5">
        <v>2574</v>
      </c>
      <c r="B2635" s="137">
        <f>'Acct Summary 7-8'!E17</f>
        <v>700800</v>
      </c>
      <c r="C2635" s="2" t="s">
        <v>594</v>
      </c>
      <c r="D2635" s="2" t="str">
        <f t="shared" si="40"/>
        <v>Error?</v>
      </c>
    </row>
    <row r="2636" spans="1:4" x14ac:dyDescent="0.2">
      <c r="A2636" s="5">
        <v>2575</v>
      </c>
      <c r="B2636" s="137">
        <f>'Acct Summary 7-8'!E20</f>
        <v>-273152</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149063</v>
      </c>
      <c r="D2718" s="2" t="str">
        <f t="shared" si="41"/>
        <v>Error?</v>
      </c>
    </row>
    <row r="2719" spans="1:4" x14ac:dyDescent="0.2">
      <c r="A2719" s="5">
        <v>2658</v>
      </c>
      <c r="B2719" s="137">
        <f>'Expenditures 15-22'!D51</f>
        <v>40661</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189724</v>
      </c>
      <c r="C2724" s="2" t="s">
        <v>594</v>
      </c>
      <c r="D2724" s="2" t="str">
        <f t="shared" si="41"/>
        <v>Error?</v>
      </c>
    </row>
    <row r="2725" spans="1:4" x14ac:dyDescent="0.2">
      <c r="A2725" s="5">
        <v>2664</v>
      </c>
      <c r="B2725" s="137">
        <f>'Expenditures 15-22'!D247</f>
        <v>9334</v>
      </c>
      <c r="D2725" s="2" t="str">
        <f t="shared" si="41"/>
        <v>Error?</v>
      </c>
    </row>
    <row r="2726" spans="1:4" x14ac:dyDescent="0.2">
      <c r="A2726" s="5">
        <v>2665</v>
      </c>
      <c r="B2726" s="137">
        <f>'Expenditures 15-22'!K247</f>
        <v>9334</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35032</v>
      </c>
      <c r="D2757" s="2" t="str">
        <f t="shared" si="42"/>
        <v>Error?</v>
      </c>
    </row>
    <row r="2758" spans="1:4" x14ac:dyDescent="0.2">
      <c r="A2758" s="5">
        <v>2697</v>
      </c>
      <c r="B2758" s="137">
        <f>'Acct Summary 7-8'!D28</f>
        <v>1000000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2549</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1023003</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360932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1574199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78532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1574199</v>
      </c>
      <c r="D2912" s="2" t="str">
        <f t="shared" si="44"/>
        <v>Error?</v>
      </c>
    </row>
    <row r="2913" spans="1:4" x14ac:dyDescent="0.2">
      <c r="A2913" s="5">
        <v>2852</v>
      </c>
      <c r="B2913" s="137">
        <f>'Assets-Liab 5-6'!I41</f>
        <v>1574199</v>
      </c>
      <c r="C2913" s="2" t="s">
        <v>594</v>
      </c>
      <c r="D2913" s="2" t="str">
        <f t="shared" si="44"/>
        <v>Error?</v>
      </c>
    </row>
    <row r="2914" spans="1:4" x14ac:dyDescent="0.2">
      <c r="A2914" s="5">
        <v>2853</v>
      </c>
      <c r="B2914" s="137">
        <f>'Assets-Liab 5-6'!L33</f>
        <v>78532</v>
      </c>
      <c r="D2914" s="2" t="str">
        <f t="shared" si="44"/>
        <v>Error?</v>
      </c>
    </row>
    <row r="2915" spans="1:4" x14ac:dyDescent="0.2">
      <c r="A2915" s="10">
        <v>2854</v>
      </c>
      <c r="D2915" s="2" t="str">
        <f t="shared" si="44"/>
        <v>OK</v>
      </c>
    </row>
    <row r="2916" spans="1:4" x14ac:dyDescent="0.2">
      <c r="A2916" s="5">
        <v>2855</v>
      </c>
      <c r="B2916" s="137">
        <f>'Assets-Liab 5-6'!L34</f>
        <v>78532</v>
      </c>
      <c r="C2916" s="2" t="s">
        <v>594</v>
      </c>
      <c r="D2916" s="2" t="str">
        <f t="shared" si="44"/>
        <v>Error?</v>
      </c>
    </row>
    <row r="2917" spans="1:4" x14ac:dyDescent="0.2">
      <c r="A2917" s="5">
        <v>2856</v>
      </c>
      <c r="B2917" s="137">
        <f>'Assets-Liab 5-6'!L41</f>
        <v>78532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1234453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1234453</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95955</v>
      </c>
      <c r="C3225" s="2" t="s">
        <v>594</v>
      </c>
      <c r="D3225" s="2" t="str">
        <f t="shared" si="49"/>
        <v>Error?</v>
      </c>
    </row>
    <row r="3226" spans="1:4" x14ac:dyDescent="0.2">
      <c r="A3226" s="5">
        <v>3165</v>
      </c>
      <c r="B3226" s="137">
        <f>'Acct Summary 7-8'!I8</f>
        <v>95955</v>
      </c>
      <c r="C3226" s="2" t="s">
        <v>594</v>
      </c>
      <c r="D3226" s="2" t="str">
        <f t="shared" si="49"/>
        <v>Error?</v>
      </c>
    </row>
    <row r="3227" spans="1:4" x14ac:dyDescent="0.2">
      <c r="A3227" s="5">
        <v>3166</v>
      </c>
      <c r="B3227" s="137">
        <f>'Acct Summary 7-8'!I20</f>
        <v>95955</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58928</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58928</v>
      </c>
      <c r="C3232" s="2" t="s">
        <v>594</v>
      </c>
      <c r="D3232" s="2" t="str">
        <f t="shared" si="49"/>
        <v>Error?</v>
      </c>
    </row>
    <row r="3233" spans="1:4" x14ac:dyDescent="0.2">
      <c r="A3233" s="5">
        <v>3172</v>
      </c>
      <c r="B3233" s="137">
        <f>'Acct Summary 7-8'!C78</f>
        <v>1090334</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1000000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1000000</v>
      </c>
      <c r="C3238" s="2" t="s">
        <v>594</v>
      </c>
      <c r="D3238" s="2" t="str">
        <f t="shared" si="49"/>
        <v>Error?</v>
      </c>
    </row>
    <row r="3239" spans="1:4" x14ac:dyDescent="0.2">
      <c r="A3239" s="5">
        <v>3178</v>
      </c>
      <c r="B3239" s="137">
        <f>'Acct Summary 7-8'!D78</f>
        <v>570002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1023003</v>
      </c>
      <c r="C3254" s="2" t="s">
        <v>594</v>
      </c>
      <c r="D3254" s="2" t="str">
        <f t="shared" si="49"/>
        <v>Error?</v>
      </c>
    </row>
    <row r="3255" spans="1:4" x14ac:dyDescent="0.2">
      <c r="A3255" s="5">
        <v>3194</v>
      </c>
      <c r="B3255" s="137">
        <f>'Acct Summary 7-8'!F77</f>
        <v>-1023003</v>
      </c>
      <c r="C3255" s="2" t="s">
        <v>594</v>
      </c>
      <c r="D3255" s="2" t="str">
        <f t="shared" si="49"/>
        <v>Error?</v>
      </c>
    </row>
    <row r="3256" spans="1:4" x14ac:dyDescent="0.2">
      <c r="A3256" s="5">
        <v>3195</v>
      </c>
      <c r="B3256" s="137">
        <f>'Acct Summary 7-8'!F78</f>
        <v>151750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9480</v>
      </c>
      <c r="D3259" s="2" t="str">
        <f t="shared" si="49"/>
        <v>Error?</v>
      </c>
    </row>
    <row r="3260" spans="1:4" x14ac:dyDescent="0.2">
      <c r="A3260" s="5">
        <v>3199</v>
      </c>
      <c r="B3260" s="137">
        <f>'Acct Summary 7-8'!G76</f>
        <v>9480</v>
      </c>
      <c r="C3260" s="2" t="s">
        <v>594</v>
      </c>
      <c r="D3260" s="2" t="str">
        <f t="shared" si="49"/>
        <v>Error?</v>
      </c>
    </row>
    <row r="3261" spans="1:4" x14ac:dyDescent="0.2">
      <c r="A3261" s="5">
        <v>3200</v>
      </c>
      <c r="B3261" s="137">
        <f>'Acct Summary 7-8'!G77</f>
        <v>-9480</v>
      </c>
      <c r="C3261" s="2" t="s">
        <v>594</v>
      </c>
      <c r="D3261" s="2" t="str">
        <f t="shared" si="49"/>
        <v>Error?</v>
      </c>
    </row>
    <row r="3262" spans="1:4" x14ac:dyDescent="0.2">
      <c r="A3262" s="5">
        <v>3201</v>
      </c>
      <c r="B3262" s="137">
        <f>'Acct Summary 7-8'!G78</f>
        <v>-104861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2549</v>
      </c>
      <c r="C3276" s="2" t="s">
        <v>594</v>
      </c>
      <c r="D3276" s="2" t="str">
        <f t="shared" si="50"/>
        <v>Error?</v>
      </c>
    </row>
    <row r="3277" spans="1:4" x14ac:dyDescent="0.2">
      <c r="A3277" s="5">
        <v>3216</v>
      </c>
      <c r="B3277" s="137">
        <f>'Acct Summary 7-8'!E77</f>
        <v>-2549</v>
      </c>
      <c r="C3277" s="2" t="s">
        <v>594</v>
      </c>
      <c r="D3277" s="2" t="str">
        <f t="shared" si="50"/>
        <v>Error?</v>
      </c>
    </row>
    <row r="3278" spans="1:4" x14ac:dyDescent="0.2">
      <c r="A3278" s="5">
        <v>3217</v>
      </c>
      <c r="B3278" s="137">
        <f>'Acct Summary 7-8'!E78</f>
        <v>-275701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23896</v>
      </c>
      <c r="C3318" s="2" t="s">
        <v>594</v>
      </c>
      <c r="D3318" s="2" t="str">
        <f t="shared" si="50"/>
        <v>Error?</v>
      </c>
    </row>
    <row r="3319" spans="1:4" x14ac:dyDescent="0.2">
      <c r="A3319" s="5">
        <v>3258</v>
      </c>
      <c r="B3319" s="137">
        <f>'Acct Summary 7-8'!I77</f>
        <v>-23896</v>
      </c>
      <c r="C3319" s="2" t="s">
        <v>594</v>
      </c>
      <c r="D3319" s="2" t="str">
        <f t="shared" si="50"/>
        <v>Error?</v>
      </c>
    </row>
    <row r="3320" spans="1:4" x14ac:dyDescent="0.2">
      <c r="A3320" s="5">
        <v>3259</v>
      </c>
      <c r="B3320" s="137">
        <f>'Acct Summary 7-8'!I78</f>
        <v>72059</v>
      </c>
      <c r="C3320" s="2" t="s">
        <v>594</v>
      </c>
      <c r="D3320" s="2" t="str">
        <f t="shared" si="50"/>
        <v>Error?</v>
      </c>
    </row>
    <row r="3321" spans="1:4" x14ac:dyDescent="0.2">
      <c r="A3321" s="5">
        <v>3260</v>
      </c>
      <c r="B3321" s="137">
        <f>'Acct Summary 7-8'!I79</f>
        <v>1502140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1574199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940445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241766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29543</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360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1212114</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66564</v>
      </c>
      <c r="D3387" s="2" t="str">
        <f t="shared" si="51"/>
        <v>Error?</v>
      </c>
    </row>
    <row r="3388" spans="1:4" x14ac:dyDescent="0.2">
      <c r="A3388" s="5">
        <v>3327</v>
      </c>
      <c r="B3388" s="137">
        <f>'Expenditures 15-22'!D217</f>
        <v>84895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66564</v>
      </c>
      <c r="C3390" s="2" t="s">
        <v>594</v>
      </c>
      <c r="D3390" s="2" t="str">
        <f t="shared" si="51"/>
        <v>Error?</v>
      </c>
    </row>
    <row r="3391" spans="1:4" x14ac:dyDescent="0.2">
      <c r="A3391" s="5">
        <v>3330</v>
      </c>
      <c r="B3391" s="137">
        <f>'Expenditures 15-22'!K217</f>
        <v>84895</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7700058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3187170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4226</v>
      </c>
      <c r="D3417" s="2" t="str">
        <f t="shared" si="52"/>
        <v>Error?</v>
      </c>
    </row>
    <row r="3418" spans="1:4" x14ac:dyDescent="0.2">
      <c r="A3418" s="10">
        <v>3357</v>
      </c>
      <c r="D3418" s="2" t="str">
        <f t="shared" si="52"/>
        <v>OK</v>
      </c>
    </row>
    <row r="3419" spans="1:4" x14ac:dyDescent="0.2">
      <c r="A3419" s="5">
        <v>3358</v>
      </c>
      <c r="B3419" s="137">
        <f>'Assets-Liab 5-6'!F4</f>
        <v>450855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921391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1574199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78532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136525</v>
      </c>
      <c r="C3446" s="2" t="s">
        <v>594</v>
      </c>
      <c r="D3446" s="2" t="str">
        <f t="shared" si="52"/>
        <v>Error?</v>
      </c>
    </row>
    <row r="3447" spans="1:4" x14ac:dyDescent="0.2">
      <c r="A3447" s="5">
        <v>3386</v>
      </c>
      <c r="B3447" s="137">
        <f>'Tax Sched 23'!D16</f>
        <v>84132</v>
      </c>
      <c r="C3447" s="2" t="s">
        <v>594</v>
      </c>
      <c r="D3447" s="2" t="str">
        <f t="shared" si="52"/>
        <v>Error?</v>
      </c>
    </row>
    <row r="3448" spans="1:4" x14ac:dyDescent="0.2">
      <c r="A3448" s="5">
        <v>3387</v>
      </c>
      <c r="B3448" s="137">
        <f>'Tax Sched 23'!C16</f>
        <v>52393</v>
      </c>
      <c r="D3448" s="2" t="str">
        <f t="shared" si="52"/>
        <v>Error?</v>
      </c>
    </row>
    <row r="3449" spans="1:4" x14ac:dyDescent="0.2">
      <c r="A3449" s="5">
        <v>3388</v>
      </c>
      <c r="B3449" s="137">
        <f>'Tax Sched 23'!F16</f>
        <v>50607</v>
      </c>
      <c r="C3449" s="2" t="s">
        <v>594</v>
      </c>
      <c r="D3449" s="2" t="str">
        <f t="shared" si="52"/>
        <v>Error?</v>
      </c>
    </row>
    <row r="3450" spans="1:4" x14ac:dyDescent="0.2">
      <c r="A3450" s="5">
        <v>3389</v>
      </c>
      <c r="B3450" s="137">
        <f>'Tax Sched 23'!E16</f>
        <v>103000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360932</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360932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360932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686808</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686808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686808</v>
      </c>
      <c r="D3567" s="2" t="str">
        <f t="shared" si="54"/>
        <v>Error?</v>
      </c>
    </row>
    <row r="3568" spans="1:4" x14ac:dyDescent="0.2">
      <c r="A3568" s="5">
        <v>3507</v>
      </c>
      <c r="B3568" s="137">
        <f>'Assets-Liab 5-6'!K41</f>
        <v>686808</v>
      </c>
      <c r="C3568" s="2" t="s">
        <v>594</v>
      </c>
      <c r="D3568" s="2" t="str">
        <f t="shared" si="54"/>
        <v>Error?</v>
      </c>
    </row>
    <row r="3569" spans="1:4" x14ac:dyDescent="0.2">
      <c r="A3569" s="5">
        <v>3508</v>
      </c>
      <c r="B3569" s="137">
        <f>'Acct Summary 7-8'!K4</f>
        <v>153928</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153928</v>
      </c>
      <c r="C3571" s="2" t="s">
        <v>594</v>
      </c>
      <c r="D3571" s="2" t="str">
        <f t="shared" si="54"/>
        <v>Error?</v>
      </c>
    </row>
    <row r="3572" spans="1:4" x14ac:dyDescent="0.2">
      <c r="A3572" s="5">
        <v>3511</v>
      </c>
      <c r="B3572" s="137">
        <f>'Acct Summary 7-8'!K13</f>
        <v>12693</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12693</v>
      </c>
      <c r="C3575" s="2" t="s">
        <v>594</v>
      </c>
      <c r="D3575" s="2" t="str">
        <f t="shared" si="54"/>
        <v>Error?</v>
      </c>
    </row>
    <row r="3576" spans="1:4" x14ac:dyDescent="0.2">
      <c r="A3576" s="5">
        <v>3515</v>
      </c>
      <c r="B3576" s="137">
        <f>'Acct Summary 7-8'!K20</f>
        <v>141235</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141235</v>
      </c>
      <c r="C3588" s="2" t="s">
        <v>594</v>
      </c>
      <c r="D3588" s="2" t="str">
        <f t="shared" si="55"/>
        <v>Error?</v>
      </c>
    </row>
    <row r="3589" spans="1:4" x14ac:dyDescent="0.2">
      <c r="A3589" s="5">
        <v>3528</v>
      </c>
      <c r="B3589" s="137">
        <f>'Acct Summary 7-8'!K79</f>
        <v>545573</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686808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12693</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12693</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12693</v>
      </c>
      <c r="C3649" s="2" t="s">
        <v>594</v>
      </c>
      <c r="D3649" s="2" t="str">
        <f t="shared" si="56"/>
        <v>Error?</v>
      </c>
    </row>
    <row r="3650" spans="1:4" x14ac:dyDescent="0.2">
      <c r="A3650" s="5">
        <v>3589</v>
      </c>
      <c r="B3650" s="137">
        <f>'Expenditures 15-22'!G367</f>
        <v>12693</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12693</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12693</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12693</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12693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141235</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4330512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16618936</v>
      </c>
      <c r="C4122" s="2" t="s">
        <v>594</v>
      </c>
      <c r="D4122" s="2" t="str">
        <f t="shared" si="63"/>
        <v>Error?</v>
      </c>
    </row>
    <row r="4123" spans="1:4" x14ac:dyDescent="0.2">
      <c r="A4123" s="5">
        <v>4062</v>
      </c>
      <c r="B4123" s="137">
        <f>'Acct Summary 7-8'!D10</f>
        <v>1956242</v>
      </c>
      <c r="C4123" s="2" t="s">
        <v>594</v>
      </c>
      <c r="D4123" s="2" t="str">
        <f t="shared" si="63"/>
        <v>Error?</v>
      </c>
    </row>
    <row r="4124" spans="1:4" x14ac:dyDescent="0.2">
      <c r="A4124" s="5">
        <v>4063</v>
      </c>
      <c r="B4124" s="137">
        <f>'Acct Summary 7-8'!E10</f>
        <v>427648</v>
      </c>
      <c r="C4124" s="2" t="s">
        <v>594</v>
      </c>
      <c r="D4124" s="2" t="str">
        <f t="shared" si="63"/>
        <v>Error?</v>
      </c>
    </row>
    <row r="4125" spans="1:4" x14ac:dyDescent="0.2">
      <c r="A4125" s="5">
        <v>4064</v>
      </c>
      <c r="B4125" s="137">
        <f>'Acct Summary 7-8'!F10</f>
        <v>1491854</v>
      </c>
      <c r="C4125" s="2" t="s">
        <v>594</v>
      </c>
      <c r="D4125" s="2" t="str">
        <f t="shared" si="63"/>
        <v>Error?</v>
      </c>
    </row>
    <row r="4126" spans="1:4" x14ac:dyDescent="0.2">
      <c r="A4126" s="5">
        <v>4065</v>
      </c>
      <c r="B4126" s="137">
        <f>'Acct Summary 7-8'!G10</f>
        <v>278349</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95955</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153928</v>
      </c>
      <c r="C4130" s="2" t="s">
        <v>594</v>
      </c>
      <c r="D4130" s="2" t="str">
        <f t="shared" si="63"/>
        <v>Error?</v>
      </c>
    </row>
    <row r="4131" spans="1:4" x14ac:dyDescent="0.2">
      <c r="A4131" s="5">
        <v>4070</v>
      </c>
      <c r="B4131" s="137">
        <f>'Acct Summary 7-8'!C18</f>
        <v>4330512</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15587530</v>
      </c>
      <c r="C4136" s="2" t="s">
        <v>594</v>
      </c>
      <c r="D4136" s="2" t="str">
        <f t="shared" si="63"/>
        <v>Error?</v>
      </c>
    </row>
    <row r="4137" spans="1:4" x14ac:dyDescent="0.2">
      <c r="A4137" s="5">
        <v>4076</v>
      </c>
      <c r="B4137" s="137">
        <f>'Acct Summary 7-8'!D19</f>
        <v>2386240</v>
      </c>
      <c r="C4137" s="2" t="s">
        <v>594</v>
      </c>
      <c r="D4137" s="2" t="str">
        <f t="shared" si="63"/>
        <v>Error?</v>
      </c>
    </row>
    <row r="4138" spans="1:4" x14ac:dyDescent="0.2">
      <c r="A4138" s="5">
        <v>4077</v>
      </c>
      <c r="B4138" s="137">
        <f>'Acct Summary 7-8'!E19</f>
        <v>700800</v>
      </c>
      <c r="C4138" s="2" t="s">
        <v>594</v>
      </c>
      <c r="D4138" s="2" t="str">
        <f t="shared" si="63"/>
        <v>Error?</v>
      </c>
    </row>
    <row r="4139" spans="1:4" x14ac:dyDescent="0.2">
      <c r="A4139" s="5">
        <v>4078</v>
      </c>
      <c r="B4139" s="137">
        <f>'Acct Summary 7-8'!F19</f>
        <v>317101</v>
      </c>
      <c r="C4139" s="2" t="s">
        <v>594</v>
      </c>
      <c r="D4139" s="2" t="str">
        <f t="shared" si="63"/>
        <v>Error?</v>
      </c>
    </row>
    <row r="4140" spans="1:4" x14ac:dyDescent="0.2">
      <c r="A4140" s="5">
        <v>4079</v>
      </c>
      <c r="B4140" s="137">
        <f>'Acct Summary 7-8'!G19</f>
        <v>373730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12693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3993421</v>
      </c>
      <c r="C4171" s="2" t="s">
        <v>594</v>
      </c>
      <c r="D4171" s="2" t="str">
        <f t="shared" si="64"/>
        <v>Error?</v>
      </c>
    </row>
    <row r="4172" spans="1:4" x14ac:dyDescent="0.2">
      <c r="A4172" s="5">
        <v>4111</v>
      </c>
      <c r="B4172" s="137">
        <f>'Short-Term Long-Term Debt 24'!J49</f>
        <v>3989195</v>
      </c>
      <c r="C4172" s="2" t="s">
        <v>594</v>
      </c>
      <c r="D4172" s="2" t="str">
        <f t="shared" si="64"/>
        <v>Error?</v>
      </c>
    </row>
    <row r="4173" spans="1:4" x14ac:dyDescent="0.2">
      <c r="A4173" s="5">
        <v>4112</v>
      </c>
      <c r="B4173" s="137">
        <f>'Short-Term Long-Term Debt 24'!H49</f>
        <v>252252</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-210237</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19205</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4148</v>
      </c>
      <c r="C4265" s="2" t="s">
        <v>594</v>
      </c>
      <c r="D4265" s="2" t="str">
        <f t="shared" si="65"/>
        <v>Error?</v>
      </c>
      <c r="E4265" s="127"/>
    </row>
    <row r="4266" spans="1:5" x14ac:dyDescent="0.2">
      <c r="A4266" s="12">
        <v>4205</v>
      </c>
      <c r="B4266" s="137">
        <f>('FP Info 3'!F10)*100000</f>
        <v>470.9</v>
      </c>
      <c r="C4266" s="2" t="s">
        <v>594</v>
      </c>
      <c r="D4266" s="2" t="str">
        <f t="shared" si="65"/>
        <v>Error?</v>
      </c>
      <c r="E4266" s="127"/>
    </row>
    <row r="4267" spans="1:5" x14ac:dyDescent="0.2">
      <c r="A4267" s="12">
        <v>4206</v>
      </c>
      <c r="B4267" s="137">
        <f>('FP Info 3'!H10)*100000</f>
        <v>189.6</v>
      </c>
      <c r="C4267" s="2" t="s">
        <v>594</v>
      </c>
      <c r="D4267" s="2" t="str">
        <f t="shared" si="65"/>
        <v>Error?</v>
      </c>
      <c r="E4267" s="127"/>
    </row>
    <row r="4268" spans="1:5" x14ac:dyDescent="0.2">
      <c r="A4268" s="12">
        <v>4207</v>
      </c>
      <c r="B4268" s="137">
        <f>('FP Info 3'!J10)*100000</f>
        <v>4809</v>
      </c>
      <c r="C4268" s="2" t="s">
        <v>594</v>
      </c>
      <c r="D4268" s="2" t="str">
        <f t="shared" si="65"/>
        <v>Error?</v>
      </c>
    </row>
    <row r="4269" spans="1:5" x14ac:dyDescent="0.2">
      <c r="A4269" s="12">
        <v>4208</v>
      </c>
      <c r="B4269" s="137">
        <f>'FP Info 3'!J16</f>
        <v>12902993</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52898</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42.8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178548611</v>
      </c>
      <c r="D4995" s="2" t="str">
        <f t="shared" si="77"/>
        <v>Error?</v>
      </c>
    </row>
    <row r="4996" spans="1:4" x14ac:dyDescent="0.2">
      <c r="A4996" s="12">
        <v>4935</v>
      </c>
      <c r="B4996" s="137">
        <f>'FP Info 3'!H31</f>
        <v>12319854.159000002</v>
      </c>
      <c r="D4996" s="2" t="str">
        <f t="shared" si="77"/>
        <v>Error?</v>
      </c>
    </row>
    <row r="4997" spans="1:4" x14ac:dyDescent="0.2">
      <c r="A4997" s="12">
        <v>4936</v>
      </c>
      <c r="B4997" s="137">
        <f>'FP Info 3'!H37</f>
        <v>3993421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6088416</v>
      </c>
      <c r="D5061" s="2" t="str">
        <f t="shared" si="78"/>
        <v>Error?</v>
      </c>
    </row>
    <row r="5062" spans="1:4" x14ac:dyDescent="0.2">
      <c r="A5062" s="10">
        <v>5001</v>
      </c>
      <c r="D5062" s="2" t="str">
        <f t="shared" si="78"/>
        <v>OK</v>
      </c>
    </row>
    <row r="5063" spans="1:4" x14ac:dyDescent="0.2">
      <c r="A5063" s="5">
        <v>5002</v>
      </c>
      <c r="B5063" s="137">
        <f>'Revenues 9-14'!C7</f>
        <v>578023</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6666439</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67600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67600</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2755</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2755</v>
      </c>
      <c r="C5087" s="2" t="s">
        <v>594</v>
      </c>
      <c r="D5087" s="2" t="str">
        <f t="shared" si="78"/>
        <v>Error?</v>
      </c>
    </row>
    <row r="5088" spans="1:4" x14ac:dyDescent="0.2">
      <c r="A5088" s="5">
        <v>5027</v>
      </c>
      <c r="B5088" s="137">
        <f>'Revenues 9-14'!C65</f>
        <v>124880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124880</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54227</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54227</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105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1612</v>
      </c>
      <c r="D5119" s="2" t="str">
        <f t="shared" ref="D5119:D5182" si="79">IF(ISBLANK(B5119),"OK",IF(A5119-B5119=0,"OK","Error?"))</f>
        <v>Error?</v>
      </c>
    </row>
    <row r="5120" spans="1:4" x14ac:dyDescent="0.2">
      <c r="A5120" s="5">
        <v>5059</v>
      </c>
      <c r="B5120" s="137">
        <f>'Revenues 9-14'!C108</f>
        <v>1717</v>
      </c>
      <c r="C5120" s="2" t="s">
        <v>594</v>
      </c>
      <c r="D5120" s="2" t="str">
        <f t="shared" si="79"/>
        <v>Error?</v>
      </c>
    </row>
    <row r="5121" spans="1:4" x14ac:dyDescent="0.2">
      <c r="A5121" s="5">
        <v>5060</v>
      </c>
      <c r="B5121" s="137">
        <f>'Revenues 9-14'!C109</f>
        <v>6917618</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3838905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3838905</v>
      </c>
      <c r="C5132" s="2" t="s">
        <v>594</v>
      </c>
      <c r="D5132" s="2" t="str">
        <f t="shared" si="79"/>
        <v>Error?</v>
      </c>
    </row>
    <row r="5133" spans="1:4" x14ac:dyDescent="0.2">
      <c r="A5133" s="5">
        <v>5072</v>
      </c>
      <c r="B5133" s="137">
        <f>'Revenues 9-14'!C124</f>
        <v>68454</v>
      </c>
      <c r="D5133" s="2" t="str">
        <f t="shared" si="79"/>
        <v>Error?</v>
      </c>
    </row>
    <row r="5134" spans="1:4" x14ac:dyDescent="0.2">
      <c r="A5134" s="5">
        <v>5073</v>
      </c>
      <c r="B5134" s="137">
        <f>'Revenues 9-14'!C125</f>
        <v>77760</v>
      </c>
      <c r="D5134" s="2" t="str">
        <f t="shared" si="79"/>
        <v>Error?</v>
      </c>
    </row>
    <row r="5135" spans="1:4" x14ac:dyDescent="0.2">
      <c r="A5135" s="5">
        <v>5074</v>
      </c>
      <c r="B5135" s="137">
        <f>'Revenues 9-14'!C126</f>
        <v>98259</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9881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254354</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25509</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25509</v>
      </c>
      <c r="C5165" s="2" t="s">
        <v>594</v>
      </c>
      <c r="D5165" s="2" t="str">
        <f t="shared" si="79"/>
        <v>Error?</v>
      </c>
    </row>
    <row r="5166" spans="1:4" x14ac:dyDescent="0.2">
      <c r="A5166" s="10">
        <v>5105</v>
      </c>
      <c r="D5166" s="2" t="str">
        <f t="shared" si="79"/>
        <v>OK</v>
      </c>
    </row>
    <row r="5167" spans="1:4" x14ac:dyDescent="0.2">
      <c r="A5167" s="5">
        <v>5106</v>
      </c>
      <c r="B5167" s="137">
        <f>'Revenues 9-14'!C145</f>
        <v>8074</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326600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614537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4453442</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222353</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155867</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378220</v>
      </c>
      <c r="C5246" s="2" t="s">
        <v>594</v>
      </c>
      <c r="D5246" s="2" t="str">
        <f t="shared" si="80"/>
        <v>Error?</v>
      </c>
    </row>
    <row r="5247" spans="1:4" x14ac:dyDescent="0.2">
      <c r="A5247" s="5">
        <v>5186</v>
      </c>
      <c r="B5247" s="137">
        <f>'Revenues 9-14'!C203</f>
        <v>233241</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233241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13514</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160228</v>
      </c>
      <c r="D5278" s="2" t="str">
        <f t="shared" si="81"/>
        <v>Error?</v>
      </c>
    </row>
    <row r="5279" spans="1:4" x14ac:dyDescent="0.2">
      <c r="A5279" s="5">
        <v>5218</v>
      </c>
      <c r="B5279" s="137">
        <f>'Revenues 9-14'!C221</f>
        <v>4213</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177955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47028</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8817</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917364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917364</v>
      </c>
      <c r="C5326" s="2" t="s">
        <v>594</v>
      </c>
      <c r="D5326" s="2" t="str">
        <f t="shared" si="82"/>
        <v>Error?</v>
      </c>
    </row>
    <row r="5327" spans="1:4" x14ac:dyDescent="0.2">
      <c r="A5327" s="5">
        <v>5266</v>
      </c>
      <c r="B5327" s="137">
        <f>'Revenues 9-14'!C275</f>
        <v>12288424</v>
      </c>
      <c r="C5327" s="2" t="s">
        <v>594</v>
      </c>
      <c r="D5327" s="2" t="str">
        <f t="shared" si="82"/>
        <v>Error?</v>
      </c>
    </row>
    <row r="5328" spans="1:4" x14ac:dyDescent="0.2">
      <c r="A5328" s="5">
        <v>5267</v>
      </c>
      <c r="B5328" s="137">
        <f>'Revenues 9-14'!D5</f>
        <v>794720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794720</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29839</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29839</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130000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1683</v>
      </c>
      <c r="D5354" s="2" t="str">
        <f t="shared" si="82"/>
        <v>Error?</v>
      </c>
    </row>
    <row r="5355" spans="1:4" x14ac:dyDescent="0.2">
      <c r="A5355" s="5">
        <v>5294</v>
      </c>
      <c r="B5355" s="137">
        <f>'Revenues 9-14'!D108</f>
        <v>131683</v>
      </c>
      <c r="C5355" s="2" t="s">
        <v>594</v>
      </c>
      <c r="D5355" s="2" t="str">
        <f t="shared" si="82"/>
        <v>Error?</v>
      </c>
    </row>
    <row r="5356" spans="1:4" x14ac:dyDescent="0.2">
      <c r="A5356" s="5">
        <v>5295</v>
      </c>
      <c r="B5356" s="137">
        <f>'Revenues 9-14'!D109</f>
        <v>956242</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1000000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1000000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1000000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1956242</v>
      </c>
      <c r="C5508" s="2" t="s">
        <v>594</v>
      </c>
      <c r="D5508" s="2" t="str">
        <f t="shared" si="85"/>
        <v>Error?</v>
      </c>
    </row>
    <row r="5509" spans="1:4" x14ac:dyDescent="0.2">
      <c r="A5509" s="5">
        <v>5448</v>
      </c>
      <c r="B5509" s="137">
        <f>'Revenues 9-14'!E5</f>
        <v>425099</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425099</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2549</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2549</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427648</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427648</v>
      </c>
      <c r="C5552" s="2" t="s">
        <v>594</v>
      </c>
      <c r="D5552" s="2" t="str">
        <f t="shared" si="85"/>
        <v>Error?</v>
      </c>
    </row>
    <row r="5553" spans="1:4" x14ac:dyDescent="0.2">
      <c r="A5553" s="5">
        <v>5492</v>
      </c>
      <c r="B5553" s="137">
        <f>'Revenues 9-14'!F5</f>
        <v>1230184</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1230184</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23003</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23003</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1253187</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238667</v>
      </c>
      <c r="D5617" s="2" t="str">
        <f t="shared" si="86"/>
        <v>Error?</v>
      </c>
    </row>
    <row r="5618" spans="1:4" x14ac:dyDescent="0.2">
      <c r="A5618" s="5">
        <v>5557</v>
      </c>
      <c r="B5618" s="137">
        <f>'Revenues 9-14'!F154</f>
        <v>238667</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238667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238667</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1491854</v>
      </c>
      <c r="C5720" s="2" t="s">
        <v>594</v>
      </c>
      <c r="D5720" s="2" t="str">
        <f t="shared" si="88"/>
        <v>Error?</v>
      </c>
    </row>
    <row r="5721" spans="1:4" x14ac:dyDescent="0.2">
      <c r="A5721" s="5">
        <v>5660</v>
      </c>
      <c r="B5721" s="137">
        <f>'Revenues 9-14'!G5</f>
        <v>124334</v>
      </c>
      <c r="D5721" s="2" t="str">
        <f t="shared" si="88"/>
        <v>Error?</v>
      </c>
    </row>
    <row r="5722" spans="1:4" x14ac:dyDescent="0.2">
      <c r="A5722" s="5">
        <v>5661</v>
      </c>
      <c r="B5722" s="137">
        <f>'Revenues 9-14'!G7</f>
        <v>0</v>
      </c>
      <c r="D5722" s="2" t="str">
        <f t="shared" si="88"/>
        <v>Error?</v>
      </c>
    </row>
    <row r="5723" spans="1:4" x14ac:dyDescent="0.2">
      <c r="A5723" s="5">
        <v>5662</v>
      </c>
      <c r="B5723" s="137">
        <f>'Revenues 9-14'!G8</f>
        <v>136525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260859</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1016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1016</v>
      </c>
      <c r="C5730" s="2" t="s">
        <v>594</v>
      </c>
      <c r="D5730" s="2" t="str">
        <f t="shared" si="88"/>
        <v>Error?</v>
      </c>
    </row>
    <row r="5731" spans="1:4" x14ac:dyDescent="0.2">
      <c r="A5731" s="5">
        <v>5670</v>
      </c>
      <c r="B5731" s="137">
        <f>'Revenues 9-14'!G65</f>
        <v>16474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16474</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278349</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72059</v>
      </c>
      <c r="D5916" s="2" t="str">
        <f t="shared" si="91"/>
        <v>Error?</v>
      </c>
    </row>
    <row r="5917" spans="1:4" x14ac:dyDescent="0.2">
      <c r="A5917" s="5">
        <v>5856</v>
      </c>
      <c r="B5917" s="137">
        <f>'Revenues 9-14'!I11</f>
        <v>0</v>
      </c>
      <c r="D5917" s="2" t="str">
        <f t="shared" si="91"/>
        <v>Error?</v>
      </c>
    </row>
    <row r="5918" spans="1:4" x14ac:dyDescent="0.2">
      <c r="A5918" s="5">
        <v>5857</v>
      </c>
      <c r="B5918" s="137">
        <f>'Revenues 9-14'!I12</f>
        <v>72059</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23896</v>
      </c>
      <c r="D5924" s="2" t="str">
        <f t="shared" si="91"/>
        <v>Error?</v>
      </c>
    </row>
    <row r="5925" spans="1:4" x14ac:dyDescent="0.2">
      <c r="A5925" s="5">
        <v>5864</v>
      </c>
      <c r="B5925" s="137">
        <f>'Revenues 9-14'!I66</f>
        <v>0</v>
      </c>
      <c r="D5925" s="2" t="str">
        <f t="shared" si="91"/>
        <v>Error?</v>
      </c>
    </row>
    <row r="5926" spans="1:4" x14ac:dyDescent="0.2">
      <c r="A5926" s="5">
        <v>5865</v>
      </c>
      <c r="B5926" s="137">
        <f>'Revenues 9-14'!I67</f>
        <v>23896</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95955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144638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144638</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9290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9290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153928</v>
      </c>
      <c r="C6023" s="2" t="s">
        <v>594</v>
      </c>
      <c r="D6023" s="2" t="str">
        <f t="shared" si="93"/>
        <v>Error?</v>
      </c>
    </row>
    <row r="6024" spans="1:5" x14ac:dyDescent="0.2">
      <c r="A6024" s="5">
        <v>5963</v>
      </c>
      <c r="B6024" s="137">
        <f>'Revenues 9-14'!G109</f>
        <v>278349</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95955</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153928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21918</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1012.4</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257211</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257211</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257211</v>
      </c>
      <c r="D6216" s="2" t="str">
        <f t="shared" si="96"/>
        <v>Error?</v>
      </c>
      <c r="E6216" s="2" t="s">
        <v>199</v>
      </c>
    </row>
    <row r="6217" spans="1:5" x14ac:dyDescent="0.2">
      <c r="A6217">
        <v>6156</v>
      </c>
      <c r="B6217" s="137">
        <f>'Assets-Liab 5-6'!J4</f>
        <v>257211</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192413</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192413</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192413</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178011</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178011</v>
      </c>
      <c r="D6229" s="2" t="str">
        <f t="shared" si="96"/>
        <v>Error?</v>
      </c>
      <c r="E6229" s="2" t="s">
        <v>199</v>
      </c>
    </row>
    <row r="6230" spans="1:5" x14ac:dyDescent="0.2">
      <c r="A6230">
        <v>6169</v>
      </c>
      <c r="B6230" s="137">
        <f>'Acct Summary 7-8'!J20</f>
        <v>14402</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14402</v>
      </c>
      <c r="D6263" s="2" t="str">
        <f t="shared" si="96"/>
        <v>Error?</v>
      </c>
      <c r="E6263" s="2" t="s">
        <v>199</v>
      </c>
    </row>
    <row r="6264" spans="1:5" x14ac:dyDescent="0.2">
      <c r="A6264">
        <v>6203</v>
      </c>
      <c r="B6264" s="137">
        <f>'Acct Summary 7-8'!J79</f>
        <v>242809</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257211</v>
      </c>
      <c r="D6266" s="2" t="str">
        <f t="shared" si="96"/>
        <v>Error?</v>
      </c>
      <c r="E6266" s="2" t="s">
        <v>199</v>
      </c>
    </row>
    <row r="6267" spans="1:5" x14ac:dyDescent="0.2">
      <c r="A6267">
        <v>6206</v>
      </c>
      <c r="B6267" s="137">
        <f>'Acct Summary 7-8'!C82</f>
        <v>1090334</v>
      </c>
      <c r="D6267" s="2" t="str">
        <f t="shared" si="96"/>
        <v>Error?</v>
      </c>
      <c r="E6267" s="2" t="s">
        <v>199</v>
      </c>
    </row>
    <row r="6268" spans="1:5" x14ac:dyDescent="0.2">
      <c r="A6268">
        <v>6207</v>
      </c>
      <c r="B6268" s="137">
        <f>'Acct Summary 7-8'!D82</f>
        <v>570002</v>
      </c>
      <c r="D6268" s="2" t="str">
        <f t="shared" si="96"/>
        <v>Error?</v>
      </c>
      <c r="E6268" s="2" t="s">
        <v>199</v>
      </c>
    </row>
    <row r="6269" spans="1:5" x14ac:dyDescent="0.2">
      <c r="A6269">
        <v>6208</v>
      </c>
      <c r="B6269" s="137">
        <f>'Acct Summary 7-8'!E82</f>
        <v>-275701</v>
      </c>
      <c r="D6269" s="2" t="str">
        <f t="shared" si="96"/>
        <v>Error?</v>
      </c>
      <c r="E6269" s="2" t="s">
        <v>199</v>
      </c>
    </row>
    <row r="6270" spans="1:5" x14ac:dyDescent="0.2">
      <c r="A6270">
        <v>6209</v>
      </c>
      <c r="B6270" s="137">
        <f>'Acct Summary 7-8'!F82</f>
        <v>151750</v>
      </c>
      <c r="D6270" s="2" t="str">
        <f t="shared" si="96"/>
        <v>Error?</v>
      </c>
      <c r="E6270" s="2" t="s">
        <v>199</v>
      </c>
    </row>
    <row r="6271" spans="1:5" x14ac:dyDescent="0.2">
      <c r="A6271">
        <v>6210</v>
      </c>
      <c r="B6271" s="137">
        <f>'Acct Summary 7-8'!G82</f>
        <v>-104861</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72059</v>
      </c>
      <c r="D6273" s="2" t="str">
        <f t="shared" si="97"/>
        <v>Error?</v>
      </c>
      <c r="E6273" s="2" t="s">
        <v>199</v>
      </c>
    </row>
    <row r="6274" spans="1:5" x14ac:dyDescent="0.2">
      <c r="A6274">
        <v>6213</v>
      </c>
      <c r="B6274" s="137">
        <f>'Acct Summary 7-8'!J82</f>
        <v>14402</v>
      </c>
      <c r="D6274" s="2" t="str">
        <f t="shared" si="97"/>
        <v>Error?</v>
      </c>
      <c r="E6274" s="2" t="s">
        <v>199</v>
      </c>
    </row>
    <row r="6275" spans="1:5" x14ac:dyDescent="0.2">
      <c r="A6275">
        <v>6214</v>
      </c>
      <c r="B6275" s="137">
        <f>'Acct Summary 7-8'!K82</f>
        <v>141235</v>
      </c>
      <c r="D6275" s="2" t="str">
        <f t="shared" si="97"/>
        <v>Error?</v>
      </c>
      <c r="E6275" s="2" t="s">
        <v>199</v>
      </c>
    </row>
    <row r="6276" spans="1:5" x14ac:dyDescent="0.2">
      <c r="A6276">
        <v>6215</v>
      </c>
      <c r="B6276" s="137">
        <f>'Acct Summary 7-8'!C83</f>
        <v>0.14177177860887513</v>
      </c>
      <c r="D6276" s="2" t="str">
        <f t="shared" si="97"/>
        <v>Error?</v>
      </c>
      <c r="E6276" s="2" t="s">
        <v>199</v>
      </c>
    </row>
    <row r="6277" spans="1:5" x14ac:dyDescent="0.2">
      <c r="A6277">
        <v>6216</v>
      </c>
      <c r="B6277" s="137">
        <f>'Acct Summary 7-8'!D83</f>
        <v>0.17884267233941081</v>
      </c>
      <c r="D6277" s="2" t="str">
        <f t="shared" si="97"/>
        <v>Error?</v>
      </c>
      <c r="E6277" s="2" t="s">
        <v>199</v>
      </c>
    </row>
    <row r="6278" spans="1:5" x14ac:dyDescent="0.2">
      <c r="A6278">
        <v>6217</v>
      </c>
      <c r="B6278" s="137">
        <f>'Acct Summary 7-8'!E83</f>
        <v>-65.239233317557975</v>
      </c>
      <c r="D6278" s="2" t="str">
        <f t="shared" si="97"/>
        <v>Error?</v>
      </c>
      <c r="E6278" s="2" t="s">
        <v>199</v>
      </c>
    </row>
    <row r="6279" spans="1:5" x14ac:dyDescent="0.2">
      <c r="A6279">
        <v>6218</v>
      </c>
      <c r="B6279" s="137">
        <f>'Acct Summary 7-8'!F83</f>
        <v>0.33658271506360138</v>
      </c>
      <c r="D6279" s="2" t="str">
        <f t="shared" si="97"/>
        <v>Error?</v>
      </c>
      <c r="E6279" s="2" t="s">
        <v>199</v>
      </c>
    </row>
    <row r="6280" spans="1:5" x14ac:dyDescent="0.2">
      <c r="A6280">
        <v>6219</v>
      </c>
      <c r="B6280" s="137">
        <f>'Acct Summary 7-8'!G83</f>
        <v>-0.11380727617265635</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4.5775025902061936E-2</v>
      </c>
      <c r="D6282" s="2" t="str">
        <f t="shared" si="97"/>
        <v>Error?</v>
      </c>
      <c r="E6282" s="2" t="s">
        <v>199</v>
      </c>
    </row>
    <row r="6283" spans="1:5" x14ac:dyDescent="0.2">
      <c r="A6283">
        <v>6222</v>
      </c>
      <c r="B6283" s="137">
        <f>'Acct Summary 7-8'!J83</f>
        <v>5.5992939648770855E-2</v>
      </c>
      <c r="D6283" s="2" t="str">
        <f t="shared" si="97"/>
        <v>Error?</v>
      </c>
      <c r="E6283" s="2" t="s">
        <v>199</v>
      </c>
    </row>
    <row r="6284" spans="1:5" x14ac:dyDescent="0.2">
      <c r="A6284">
        <v>6223</v>
      </c>
      <c r="B6284" s="137">
        <f>'Acct Summary 7-8'!K83</f>
        <v>0.2056397129911125</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188921</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188921</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3492</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3492</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192413</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7105</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7105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7105</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44466</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44466</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44466</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178011</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44466</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192413</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51324</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51324</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715</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715</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52681</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52681</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6248</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67043</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73291</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110968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67043</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178011</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110968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67043</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178011</v>
      </c>
      <c r="D7224" s="2" t="str">
        <f t="shared" si="111"/>
        <v>Error?</v>
      </c>
    </row>
    <row r="7225" spans="1:4" x14ac:dyDescent="0.2">
      <c r="A7225">
        <v>7164</v>
      </c>
      <c r="B7225" s="137">
        <f>'Expenditures 15-22'!K343</f>
        <v>14402</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51571</v>
      </c>
      <c r="D7624" s="2" t="str">
        <f t="shared" si="124"/>
        <v>Error?</v>
      </c>
      <c r="E7624" s="2" t="s">
        <v>19</v>
      </c>
    </row>
    <row r="7625" spans="1:5" x14ac:dyDescent="0.2">
      <c r="A7625">
        <f t="shared" si="123"/>
        <v>7564</v>
      </c>
      <c r="B7625" s="137">
        <f>'Cap Outlay Deprec 26'!I17</f>
        <v>5157.1000000000004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339610.1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578023</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1986884</v>
      </c>
      <c r="D7797" s="2" t="str">
        <f t="shared" si="127"/>
        <v>Error?</v>
      </c>
      <c r="E7797" s="4" t="s">
        <v>2020</v>
      </c>
    </row>
    <row r="7798" spans="1:5" x14ac:dyDescent="0.2">
      <c r="A7798">
        <v>7737</v>
      </c>
      <c r="B7798" s="137">
        <f>'Contracts Paid in CY 29'!F141</f>
        <v>250000</v>
      </c>
      <c r="D7798" s="2" t="str">
        <f t="shared" si="127"/>
        <v>Error?</v>
      </c>
      <c r="E7798" s="4" t="s">
        <v>2020</v>
      </c>
    </row>
    <row r="7799" spans="1:5" x14ac:dyDescent="0.2">
      <c r="A7799">
        <v>7738</v>
      </c>
      <c r="B7799" s="137">
        <f>'Contracts Paid in CY 29'!G141</f>
        <v>559943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G63" sqref="G63"/>
    </sheetView>
  </sheetViews>
  <sheetFormatPr defaultColWidth="9.140625" defaultRowHeight="12.75" x14ac:dyDescent="0.2"/>
  <cols>
    <col min="1" max="1" width="7.85546875" style="1180" customWidth="1"/>
    <col min="2" max="2" width="2.42578125" style="1176" customWidth="1"/>
    <col min="3" max="3" width="9.140625" style="1180"/>
    <col min="4" max="4" width="13" style="1180" customWidth="1"/>
    <col min="5" max="5" width="16" style="1180" customWidth="1"/>
    <col min="6" max="6" width="4.140625" style="1180" customWidth="1"/>
    <col min="7" max="7" width="3.5703125" style="1180" customWidth="1"/>
    <col min="8" max="8" width="9.5703125" style="1180" customWidth="1"/>
    <col min="9" max="9" width="10.5703125" style="1180" customWidth="1"/>
    <col min="10" max="10" width="5" style="1180" customWidth="1"/>
    <col min="11" max="11" width="6.5703125" style="1180" customWidth="1"/>
    <col min="12" max="12" width="12.85546875" style="1180" customWidth="1"/>
    <col min="13" max="13" width="2.5703125" style="1180" customWidth="1"/>
    <col min="14" max="14" width="13.140625" style="1180" customWidth="1"/>
    <col min="15" max="15" width="7.140625" style="1180" customWidth="1"/>
    <col min="16" max="16" width="7" style="1180" customWidth="1"/>
    <col min="17" max="17" width="9.570312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0" t="str">
        <f>COVER!A17</f>
        <v>Worth SD 127</v>
      </c>
      <c r="B7" s="2401"/>
      <c r="C7" s="2401"/>
      <c r="D7" s="2438"/>
      <c r="E7" s="2439">
        <f>COVER!A13</f>
        <v>7016127002</v>
      </c>
      <c r="F7" s="2440"/>
      <c r="G7" s="2407" t="str">
        <f>COVER!T23</f>
        <v>06-5035081</v>
      </c>
      <c r="H7" s="2408"/>
      <c r="I7" s="2408"/>
      <c r="J7" s="2408"/>
      <c r="K7" s="2408"/>
      <c r="L7" s="2409"/>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0"/>
      <c r="B9" s="2411"/>
      <c r="C9" s="2411"/>
      <c r="D9" s="2411"/>
      <c r="E9" s="2411"/>
      <c r="F9" s="2412"/>
      <c r="G9" s="2413" t="str">
        <f>COVER!T13</f>
        <v>RSM US LLP</v>
      </c>
      <c r="H9" s="2414"/>
      <c r="I9" s="2414"/>
      <c r="J9" s="2414"/>
      <c r="K9" s="2414"/>
      <c r="L9" s="2415"/>
    </row>
    <row r="10" spans="1:29" ht="13.5" customHeight="1" x14ac:dyDescent="0.2">
      <c r="A10" s="2397" t="str">
        <f>COVER!A38</f>
        <v>Dr. Rita Wojtylewski</v>
      </c>
      <c r="B10" s="2398"/>
      <c r="C10" s="2398"/>
      <c r="D10" s="2398"/>
      <c r="E10" s="2398"/>
      <c r="F10" s="2399"/>
      <c r="G10" s="2413" t="str">
        <f>COVER!T17</f>
        <v>One South Wacker Drive, Suite 800</v>
      </c>
      <c r="H10" s="2426"/>
      <c r="I10" s="2426"/>
      <c r="J10" s="2426"/>
      <c r="K10" s="2426"/>
      <c r="L10" s="2427"/>
    </row>
    <row r="11" spans="1:29" ht="13.5" customHeight="1" x14ac:dyDescent="0.2">
      <c r="A11" s="1184" t="s">
        <v>1599</v>
      </c>
      <c r="B11" s="1185"/>
      <c r="C11" s="1186"/>
      <c r="D11" s="1191"/>
      <c r="E11" s="1186"/>
      <c r="F11" s="1190"/>
      <c r="G11" s="2413" t="str">
        <f>COVER!T19</f>
        <v>Chicago</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mandy.pittman@rsmus.com</v>
      </c>
      <c r="J13" s="2435"/>
      <c r="K13" s="2435"/>
      <c r="L13" s="2436"/>
    </row>
    <row r="14" spans="1:29" ht="13.5" customHeight="1" x14ac:dyDescent="0.2">
      <c r="A14" s="2413" t="str">
        <f>COVER!A19</f>
        <v>11218 S Ridgeland Avenue</v>
      </c>
      <c r="B14" s="2426"/>
      <c r="C14" s="2426"/>
      <c r="D14" s="2426"/>
      <c r="E14" s="2426"/>
      <c r="F14" s="2427"/>
      <c r="G14" s="1195" t="s">
        <v>1247</v>
      </c>
      <c r="H14" s="1193"/>
      <c r="I14" s="1193"/>
      <c r="J14" s="1193"/>
      <c r="K14" s="1193"/>
      <c r="L14" s="1194"/>
    </row>
    <row r="15" spans="1:29" ht="13.5" customHeight="1" x14ac:dyDescent="0.2">
      <c r="A15" s="2413" t="str">
        <f>COVER!A21</f>
        <v>Worth</v>
      </c>
      <c r="B15" s="2426"/>
      <c r="C15" s="2426"/>
      <c r="D15" s="2426"/>
      <c r="E15" s="2426"/>
      <c r="F15" s="2427"/>
      <c r="G15" s="2423" t="str">
        <f>COVER!T15</f>
        <v>Mandy Pittman</v>
      </c>
      <c r="H15" s="2424"/>
      <c r="I15" s="2424"/>
      <c r="J15" s="2424"/>
      <c r="K15" s="2424"/>
      <c r="L15" s="2425"/>
    </row>
    <row r="16" spans="1:29" ht="12.2" customHeight="1" x14ac:dyDescent="0.2">
      <c r="A16" s="2403">
        <f>COVER!A25</f>
        <v>60482</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5" t="s">
        <v>1246</v>
      </c>
      <c r="H17" s="1193"/>
      <c r="I17" s="1193"/>
      <c r="J17" s="1193"/>
      <c r="K17" s="1197" t="s">
        <v>1245</v>
      </c>
      <c r="L17" s="1190"/>
      <c r="M17" s="1183"/>
    </row>
    <row r="18" spans="1:13" ht="12.2" customHeight="1" x14ac:dyDescent="0.2">
      <c r="A18" s="2397"/>
      <c r="B18" s="2398"/>
      <c r="C18" s="2398"/>
      <c r="D18" s="2398"/>
      <c r="E18" s="2398"/>
      <c r="F18" s="2399"/>
      <c r="G18" s="2400" t="str">
        <f>COVER!T21</f>
        <v>312-634-4414</v>
      </c>
      <c r="H18" s="2401"/>
      <c r="I18" s="2401"/>
      <c r="J18" s="2401"/>
      <c r="K18" s="2400" t="str">
        <f>COVER!X21</f>
        <v>312-634-5523</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3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1.1"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1.1"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15" zoomScale="125" zoomScaleNormal="125" workbookViewId="0">
      <selection sqref="A1:D1"/>
    </sheetView>
  </sheetViews>
  <sheetFormatPr defaultColWidth="10.5703125" defaultRowHeight="11.25" x14ac:dyDescent="0.2"/>
  <cols>
    <col min="1" max="1" width="1.5703125" style="1217" customWidth="1"/>
    <col min="2" max="2" width="2.5703125" style="1221" customWidth="1"/>
    <col min="3" max="3" width="3.42578125" style="1231" customWidth="1"/>
    <col min="4" max="4" width="97.5703125" style="1221" customWidth="1"/>
    <col min="5" max="5" width="4.140625" style="1221" customWidth="1"/>
    <col min="6" max="16384" width="10.5703125" style="1221"/>
  </cols>
  <sheetData>
    <row r="1" spans="1:11" s="1214" customFormat="1" ht="12.75" x14ac:dyDescent="0.2">
      <c r="A1" s="2441" t="str">
        <f>'Single Audit Cover'!A7</f>
        <v>Worth SD 127</v>
      </c>
      <c r="B1" s="2437"/>
      <c r="C1" s="2437"/>
      <c r="D1" s="2437"/>
    </row>
    <row r="2" spans="1:11" s="1214" customFormat="1" ht="12.75" x14ac:dyDescent="0.2">
      <c r="A2" s="2442">
        <f>'Single Audit Cover'!E7</f>
        <v>7016127002</v>
      </c>
      <c r="B2" s="2443"/>
      <c r="C2" s="2443"/>
      <c r="D2" s="2443"/>
    </row>
    <row r="3" spans="1:11" s="1214" customFormat="1" ht="12.75" x14ac:dyDescent="0.2">
      <c r="A3" s="2441" t="s">
        <v>1593</v>
      </c>
      <c r="B3" s="2437"/>
      <c r="C3" s="2437"/>
      <c r="D3" s="2437"/>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5703125" defaultRowHeight="12.75" x14ac:dyDescent="0.2"/>
  <cols>
    <col min="1" max="1" width="31.85546875" style="316" customWidth="1"/>
    <col min="2" max="2" width="29.5703125" style="1257" customWidth="1"/>
    <col min="3" max="3" width="1.42578125" style="1257" customWidth="1"/>
    <col min="4" max="4" width="24.42578125" style="1258" customWidth="1"/>
    <col min="5" max="5" width="5" style="316" customWidth="1"/>
    <col min="6" max="16384" width="15.5703125" style="316"/>
  </cols>
  <sheetData>
    <row r="1" spans="1:5" x14ac:dyDescent="0.2">
      <c r="A1" s="2445" t="str">
        <f>'Single Audit Cover'!A7</f>
        <v>Worth SD 127</v>
      </c>
      <c r="B1" s="2445"/>
      <c r="C1" s="2445"/>
      <c r="D1" s="2445"/>
      <c r="E1" s="2445"/>
    </row>
    <row r="2" spans="1:5" x14ac:dyDescent="0.2">
      <c r="A2" s="2446">
        <f>'Single Audit Cover'!E7</f>
        <v>7016127002</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9" t="s">
        <v>1305</v>
      </c>
    </row>
    <row r="10" spans="1:5" x14ac:dyDescent="0.2">
      <c r="A10" s="1260" t="s">
        <v>1304</v>
      </c>
      <c r="B10" s="1261" t="s">
        <v>1303</v>
      </c>
      <c r="C10" s="1261"/>
      <c r="D10" s="1262">
        <f>SUM('Acct Summary 7-8'!C7:K7)</f>
        <v>917364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21918</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939282</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7"/>
      <c r="B24" s="2447"/>
      <c r="D24" s="1267"/>
    </row>
    <row r="25" spans="1:4" x14ac:dyDescent="0.2">
      <c r="A25" s="2444"/>
      <c r="B25" s="2444"/>
      <c r="D25" s="1267"/>
    </row>
    <row r="26" spans="1:4" x14ac:dyDescent="0.2">
      <c r="A26" s="2444"/>
      <c r="B26" s="2444"/>
      <c r="D26" s="1267"/>
    </row>
    <row r="27" spans="1:4" x14ac:dyDescent="0.2">
      <c r="A27" s="2444"/>
      <c r="B27" s="2444"/>
      <c r="D27" s="1267"/>
    </row>
    <row r="28" spans="1:4" x14ac:dyDescent="0.2">
      <c r="A28" s="2444"/>
      <c r="B28" s="2444"/>
      <c r="D28" s="1267"/>
    </row>
    <row r="29" spans="1:4" x14ac:dyDescent="0.2">
      <c r="A29" s="2444"/>
      <c r="B29" s="2444"/>
      <c r="D29" s="1267"/>
    </row>
    <row r="30" spans="1:4" x14ac:dyDescent="0.2">
      <c r="A30" s="2444"/>
      <c r="B30" s="2444"/>
      <c r="D30" s="1267"/>
    </row>
    <row r="32" spans="1:4" x14ac:dyDescent="0.2">
      <c r="A32" s="1259" t="s">
        <v>1295</v>
      </c>
      <c r="D32" s="1262">
        <f>SUM(D19:D30)</f>
        <v>939282</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4"/>
      <c r="B40" s="2444"/>
      <c r="D40" s="1267"/>
    </row>
    <row r="41" spans="1:4" x14ac:dyDescent="0.2">
      <c r="A41" s="2444"/>
      <c r="B41" s="2444"/>
      <c r="D41" s="1270"/>
    </row>
    <row r="42" spans="1:4" x14ac:dyDescent="0.2">
      <c r="A42" s="2444"/>
      <c r="B42" s="2444"/>
      <c r="D42" s="1270"/>
    </row>
    <row r="43" spans="1:4" x14ac:dyDescent="0.2">
      <c r="A43" s="2444"/>
      <c r="B43" s="2444"/>
      <c r="D43" s="1270"/>
    </row>
    <row r="44" spans="1:4" x14ac:dyDescent="0.2">
      <c r="A44" s="2444"/>
      <c r="B44" s="2444"/>
      <c r="D44" s="1270"/>
    </row>
    <row r="45" spans="1:4" x14ac:dyDescent="0.2">
      <c r="A45" s="2444"/>
      <c r="B45" s="2444"/>
      <c r="D45" s="1270"/>
    </row>
    <row r="47" spans="1:4" x14ac:dyDescent="0.2">
      <c r="B47" s="1271" t="s">
        <v>1289</v>
      </c>
      <c r="C47" s="1271"/>
      <c r="D47" s="1272">
        <f>SUM(D35:D45)</f>
        <v>0</v>
      </c>
    </row>
    <row r="49" spans="2:4" x14ac:dyDescent="0.2">
      <c r="B49" s="1271" t="s">
        <v>1288</v>
      </c>
      <c r="C49" s="1271"/>
      <c r="D49" s="1272">
        <f>D32-D47</f>
        <v>939282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42578125" style="316" customWidth="1"/>
    <col min="3" max="3" width="14" style="1257" customWidth="1"/>
    <col min="4" max="4" width="16.5703125" style="1257" customWidth="1"/>
    <col min="5" max="5" width="7.5703125" style="316" customWidth="1"/>
    <col min="6" max="6" width="2.5703125" style="316" customWidth="1"/>
    <col min="7" max="7" width="3.42578125" style="316" customWidth="1"/>
    <col min="8" max="16384" width="8" style="316"/>
  </cols>
  <sheetData>
    <row r="1" spans="1:7" ht="13.5" customHeight="1" x14ac:dyDescent="0.2">
      <c r="A1" s="2450" t="str">
        <f>'Single Audit Cover'!A7</f>
        <v>Worth SD 127</v>
      </c>
      <c r="B1" s="2450"/>
      <c r="C1" s="2450"/>
      <c r="D1" s="2450"/>
      <c r="E1" s="2450"/>
      <c r="F1" s="2450"/>
    </row>
    <row r="2" spans="1:7" ht="13.5" customHeight="1" x14ac:dyDescent="0.2">
      <c r="A2" s="2451">
        <f>'Single Audit Cover'!E7</f>
        <v>7016127002</v>
      </c>
      <c r="B2" s="2451"/>
      <c r="C2" s="2451"/>
      <c r="D2" s="2451"/>
      <c r="E2" s="2451"/>
      <c r="F2" s="2451"/>
      <c r="G2" s="1274"/>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6"/>
      <c r="D5" s="316"/>
    </row>
    <row r="6" spans="1:7" ht="13.5" customHeight="1" x14ac:dyDescent="0.2">
      <c r="A6" s="1275" t="s">
        <v>1831</v>
      </c>
      <c r="C6" s="316"/>
      <c r="D6" s="316"/>
    </row>
    <row r="7" spans="1:7" ht="60.95" customHeight="1" x14ac:dyDescent="0.2">
      <c r="A7" s="2449" t="s">
        <v>1832</v>
      </c>
      <c r="B7" s="2449"/>
      <c r="C7" s="2449"/>
      <c r="D7" s="2449"/>
      <c r="E7" s="2449"/>
      <c r="F7" s="2449"/>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5"/>
      <c r="D11" s="1279"/>
      <c r="E11" s="1925"/>
      <c r="F11" s="1279"/>
      <c r="G11" s="1277"/>
    </row>
    <row r="12" spans="1:7" x14ac:dyDescent="0.2">
      <c r="A12" s="1275" t="s">
        <v>1669</v>
      </c>
      <c r="C12" s="1259"/>
      <c r="D12" s="1259"/>
    </row>
    <row r="13" spans="1:7" ht="15" customHeight="1" x14ac:dyDescent="0.2">
      <c r="A13" s="2449" t="s">
        <v>1834</v>
      </c>
      <c r="B13" s="2449"/>
      <c r="C13" s="2449"/>
      <c r="D13" s="2449"/>
      <c r="E13" s="2449"/>
      <c r="F13" s="2449"/>
    </row>
    <row r="14" spans="1:7" ht="9.75" customHeight="1" x14ac:dyDescent="0.2">
      <c r="C14" s="1259"/>
      <c r="D14" s="1259"/>
    </row>
    <row r="15" spans="1:7" ht="13.5" customHeight="1" x14ac:dyDescent="0.2">
      <c r="C15" s="1869" t="s">
        <v>1332</v>
      </c>
      <c r="D15" s="2455" t="s">
        <v>1331</v>
      </c>
      <c r="E15" s="2455"/>
      <c r="F15" s="2455"/>
    </row>
    <row r="16" spans="1:7" ht="13.5" customHeight="1" x14ac:dyDescent="0.2">
      <c r="A16" s="1281"/>
      <c r="B16" s="1275" t="s">
        <v>1330</v>
      </c>
      <c r="C16" s="1869" t="s">
        <v>1329</v>
      </c>
      <c r="D16" s="2456" t="s">
        <v>1670</v>
      </c>
      <c r="E16" s="2456"/>
      <c r="F16" s="2456"/>
    </row>
    <row r="17" spans="1:6" ht="20.45" customHeight="1" x14ac:dyDescent="0.2">
      <c r="A17" s="1282"/>
      <c r="B17" s="1283"/>
      <c r="C17" s="1284"/>
      <c r="D17" s="2454"/>
      <c r="E17" s="2454"/>
      <c r="F17" s="2454"/>
    </row>
    <row r="18" spans="1:6" ht="20.85" customHeight="1" x14ac:dyDescent="0.2">
      <c r="A18" s="1282"/>
      <c r="B18" s="1283"/>
      <c r="C18" s="1284"/>
      <c r="D18" s="2454"/>
      <c r="E18" s="2454"/>
      <c r="F18" s="2454"/>
    </row>
    <row r="19" spans="1:6" ht="20.85" customHeight="1" x14ac:dyDescent="0.2">
      <c r="A19" s="1282"/>
      <c r="B19" s="1283"/>
      <c r="C19" s="1284"/>
      <c r="D19" s="2454"/>
      <c r="E19" s="2454"/>
      <c r="F19" s="2454"/>
    </row>
    <row r="20" spans="1:6" ht="20.85" customHeight="1" x14ac:dyDescent="0.2">
      <c r="A20" s="1282"/>
      <c r="B20" s="1283"/>
      <c r="C20" s="1284"/>
      <c r="D20" s="2454"/>
      <c r="E20" s="2454"/>
      <c r="F20" s="2454"/>
    </row>
    <row r="21" spans="1:6" ht="20.85" customHeight="1" x14ac:dyDescent="0.2">
      <c r="A21" s="1282"/>
      <c r="B21" s="1283"/>
      <c r="C21" s="1284"/>
      <c r="D21" s="2454"/>
      <c r="E21" s="2454"/>
      <c r="F21" s="2454"/>
    </row>
    <row r="22" spans="1:6" ht="20.85" customHeight="1" x14ac:dyDescent="0.2">
      <c r="A22" s="1282"/>
      <c r="B22" s="1283"/>
      <c r="C22" s="1284"/>
      <c r="D22" s="2454"/>
      <c r="E22" s="2454"/>
      <c r="F22" s="2454"/>
    </row>
    <row r="23" spans="1:6" ht="20.85" customHeight="1" x14ac:dyDescent="0.2">
      <c r="A23" s="1282"/>
      <c r="B23" s="1283"/>
      <c r="C23" s="1284"/>
      <c r="D23" s="2454"/>
      <c r="E23" s="2454"/>
      <c r="F23" s="2454"/>
    </row>
    <row r="24" spans="1:6" ht="20.85" customHeight="1" x14ac:dyDescent="0.2">
      <c r="A24" s="1282"/>
      <c r="B24" s="1283"/>
      <c r="C24" s="1284"/>
      <c r="D24" s="2454"/>
      <c r="E24" s="2454"/>
      <c r="F24" s="2454"/>
    </row>
    <row r="25" spans="1:6" ht="20.85" customHeight="1" x14ac:dyDescent="0.2">
      <c r="A25" s="1282"/>
      <c r="B25" s="1283"/>
      <c r="C25" s="1284"/>
      <c r="D25" s="2454"/>
      <c r="E25" s="2454"/>
      <c r="F25" s="2454"/>
    </row>
    <row r="26" spans="1:6" ht="20.85" customHeight="1" x14ac:dyDescent="0.2">
      <c r="A26" s="1282"/>
      <c r="B26" s="1283"/>
      <c r="C26" s="1284"/>
      <c r="D26" s="2454"/>
      <c r="E26" s="2454"/>
      <c r="F26" s="2454"/>
    </row>
    <row r="27" spans="1:6" ht="20.85" customHeight="1" x14ac:dyDescent="0.2">
      <c r="A27" s="1282"/>
      <c r="B27" s="1283"/>
      <c r="C27" s="1284"/>
      <c r="D27" s="2454"/>
      <c r="E27" s="2454"/>
      <c r="F27" s="2454"/>
    </row>
    <row r="28" spans="1:6" ht="20.85" customHeight="1" x14ac:dyDescent="0.2">
      <c r="A28" s="1282"/>
      <c r="B28" s="1283"/>
      <c r="C28" s="1284"/>
      <c r="D28" s="2454"/>
      <c r="E28" s="2454"/>
      <c r="F28" s="2454"/>
    </row>
    <row r="29" spans="1:6" ht="20.85" customHeight="1" x14ac:dyDescent="0.2">
      <c r="A29" s="1282"/>
      <c r="B29" s="1283"/>
      <c r="C29" s="1284"/>
      <c r="D29" s="2454"/>
      <c r="E29" s="2454"/>
      <c r="F29" s="2454"/>
    </row>
    <row r="30" spans="1:6" ht="12" customHeight="1" x14ac:dyDescent="0.2">
      <c r="A30" s="327"/>
      <c r="B30" s="327"/>
      <c r="C30" s="1477"/>
      <c r="D30" s="1926"/>
      <c r="E30" s="1285"/>
    </row>
    <row r="31" spans="1:6" ht="12" customHeight="1" x14ac:dyDescent="0.2">
      <c r="A31" s="1286" t="s">
        <v>1630</v>
      </c>
      <c r="B31" s="327"/>
      <c r="C31" s="1477"/>
      <c r="D31" s="1926"/>
      <c r="E31" s="1285"/>
    </row>
    <row r="32" spans="1:6" ht="30" customHeight="1" x14ac:dyDescent="0.2">
      <c r="A32" s="2458" t="s">
        <v>1835</v>
      </c>
      <c r="B32" s="2458"/>
      <c r="C32" s="2458"/>
      <c r="D32" s="2458"/>
      <c r="E32" s="2458"/>
      <c r="F32" s="2458"/>
    </row>
    <row r="33" spans="1:6" ht="13.5" customHeight="1" x14ac:dyDescent="0.2">
      <c r="A33" s="327" t="s">
        <v>1509</v>
      </c>
      <c r="B33" s="327"/>
      <c r="C33" s="1287">
        <v>0</v>
      </c>
      <c r="D33" s="1926"/>
      <c r="E33" s="1285"/>
    </row>
    <row r="34" spans="1:6" ht="13.5" customHeight="1" x14ac:dyDescent="0.2">
      <c r="A34" s="327" t="s">
        <v>1949</v>
      </c>
      <c r="B34" s="327"/>
      <c r="C34" s="1288">
        <v>0</v>
      </c>
      <c r="D34" s="1926" t="s">
        <v>1671</v>
      </c>
      <c r="E34" s="2459">
        <f>+C33+C34</f>
        <v>0</v>
      </c>
      <c r="F34" s="2460"/>
    </row>
    <row r="35" spans="1:6" ht="12" customHeight="1" x14ac:dyDescent="0.2">
      <c r="A35" s="327"/>
      <c r="B35" s="327"/>
      <c r="C35" s="1927"/>
      <c r="D35" s="1926"/>
      <c r="E35" s="1289"/>
      <c r="F35" s="1290"/>
    </row>
    <row r="36" spans="1:6" ht="13.5" customHeight="1" x14ac:dyDescent="0.2">
      <c r="A36" s="1286" t="s">
        <v>1631</v>
      </c>
      <c r="B36" s="327"/>
      <c r="C36" s="1477"/>
      <c r="D36" s="1926"/>
      <c r="E36" s="1285"/>
    </row>
    <row r="37" spans="1:6" ht="14.25" customHeight="1" x14ac:dyDescent="0.2">
      <c r="A37" s="327" t="s">
        <v>1563</v>
      </c>
      <c r="B37" s="327"/>
      <c r="C37" s="1928"/>
      <c r="D37" s="1926"/>
      <c r="E37" s="1285"/>
    </row>
    <row r="38" spans="1:6" ht="14.25" customHeight="1" x14ac:dyDescent="0.2">
      <c r="A38" s="327"/>
      <c r="B38" s="327" t="s">
        <v>1510</v>
      </c>
      <c r="C38" s="1291"/>
      <c r="D38" s="1926"/>
      <c r="E38" s="1285"/>
    </row>
    <row r="39" spans="1:6" ht="14.25" customHeight="1" x14ac:dyDescent="0.2">
      <c r="A39" s="327"/>
      <c r="B39" s="327" t="s">
        <v>1511</v>
      </c>
      <c r="C39" s="1291"/>
      <c r="D39" s="1926"/>
      <c r="E39" s="1285"/>
    </row>
    <row r="40" spans="1:6" ht="14.25" customHeight="1" x14ac:dyDescent="0.2">
      <c r="A40" s="327"/>
      <c r="B40" s="327" t="s">
        <v>1512</v>
      </c>
      <c r="C40" s="1291"/>
      <c r="D40" s="1926"/>
      <c r="E40" s="1285"/>
    </row>
    <row r="41" spans="1:6" ht="14.25" customHeight="1" x14ac:dyDescent="0.2">
      <c r="A41" s="327"/>
      <c r="B41" s="327" t="s">
        <v>1513</v>
      </c>
      <c r="C41" s="1291"/>
      <c r="D41" s="1926"/>
      <c r="E41" s="1285"/>
    </row>
    <row r="42" spans="1:6" ht="14.25" customHeight="1" x14ac:dyDescent="0.2">
      <c r="A42" s="327" t="s">
        <v>1514</v>
      </c>
      <c r="B42" s="327"/>
      <c r="C42" s="1924"/>
      <c r="D42" s="1926"/>
      <c r="E42" s="1285"/>
    </row>
    <row r="43" spans="1:6" ht="14.25" customHeight="1" x14ac:dyDescent="0.2">
      <c r="A43" s="327" t="s">
        <v>1515</v>
      </c>
      <c r="B43" s="327"/>
      <c r="C43" s="1292"/>
      <c r="D43" s="1926"/>
      <c r="E43" s="1285"/>
    </row>
    <row r="44" spans="1:6" ht="14.25" customHeight="1" x14ac:dyDescent="0.2">
      <c r="A44" s="327"/>
      <c r="B44" s="327"/>
      <c r="C44" s="1928" t="s">
        <v>1516</v>
      </c>
      <c r="D44" s="1926"/>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61" t="s">
        <v>1672</v>
      </c>
      <c r="C49" s="2461"/>
      <c r="D49" s="2461"/>
      <c r="E49" s="1398"/>
    </row>
    <row r="50" spans="1:5" s="1299" customFormat="1" ht="3.75" customHeight="1" x14ac:dyDescent="0.2">
      <c r="A50" s="1298"/>
      <c r="B50" s="1868"/>
      <c r="C50" s="1868"/>
      <c r="D50" s="1868"/>
      <c r="E50" s="1398"/>
    </row>
    <row r="51" spans="1:5" s="1299" customFormat="1" ht="20.25" customHeight="1" x14ac:dyDescent="0.2">
      <c r="A51" s="1300">
        <v>6</v>
      </c>
      <c r="B51" s="2457" t="s">
        <v>1632</v>
      </c>
      <c r="C51" s="2457"/>
      <c r="D51" s="2457"/>
    </row>
    <row r="52" spans="1:5" ht="14.25" customHeight="1" x14ac:dyDescent="0.2">
      <c r="A52" s="1300"/>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5703125" style="1356" customWidth="1"/>
    <col min="4" max="4" width="12.5703125" style="1357" customWidth="1"/>
    <col min="5" max="6" width="11.5703125" style="316" customWidth="1"/>
    <col min="7" max="7" width="11.5703125" style="1257" customWidth="1"/>
    <col min="8" max="8" width="13.5703125" style="1257" bestFit="1" customWidth="1"/>
    <col min="9" max="9" width="11.5703125" style="1257" customWidth="1"/>
    <col min="10" max="10" width="13.5703125" style="1257" customWidth="1"/>
    <col min="11" max="12" width="11.5703125" style="1257" customWidth="1"/>
    <col min="13" max="13" width="11.5703125" style="316" customWidth="1"/>
    <col min="14" max="14" width="2.5703125" style="316" customWidth="1"/>
    <col min="15" max="16384" width="33.5703125" style="316"/>
  </cols>
  <sheetData>
    <row r="1" spans="2:14" ht="11.85" customHeight="1" x14ac:dyDescent="0.2">
      <c r="B1" s="2406" t="str">
        <f>'Single Audit Cover'!A7</f>
        <v>Worth SD 127</v>
      </c>
      <c r="C1" s="2462"/>
      <c r="D1" s="2462"/>
      <c r="E1" s="2462"/>
      <c r="F1" s="2462"/>
      <c r="G1" s="2462"/>
      <c r="H1" s="2462"/>
      <c r="I1" s="2462"/>
      <c r="J1" s="2462"/>
      <c r="K1" s="2462"/>
      <c r="L1" s="2462"/>
      <c r="M1" s="2462"/>
    </row>
    <row r="2" spans="2:14" ht="15" x14ac:dyDescent="0.2">
      <c r="B2" s="2451">
        <f>'Single Audit Cover'!E7</f>
        <v>7016127002</v>
      </c>
      <c r="C2" s="2451"/>
      <c r="D2" s="2451"/>
      <c r="E2" s="2451"/>
      <c r="F2" s="2451"/>
      <c r="G2" s="2451"/>
      <c r="H2" s="2451"/>
      <c r="I2" s="2451"/>
      <c r="J2" s="2451"/>
      <c r="K2" s="2451"/>
      <c r="L2" s="2451"/>
      <c r="M2" s="2451"/>
      <c r="N2" s="1301"/>
    </row>
    <row r="3" spans="2:14" ht="15" x14ac:dyDescent="0.2">
      <c r="B3" s="2463" t="s">
        <v>1281</v>
      </c>
      <c r="C3" s="2463"/>
      <c r="D3" s="2463"/>
      <c r="E3" s="2463"/>
      <c r="F3" s="2463"/>
      <c r="G3" s="2463"/>
      <c r="H3" s="2463"/>
      <c r="I3" s="2463"/>
      <c r="J3" s="2463"/>
      <c r="K3" s="2463"/>
      <c r="L3" s="2463"/>
      <c r="M3" s="2463"/>
      <c r="N3" s="1301"/>
    </row>
    <row r="4" spans="2:14" ht="15" x14ac:dyDescent="0.2">
      <c r="B4" s="2464" t="str">
        <f>'Single Audit Cover'!A4</f>
        <v>Year Ending June 30, 2018</v>
      </c>
      <c r="C4" s="2464"/>
      <c r="D4" s="2464"/>
      <c r="E4" s="2464"/>
      <c r="F4" s="2464"/>
      <c r="G4" s="2464"/>
      <c r="H4" s="2464"/>
      <c r="I4" s="2464"/>
      <c r="J4" s="2464"/>
      <c r="K4" s="2464"/>
      <c r="L4" s="2464"/>
      <c r="M4" s="2464"/>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3" zoomScale="110" zoomScaleNormal="110" workbookViewId="0">
      <selection activeCell="E51" sqref="E51"/>
    </sheetView>
  </sheetViews>
  <sheetFormatPr defaultColWidth="9.140625" defaultRowHeight="12.75" x14ac:dyDescent="0.2"/>
  <cols>
    <col min="1" max="1" width="1.42578125" style="1299" customWidth="1"/>
    <col min="2" max="2" width="24.42578125" style="1356" customWidth="1"/>
    <col min="3" max="3" width="29.5703125" style="316" customWidth="1"/>
    <col min="4" max="4" width="9.42578125" style="316" customWidth="1"/>
    <col min="5" max="5" width="5.42578125" style="1257"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9" t="str">
        <f>'Single Audit Cover'!A7</f>
        <v>Worth SD 127</v>
      </c>
      <c r="C1" s="2470"/>
      <c r="D1" s="2470"/>
      <c r="E1" s="2470"/>
      <c r="F1" s="2470"/>
      <c r="G1" s="2470"/>
      <c r="H1" s="2470"/>
      <c r="I1" s="2470"/>
      <c r="J1" s="1421"/>
    </row>
    <row r="2" spans="2:10" s="316" customFormat="1" ht="12.75" customHeight="1" x14ac:dyDescent="0.2">
      <c r="B2" s="2471">
        <f>'Single Audit Cover'!E7</f>
        <v>7016127002</v>
      </c>
      <c r="C2" s="2472"/>
      <c r="D2" s="2472"/>
      <c r="E2" s="2472"/>
      <c r="F2" s="2472"/>
      <c r="G2" s="2472"/>
      <c r="H2" s="2472"/>
      <c r="I2" s="2472"/>
      <c r="J2" s="1421"/>
    </row>
    <row r="3" spans="2:10" s="316" customFormat="1" ht="12.75" customHeight="1" x14ac:dyDescent="0.2">
      <c r="B3" s="2473" t="s">
        <v>1347</v>
      </c>
      <c r="C3" s="2474"/>
      <c r="D3" s="2474"/>
      <c r="E3" s="2474"/>
      <c r="F3" s="2474"/>
      <c r="G3" s="2474"/>
      <c r="H3" s="2474"/>
      <c r="I3" s="2474"/>
      <c r="J3" s="1422"/>
    </row>
    <row r="4" spans="2:10" s="316" customFormat="1" ht="12.75" customHeight="1" x14ac:dyDescent="0.2">
      <c r="B4" s="2473" t="str">
        <f>'Single Audit Cover'!A4</f>
        <v>Year Ending June 30, 2018</v>
      </c>
      <c r="C4" s="2474"/>
      <c r="D4" s="2474"/>
      <c r="E4" s="2474"/>
      <c r="F4" s="2474"/>
      <c r="G4" s="2474"/>
      <c r="H4" s="2474"/>
      <c r="I4" s="2474"/>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73" t="s">
        <v>1346</v>
      </c>
      <c r="C7" s="2474"/>
      <c r="D7" s="2474"/>
      <c r="E7" s="2474"/>
      <c r="F7" s="2474"/>
      <c r="G7" s="2474"/>
      <c r="H7" s="2474"/>
      <c r="I7" s="2474"/>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75" t="s">
        <v>2104</v>
      </c>
      <c r="D11" s="2475"/>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t="s">
        <v>2077</v>
      </c>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t="s">
        <v>2077</v>
      </c>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t="s">
        <v>2077</v>
      </c>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t="s">
        <v>2077</v>
      </c>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t="s">
        <v>2077</v>
      </c>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76" t="s">
        <v>2104</v>
      </c>
      <c r="E29" s="2476"/>
      <c r="F29" s="2476"/>
      <c r="G29" s="2476"/>
      <c r="H29" s="2476"/>
      <c r="I29" s="2476"/>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t="s">
        <v>2077</v>
      </c>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7" t="s">
        <v>1854</v>
      </c>
      <c r="D37" s="2478"/>
      <c r="E37" s="2478"/>
      <c r="F37" s="2479"/>
      <c r="G37" s="2477" t="s">
        <v>1674</v>
      </c>
      <c r="H37" s="2478"/>
      <c r="I37" s="2479"/>
    </row>
    <row r="38" spans="2:9" ht="16.5" customHeight="1" x14ac:dyDescent="0.2">
      <c r="B38" s="1443" t="s">
        <v>2105</v>
      </c>
      <c r="C38" s="2465" t="s">
        <v>2106</v>
      </c>
      <c r="D38" s="2466"/>
      <c r="E38" s="2466"/>
      <c r="F38" s="2467"/>
      <c r="G38" s="2480">
        <v>400129</v>
      </c>
      <c r="H38" s="2481"/>
      <c r="I38" s="2482"/>
    </row>
    <row r="39" spans="2:9" ht="16.5" customHeight="1" x14ac:dyDescent="0.2">
      <c r="B39" s="1443"/>
      <c r="C39" s="2465"/>
      <c r="D39" s="2466"/>
      <c r="E39" s="2466"/>
      <c r="F39" s="2467"/>
      <c r="G39" s="2468"/>
      <c r="H39" s="2468"/>
      <c r="I39" s="2468"/>
    </row>
    <row r="40" spans="2:9" ht="16.5" customHeight="1" x14ac:dyDescent="0.2">
      <c r="B40" s="1443"/>
      <c r="C40" s="2465"/>
      <c r="D40" s="2466"/>
      <c r="E40" s="2466"/>
      <c r="F40" s="2467"/>
      <c r="G40" s="2468"/>
      <c r="H40" s="2468"/>
      <c r="I40" s="2468"/>
    </row>
    <row r="41" spans="2:9" ht="16.5" customHeight="1" x14ac:dyDescent="0.2">
      <c r="B41" s="1443"/>
      <c r="C41" s="2465"/>
      <c r="D41" s="2466"/>
      <c r="E41" s="2466"/>
      <c r="F41" s="2467"/>
      <c r="G41" s="2468"/>
      <c r="H41" s="2468"/>
      <c r="I41" s="2468"/>
    </row>
    <row r="42" spans="2:9" ht="16.5" customHeight="1" x14ac:dyDescent="0.2">
      <c r="B42" s="1443"/>
      <c r="C42" s="2465"/>
      <c r="D42" s="2466"/>
      <c r="E42" s="2466"/>
      <c r="F42" s="2467"/>
      <c r="G42" s="2468"/>
      <c r="H42" s="2468"/>
      <c r="I42" s="2468"/>
    </row>
    <row r="43" spans="2:9" ht="16.5" customHeight="1" x14ac:dyDescent="0.2">
      <c r="B43" s="1443"/>
      <c r="C43" s="2483" t="s">
        <v>1675</v>
      </c>
      <c r="D43" s="2484"/>
      <c r="E43" s="2484"/>
      <c r="F43" s="2485"/>
      <c r="G43" s="2486">
        <f>SUM(G38:I42)</f>
        <v>400129</v>
      </c>
      <c r="H43" s="2486"/>
      <c r="I43" s="2486"/>
    </row>
    <row r="44" spans="2:9" ht="12.75" customHeight="1" x14ac:dyDescent="0.2"/>
    <row r="45" spans="2:9" ht="12.75" customHeight="1" x14ac:dyDescent="0.2">
      <c r="B45" s="1434" t="s">
        <v>1952</v>
      </c>
      <c r="D45" s="2487">
        <v>0</v>
      </c>
      <c r="E45" s="2488"/>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9"/>
      <c r="F49" s="2489"/>
      <c r="G49" s="2489"/>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H16" sqref="H16"/>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9" t="str">
        <f>'Single Audit Cover'!A7</f>
        <v>Worth SD 127</v>
      </c>
      <c r="C1" s="2469"/>
      <c r="D1" s="2469"/>
      <c r="E1" s="2469"/>
      <c r="F1" s="2469"/>
      <c r="G1" s="2469"/>
      <c r="H1" s="2469"/>
      <c r="I1" s="2469"/>
      <c r="J1" s="2469"/>
      <c r="K1" s="2469"/>
      <c r="L1" s="1373"/>
      <c r="M1" s="1373"/>
    </row>
    <row r="2" spans="1:13" ht="12" customHeight="1" x14ac:dyDescent="0.2">
      <c r="B2" s="2471">
        <f>'Single Audit Cover'!E7</f>
        <v>7016127002</v>
      </c>
      <c r="C2" s="2471"/>
      <c r="D2" s="2471"/>
      <c r="E2" s="2471"/>
      <c r="F2" s="2471"/>
      <c r="G2" s="2471"/>
      <c r="H2" s="2471"/>
      <c r="I2" s="2471"/>
      <c r="J2" s="2471"/>
      <c r="K2" s="2471"/>
      <c r="L2" s="1374"/>
      <c r="M2" s="1375"/>
    </row>
    <row r="3" spans="1:13" ht="10.35" customHeight="1" x14ac:dyDescent="0.2">
      <c r="B3" s="2492" t="s">
        <v>1347</v>
      </c>
      <c r="C3" s="2492"/>
      <c r="D3" s="2492"/>
      <c r="E3" s="2492"/>
      <c r="F3" s="2492"/>
      <c r="G3" s="2492"/>
      <c r="H3" s="2492"/>
      <c r="I3" s="2492"/>
      <c r="J3" s="2492"/>
      <c r="K3" s="2492"/>
      <c r="L3" s="1376"/>
      <c r="M3" s="1376"/>
    </row>
    <row r="4" spans="1:13" ht="14.25" customHeight="1" x14ac:dyDescent="0.2">
      <c r="B4" s="2493" t="str">
        <f>'Single Audit Cover'!A4</f>
        <v>Year Ending June 30, 2018</v>
      </c>
      <c r="C4" s="2493"/>
      <c r="D4" s="2493"/>
      <c r="E4" s="2493"/>
      <c r="F4" s="2493"/>
      <c r="G4" s="2493"/>
      <c r="H4" s="2493"/>
      <c r="I4" s="2493"/>
      <c r="J4" s="2493"/>
      <c r="K4" s="2493"/>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1363</v>
      </c>
      <c r="C7" s="2493"/>
      <c r="D7" s="2494"/>
      <c r="E7" s="2494"/>
      <c r="F7" s="2494"/>
      <c r="G7" s="2494"/>
      <c r="H7" s="2494"/>
      <c r="I7" s="2494"/>
      <c r="J7" s="2494"/>
      <c r="K7" s="2494"/>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t="s">
        <v>2116</v>
      </c>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1" t="s">
        <v>2116</v>
      </c>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1"/>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5"/>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1"/>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1"/>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0"/>
      <c r="C29" s="2490"/>
      <c r="D29" s="2491"/>
      <c r="E29" s="2491"/>
      <c r="F29" s="2491"/>
      <c r="G29" s="2491"/>
      <c r="H29" s="2491"/>
      <c r="I29" s="2491"/>
      <c r="J29" s="2491"/>
      <c r="K29" s="2491"/>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90"/>
      <c r="C32" s="2490"/>
      <c r="D32" s="2491"/>
      <c r="E32" s="2491"/>
      <c r="F32" s="2491"/>
      <c r="G32" s="2491"/>
      <c r="H32" s="2491"/>
      <c r="I32" s="2491"/>
      <c r="J32" s="2491"/>
      <c r="K32" s="2491"/>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H15" sqref="H15"/>
    </sheetView>
  </sheetViews>
  <sheetFormatPr defaultColWidth="9.140625" defaultRowHeight="12.75" x14ac:dyDescent="0.2"/>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Worth SD 127</v>
      </c>
      <c r="C1" s="2496"/>
      <c r="D1" s="2496"/>
      <c r="E1" s="2496"/>
      <c r="F1" s="2496"/>
      <c r="G1" s="2496"/>
      <c r="H1" s="2496"/>
      <c r="I1" s="2496"/>
      <c r="J1" s="2496"/>
      <c r="K1" s="2496"/>
      <c r="L1" s="1464"/>
    </row>
    <row r="2" spans="1:12" ht="12.75" customHeight="1" x14ac:dyDescent="0.2">
      <c r="B2" s="2497">
        <f>'Single Audit Cover'!E7</f>
        <v>7016127002</v>
      </c>
      <c r="C2" s="2497"/>
      <c r="D2" s="2497"/>
      <c r="E2" s="2497"/>
      <c r="F2" s="2497"/>
      <c r="G2" s="2497"/>
      <c r="H2" s="2497"/>
      <c r="I2" s="2497"/>
      <c r="J2" s="2497"/>
      <c r="K2" s="2497"/>
      <c r="L2" s="1465"/>
    </row>
    <row r="3" spans="1:12" ht="12.75" customHeight="1" x14ac:dyDescent="0.2">
      <c r="B3" s="2492" t="s">
        <v>1347</v>
      </c>
      <c r="C3" s="2492"/>
      <c r="D3" s="2492"/>
      <c r="E3" s="2492"/>
      <c r="F3" s="2492"/>
      <c r="G3" s="2492"/>
      <c r="H3" s="2492"/>
      <c r="I3" s="2492"/>
      <c r="J3" s="2492"/>
      <c r="K3" s="2492"/>
      <c r="L3" s="1376"/>
    </row>
    <row r="4" spans="1:12" ht="12.75" customHeight="1" x14ac:dyDescent="0.2">
      <c r="B4" s="2492" t="str">
        <f>'Single Audit Cover'!A4</f>
        <v>Year Ending June 30, 2018</v>
      </c>
      <c r="C4" s="2492"/>
      <c r="D4" s="2492"/>
      <c r="E4" s="2492"/>
      <c r="F4" s="2492"/>
      <c r="G4" s="2492"/>
      <c r="H4" s="2492"/>
      <c r="I4" s="2492"/>
      <c r="J4" s="2492"/>
      <c r="K4" s="2492"/>
      <c r="L4" s="1376"/>
    </row>
    <row r="5" spans="1:12" ht="5.25" customHeight="1" x14ac:dyDescent="0.2">
      <c r="B5" s="1259" t="s">
        <v>1231</v>
      </c>
      <c r="C5" s="1259"/>
      <c r="L5" s="321"/>
    </row>
    <row r="6" spans="1:12" ht="30.75" customHeight="1" x14ac:dyDescent="0.2">
      <c r="A6" s="321"/>
      <c r="B6" s="2498" t="s">
        <v>1375</v>
      </c>
      <c r="C6" s="2498"/>
      <c r="D6" s="2498"/>
      <c r="E6" s="2498"/>
      <c r="F6" s="2498"/>
      <c r="G6" s="2498"/>
      <c r="H6" s="2498"/>
      <c r="I6" s="2498"/>
      <c r="J6" s="2498"/>
      <c r="K6" s="2498"/>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1953</v>
      </c>
      <c r="D8" s="1467" t="s">
        <v>2116</v>
      </c>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76"/>
      <c r="G12" s="2476"/>
      <c r="H12" s="2476"/>
      <c r="I12" s="2476"/>
      <c r="J12" s="2476"/>
      <c r="K12" s="2476"/>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499"/>
      <c r="E14" s="2499"/>
      <c r="F14" s="2499"/>
      <c r="H14" s="1474" t="s">
        <v>1370</v>
      </c>
      <c r="I14" s="2500"/>
      <c r="J14" s="2500"/>
      <c r="K14" s="2500"/>
      <c r="L14" s="321"/>
    </row>
    <row r="15" spans="1:12" ht="9.6" customHeight="1" x14ac:dyDescent="0.2">
      <c r="B15" s="1386"/>
      <c r="C15" s="1386"/>
      <c r="D15" s="1372"/>
      <c r="E15" s="1259"/>
      <c r="F15" s="1259"/>
      <c r="G15" s="1285"/>
      <c r="H15" s="1259"/>
      <c r="I15" s="1475"/>
      <c r="J15" s="1293"/>
      <c r="K15" s="1290"/>
      <c r="L15" s="321"/>
    </row>
    <row r="16" spans="1:12" ht="13.5" customHeight="1" x14ac:dyDescent="0.2">
      <c r="B16" s="1386" t="s">
        <v>1369</v>
      </c>
      <c r="C16" s="1386"/>
      <c r="D16" s="2500"/>
      <c r="E16" s="2500"/>
      <c r="F16" s="2500"/>
      <c r="G16" s="2500"/>
      <c r="H16" s="2500"/>
      <c r="I16" s="2500"/>
      <c r="J16" s="2500"/>
      <c r="K16" s="2500"/>
      <c r="L16" s="321"/>
    </row>
    <row r="17" spans="2:12" ht="13.5" customHeight="1" x14ac:dyDescent="0.2">
      <c r="B17" s="1386" t="s">
        <v>1368</v>
      </c>
      <c r="C17" s="1386"/>
      <c r="D17" s="2501"/>
      <c r="E17" s="2501"/>
      <c r="F17" s="2501"/>
      <c r="G17" s="2501"/>
      <c r="H17" s="2501"/>
      <c r="I17" s="2501"/>
      <c r="J17" s="2501"/>
      <c r="K17" s="2501"/>
      <c r="L17" s="321"/>
    </row>
    <row r="18" spans="2:12" ht="9.6"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91" t="s">
        <v>2116</v>
      </c>
      <c r="C20" s="2491"/>
      <c r="D20" s="2491"/>
      <c r="E20" s="2491"/>
      <c r="F20" s="2491"/>
      <c r="G20" s="2491"/>
      <c r="H20" s="2491"/>
      <c r="I20" s="2491"/>
      <c r="J20" s="2491"/>
      <c r="K20" s="249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91"/>
      <c r="C23" s="2491"/>
      <c r="D23" s="2491"/>
      <c r="E23" s="2491"/>
      <c r="F23" s="2491"/>
      <c r="G23" s="2491"/>
      <c r="H23" s="2491"/>
      <c r="I23" s="2491"/>
      <c r="J23" s="2491"/>
      <c r="K23" s="2491"/>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91"/>
      <c r="C26" s="2491"/>
      <c r="D26" s="2491"/>
      <c r="E26" s="2491"/>
      <c r="F26" s="2491"/>
      <c r="G26" s="2491"/>
      <c r="H26" s="2491"/>
      <c r="I26" s="2491"/>
      <c r="J26" s="2491"/>
      <c r="K26" s="2491"/>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91"/>
      <c r="C29" s="2491"/>
      <c r="D29" s="2491"/>
      <c r="E29" s="2491"/>
      <c r="F29" s="2491"/>
      <c r="G29" s="2491"/>
      <c r="H29" s="2491"/>
      <c r="I29" s="2491"/>
      <c r="J29" s="2491"/>
      <c r="K29" s="2491"/>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91"/>
      <c r="C32" s="2491"/>
      <c r="D32" s="2491"/>
      <c r="E32" s="2491"/>
      <c r="F32" s="2491"/>
      <c r="G32" s="2491"/>
      <c r="H32" s="2491"/>
      <c r="I32" s="2491"/>
      <c r="J32" s="2491"/>
      <c r="K32" s="2491"/>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91"/>
      <c r="C35" s="2491"/>
      <c r="D35" s="2491"/>
      <c r="E35" s="2491"/>
      <c r="F35" s="2491"/>
      <c r="G35" s="2491"/>
      <c r="H35" s="2491"/>
      <c r="I35" s="2491"/>
      <c r="J35" s="2491"/>
      <c r="K35" s="2491"/>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91"/>
      <c r="C38" s="2491"/>
      <c r="D38" s="2491"/>
      <c r="E38" s="2491"/>
      <c r="F38" s="2491"/>
      <c r="G38" s="2491"/>
      <c r="H38" s="2491"/>
      <c r="I38" s="2491"/>
      <c r="J38" s="2491"/>
      <c r="K38" s="2491"/>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91"/>
      <c r="C41" s="2491"/>
      <c r="D41" s="2491"/>
      <c r="E41" s="2491"/>
      <c r="F41" s="2491"/>
      <c r="G41" s="2491"/>
      <c r="H41" s="2491"/>
      <c r="I41" s="2491"/>
      <c r="J41" s="2491"/>
      <c r="K41" s="2491"/>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7" zoomScale="110" zoomScaleNormal="110" workbookViewId="0">
      <selection activeCell="C7" sqref="C7"/>
    </sheetView>
  </sheetViews>
  <sheetFormatPr defaultColWidth="9.140625" defaultRowHeight="12.75" x14ac:dyDescent="0.2"/>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81" customFormat="1" ht="12.75" customHeight="1" x14ac:dyDescent="0.2">
      <c r="B1" s="2469" t="str">
        <f>'Single Audit Cover'!A7</f>
        <v>Worth SD 127</v>
      </c>
      <c r="C1" s="2469"/>
      <c r="D1" s="2469"/>
      <c r="E1" s="1490"/>
    </row>
    <row r="2" spans="2:5" s="1281" customFormat="1" ht="12.75" customHeight="1" x14ac:dyDescent="0.2">
      <c r="B2" s="2471">
        <f>'Single Audit Cover'!E7</f>
        <v>7016127002</v>
      </c>
      <c r="C2" s="2471"/>
      <c r="D2" s="2471"/>
      <c r="E2" s="1491"/>
    </row>
    <row r="3" spans="2:5" ht="12.75" customHeight="1" x14ac:dyDescent="0.2">
      <c r="B3" s="2492" t="s">
        <v>1869</v>
      </c>
      <c r="C3" s="2492"/>
      <c r="D3" s="2492"/>
      <c r="E3" s="1273"/>
    </row>
    <row r="4" spans="2:5" s="1281" customFormat="1" ht="12.75" customHeight="1" x14ac:dyDescent="0.2">
      <c r="B4" s="2502" t="str">
        <f>'Single Audit Cover'!A4</f>
        <v>Year Ending June 30, 2018</v>
      </c>
      <c r="C4" s="2502"/>
      <c r="D4" s="2502"/>
      <c r="E4" s="1492"/>
    </row>
    <row r="5" spans="2:5" s="1281" customFormat="1" ht="40.3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t="s">
        <v>2101</v>
      </c>
      <c r="C7" s="323" t="s">
        <v>2102</v>
      </c>
      <c r="D7" s="323" t="s">
        <v>2103</v>
      </c>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9914F8B6-F742-48D8-9F13-1076A7DC5E6F}">
  <ds:schemaRefs>
    <ds:schemaRef ds:uri="http://purl.org/dc/terms/"/>
    <ds:schemaRef ds:uri="http://schemas.microsoft.com/office/2006/documentManagement/types"/>
    <ds:schemaRef ds:uri="6ce3111e-7420-4802-b50a-75d4e9a0b980"/>
    <ds:schemaRef ds:uri="http://purl.org/dc/elements/1.1/"/>
    <ds:schemaRef ds:uri="http://www.w3.org/XML/1998/namespace"/>
    <ds:schemaRef ds:uri="d21dc803-237d-4c68-8692-8d731fd29118"/>
    <ds:schemaRef ds:uri="http://schemas.microsoft.com/office/infopath/2007/PartnerControls"/>
    <ds:schemaRef ds:uri="http://schemas.microsoft.com/sharepoint/v3"/>
    <ds:schemaRef ds:uri="4d435f69-8686-490b-bd6d-b153bf22ab50"/>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2018-10-18T14:44:38Z</cp:lastPrinted>
  <dcterms:created xsi:type="dcterms:W3CDTF">2003-10-29T19:06:34Z</dcterms:created>
  <dcterms:modified xsi:type="dcterms:W3CDTF">2018-12-18T16:40:17Z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