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65" windowWidth="28845" windowHeight="646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Mode="manual"/>
</workbook>
</file>

<file path=xl/calcChain.xml><?xml version="1.0" encoding="utf-8"?>
<calcChain xmlns="http://schemas.openxmlformats.org/spreadsheetml/2006/main">
  <c r="M17" i="3" l="1"/>
  <c r="M19"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B2"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3" i="170"/>
  <c r="C15" i="170" s="1"/>
  <c r="C18" i="170" s="1"/>
  <c r="C21" i="170" s="1"/>
  <c r="C24" i="170" s="1"/>
  <c r="C28" i="170" s="1"/>
  <c r="A2" i="170"/>
  <c r="B2" i="177"/>
  <c r="A2" i="173" l="1"/>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c r="B5105" i="106"/>
  <c r="D5105" i="106"/>
  <c r="B5106" i="106"/>
  <c r="D5106" i="106" s="1"/>
  <c r="B5107" i="106"/>
  <c r="D5107" i="106" s="1"/>
  <c r="B5108" i="106"/>
  <c r="D5108" i="106"/>
  <c r="B5109" i="106"/>
  <c r="D5109" i="106"/>
  <c r="B5110" i="106"/>
  <c r="D5110" i="106" s="1"/>
  <c r="B5111" i="106"/>
  <c r="D5111" i="106" s="1"/>
  <c r="B5113" i="106"/>
  <c r="D5113" i="106"/>
  <c r="B5114" i="106"/>
  <c r="D5114" i="106"/>
  <c r="B5115" i="106"/>
  <c r="D5115" i="106" s="1"/>
  <c r="B5116" i="106"/>
  <c r="D5116" i="106" s="1"/>
  <c r="B5117" i="106"/>
  <c r="D5117" i="106"/>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s="1"/>
  <c r="B6302" i="106"/>
  <c r="D6302" i="106" s="1"/>
  <c r="B6303" i="106"/>
  <c r="D6303" i="106"/>
  <c r="B6304" i="106"/>
  <c r="D6304" i="106"/>
  <c r="B6305" i="106"/>
  <c r="D6305" i="106" s="1"/>
  <c r="B6307" i="106"/>
  <c r="D6307" i="106" s="1"/>
  <c r="B6308" i="106"/>
  <c r="D6308" i="106"/>
  <c r="B6309" i="106"/>
  <c r="D6309" i="106"/>
  <c r="B6310" i="106"/>
  <c r="D6310" i="106" s="1"/>
  <c r="B6311" i="106"/>
  <c r="D6311" i="106" s="1"/>
  <c r="B6312" i="106"/>
  <c r="D6312" i="106"/>
  <c r="B6313" i="106"/>
  <c r="D6313" i="106"/>
  <c r="B6314" i="106"/>
  <c r="D6314" i="106" s="1"/>
  <c r="B6315" i="106"/>
  <c r="D6315" i="106" s="1"/>
  <c r="B6316" i="106"/>
  <c r="D6316" i="106" s="1"/>
  <c r="B6317" i="106"/>
  <c r="D6317" i="106" s="1"/>
  <c r="B6319" i="106"/>
  <c r="D6319" i="106" s="1"/>
  <c r="B6320" i="106"/>
  <c r="D6320" i="106"/>
  <c r="B6321" i="106"/>
  <c r="D6321" i="106"/>
  <c r="B6322" i="106"/>
  <c r="D6322" i="106" s="1"/>
  <c r="B6323" i="106"/>
  <c r="D6323" i="106" s="1"/>
  <c r="B6324" i="106"/>
  <c r="D6324" i="106"/>
  <c r="B6325" i="106"/>
  <c r="D6325" i="106"/>
  <c r="B6326" i="106"/>
  <c r="D6326" i="106" s="1"/>
  <c r="B6327" i="106"/>
  <c r="D6327" i="106" s="1"/>
  <c r="B6328" i="106"/>
  <c r="D6328" i="106"/>
  <c r="B6329" i="106"/>
  <c r="D6329" i="106"/>
  <c r="B6330" i="106"/>
  <c r="D6330" i="106" s="1"/>
  <c r="B6331" i="106"/>
  <c r="D6331" i="106" s="1"/>
  <c r="B6332" i="106"/>
  <c r="D6332" i="106"/>
  <c r="B6333" i="106"/>
  <c r="D6333" i="106"/>
  <c r="B6334" i="106"/>
  <c r="D6334" i="106" s="1"/>
  <c r="B6335" i="106"/>
  <c r="D6335" i="106" s="1"/>
  <c r="B6336" i="106"/>
  <c r="D6336" i="106"/>
  <c r="B6337" i="106"/>
  <c r="D6337" i="106"/>
  <c r="B6338" i="106"/>
  <c r="D6338" i="106" s="1"/>
  <c r="B6339" i="106"/>
  <c r="D6339" i="106" s="1"/>
  <c r="B6340" i="106"/>
  <c r="D6340" i="106" s="1"/>
  <c r="B6341" i="106"/>
  <c r="D6341" i="106" s="1"/>
  <c r="B6342" i="106"/>
  <c r="D6342" i="106" s="1"/>
  <c r="B6343" i="106"/>
  <c r="D6343" i="106"/>
  <c r="B6344" i="106"/>
  <c r="D6344" i="106"/>
  <c r="B6345" i="106"/>
  <c r="D6345" i="106" s="1"/>
  <c r="B6346" i="106"/>
  <c r="D6346" i="106" s="1"/>
  <c r="B6347" i="106"/>
  <c r="D6347" i="106"/>
  <c r="B6348" i="106"/>
  <c r="D6348" i="106"/>
  <c r="B6349" i="106"/>
  <c r="D6349" i="106" s="1"/>
  <c r="B6350" i="106"/>
  <c r="D6350" i="106" s="1"/>
  <c r="B6353" i="106"/>
  <c r="D6353" i="106"/>
  <c r="B6354" i="106"/>
  <c r="D6354" i="106"/>
  <c r="B6355" i="106"/>
  <c r="D6355" i="106" s="1"/>
  <c r="B6356" i="106"/>
  <c r="D6356" i="106" s="1"/>
  <c r="B6358" i="106"/>
  <c r="D6358" i="106"/>
  <c r="B6359" i="106"/>
  <c r="D6359" i="106"/>
  <c r="B6360" i="106"/>
  <c r="D6360" i="106" s="1"/>
  <c r="B6361" i="106"/>
  <c r="D6361" i="106" s="1"/>
  <c r="B6362" i="106"/>
  <c r="D6362" i="106"/>
  <c r="B6363" i="106"/>
  <c r="D6363" i="106"/>
  <c r="B6364" i="106"/>
  <c r="D6364" i="106" s="1"/>
  <c r="B6365" i="106"/>
  <c r="D6365" i="106" s="1"/>
  <c r="B6366" i="106"/>
  <c r="D6366" i="106"/>
  <c r="B6367" i="106"/>
  <c r="D6367" i="106"/>
  <c r="B6368" i="106"/>
  <c r="D6368" i="106" s="1"/>
  <c r="B6369" i="106"/>
  <c r="D6369" i="106" s="1"/>
  <c r="B6370" i="106"/>
  <c r="D6370" i="106"/>
  <c r="B6371" i="106"/>
  <c r="D6371" i="106"/>
  <c r="B6372" i="106"/>
  <c r="D6372" i="106" s="1"/>
  <c r="B6373" i="106"/>
  <c r="D6373" i="106" s="1"/>
  <c r="B6374" i="106"/>
  <c r="D6374" i="106"/>
  <c r="B6375" i="106"/>
  <c r="D6375" i="106"/>
  <c r="B6376" i="106"/>
  <c r="D6376" i="106" s="1"/>
  <c r="B6377" i="106"/>
  <c r="D6377" i="106" s="1"/>
  <c r="B6378" i="106"/>
  <c r="D6378" i="106"/>
  <c r="B6379" i="106"/>
  <c r="D6379" i="106"/>
  <c r="B6380" i="106"/>
  <c r="D6380" i="106" s="1"/>
  <c r="B6381" i="106"/>
  <c r="D6381" i="106" s="1"/>
  <c r="B6382" i="106"/>
  <c r="D6382" i="106"/>
  <c r="B6383" i="106"/>
  <c r="D6383" i="106"/>
  <c r="B6384" i="106"/>
  <c r="D6384" i="106" s="1"/>
  <c r="B6385" i="106"/>
  <c r="D6385" i="106" s="1"/>
  <c r="B6386" i="106"/>
  <c r="D6386" i="106"/>
  <c r="B6387" i="106"/>
  <c r="D6387" i="106"/>
  <c r="B6388" i="106"/>
  <c r="D6388" i="106" s="1"/>
  <c r="B6389" i="106"/>
  <c r="D6389" i="106" s="1"/>
  <c r="B6390" i="106"/>
  <c r="D6390" i="106"/>
  <c r="B6391" i="106"/>
  <c r="D6391" i="106"/>
  <c r="B6392" i="106"/>
  <c r="D6392" i="106" s="1"/>
  <c r="B6393" i="106"/>
  <c r="D6393" i="106" s="1"/>
  <c r="B6394" i="106"/>
  <c r="D6394" i="106"/>
  <c r="B6395" i="106"/>
  <c r="D6395" i="106"/>
  <c r="B6398" i="106"/>
  <c r="D6398" i="106" s="1"/>
  <c r="B6399" i="106"/>
  <c r="D6399" i="106" s="1"/>
  <c r="B6401" i="106"/>
  <c r="D6401" i="106"/>
  <c r="B6402" i="106"/>
  <c r="D6402" i="106"/>
  <c r="B6403" i="106"/>
  <c r="D6403" i="106" s="1"/>
  <c r="B6404" i="106"/>
  <c r="D6404" i="106" s="1"/>
  <c r="B6405" i="106"/>
  <c r="D6405" i="106"/>
  <c r="B6406" i="106"/>
  <c r="D6406" i="106"/>
  <c r="B6407" i="106"/>
  <c r="D6407" i="106" s="1"/>
  <c r="B6408" i="106"/>
  <c r="D6408" i="106" s="1"/>
  <c r="B6410" i="106"/>
  <c r="D6410" i="106"/>
  <c r="B6411" i="106"/>
  <c r="D6411" i="106"/>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s="1"/>
  <c r="B6617" i="106"/>
  <c r="D6617" i="106"/>
  <c r="B6618" i="106"/>
  <c r="D6618" i="106"/>
  <c r="B6619" i="106"/>
  <c r="D6619" i="106"/>
  <c r="B6620" i="106"/>
  <c r="D6620" i="106" s="1"/>
  <c r="B6621" i="106"/>
  <c r="D6621" i="106"/>
  <c r="B6622" i="106"/>
  <c r="D6622" i="106"/>
  <c r="B6623" i="106"/>
  <c r="D6623" i="106"/>
  <c r="B6624" i="106"/>
  <c r="D6624" i="106" s="1"/>
  <c r="B6625" i="106"/>
  <c r="D6625" i="106"/>
  <c r="B6626" i="106"/>
  <c r="D6626" i="106"/>
  <c r="B6627" i="106"/>
  <c r="D6627" i="106"/>
  <c r="B6628" i="106"/>
  <c r="D6628" i="106" s="1"/>
  <c r="B6629" i="106"/>
  <c r="D6629" i="106"/>
  <c r="B6630" i="106"/>
  <c r="D6630" i="106"/>
  <c r="B6631" i="106"/>
  <c r="D6631" i="106"/>
  <c r="B6632" i="106"/>
  <c r="D6632" i="106" s="1"/>
  <c r="B6633" i="106"/>
  <c r="D6633" i="106"/>
  <c r="B6634" i="106"/>
  <c r="D6634" i="106"/>
  <c r="B6635" i="106"/>
  <c r="D6635" i="106"/>
  <c r="B6636" i="106"/>
  <c r="D6636" i="106" s="1"/>
  <c r="B6637" i="106"/>
  <c r="D6637" i="106"/>
  <c r="B6638" i="106"/>
  <c r="D6638" i="106"/>
  <c r="B6639" i="106"/>
  <c r="D6639" i="106"/>
  <c r="B6640" i="106"/>
  <c r="D6640" i="106" s="1"/>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s="1"/>
  <c r="D4951" i="106" s="1"/>
  <c r="C184" i="5"/>
  <c r="F127" i="34" s="1"/>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D4" i="7"/>
  <c r="B1760" i="106" s="1"/>
  <c r="D1760" i="106" s="1"/>
  <c r="D5" i="7"/>
  <c r="B1761" i="106" s="1"/>
  <c r="D1761" i="106" s="1"/>
  <c r="D13" i="7"/>
  <c r="B3726" i="106" s="1"/>
  <c r="D3726" i="106" s="1"/>
  <c r="D9" i="7"/>
  <c r="B1767" i="106" s="1"/>
  <c r="D1767" i="106" s="1"/>
  <c r="F136" i="34"/>
  <c r="F131" i="34"/>
  <c r="F130" i="34"/>
  <c r="F128" i="34"/>
  <c r="F111" i="34"/>
  <c r="B5752" i="106"/>
  <c r="D5752" i="106" s="1"/>
  <c r="B5599" i="106"/>
  <c r="D5599" i="106" s="1"/>
  <c r="K274" i="5"/>
  <c r="H109" i="5"/>
  <c r="B6025" i="106" s="1"/>
  <c r="D6025" i="106" s="1"/>
  <c r="F106" i="34"/>
  <c r="D7" i="7"/>
  <c r="B1763" i="106" s="1"/>
  <c r="D1763" i="106" s="1"/>
  <c r="B1746" i="106"/>
  <c r="D1746" i="106" s="1"/>
  <c r="D17" i="7"/>
  <c r="B4104" i="106" s="1"/>
  <c r="D4104" i="106" s="1"/>
  <c r="D15" i="7"/>
  <c r="B1772" i="106" s="1"/>
  <c r="D1772" i="106" s="1"/>
  <c r="G173" i="5" l="1"/>
  <c r="B5778" i="106" s="1"/>
  <c r="D5778" i="106" s="1"/>
  <c r="B5770" i="106"/>
  <c r="D5770" i="106" s="1"/>
  <c r="B3621" i="106"/>
  <c r="D3621" i="106" s="1"/>
  <c r="C367" i="29"/>
  <c r="J367" i="29"/>
  <c r="B7245" i="106" s="1"/>
  <c r="D7245" i="106" s="1"/>
  <c r="B7235" i="106"/>
  <c r="D7235" i="106" s="1"/>
  <c r="B7231" i="106"/>
  <c r="D7231" i="106" s="1"/>
  <c r="I24" i="12"/>
  <c r="B3647" i="106"/>
  <c r="D3647" i="106" s="1"/>
  <c r="F77" i="4"/>
  <c r="B3255" i="106" s="1"/>
  <c r="D3255" i="106" s="1"/>
  <c r="J274" i="5"/>
  <c r="B7054" i="106" s="1"/>
  <c r="D7054" i="106" s="1"/>
  <c r="L367" i="29"/>
  <c r="D6103" i="106"/>
  <c r="B5232" i="106"/>
  <c r="D5232" i="106" s="1"/>
  <c r="I129" i="29"/>
  <c r="B7037" i="106" s="1"/>
  <c r="D7037" i="106" s="1"/>
  <c r="L312" i="29"/>
  <c r="K76" i="4"/>
  <c r="B3586" i="106" s="1"/>
  <c r="D3586" i="106" s="1"/>
  <c r="F19" i="7"/>
  <c r="B1807" i="106" s="1"/>
  <c r="D1807" i="106" s="1"/>
  <c r="L5" i="11"/>
  <c r="B2056" i="106" s="1"/>
  <c r="D2056" i="106" s="1"/>
  <c r="L13" i="11"/>
  <c r="B2060" i="106" s="1"/>
  <c r="D2060" i="106" s="1"/>
  <c r="E109" i="5"/>
  <c r="E4" i="4" s="1"/>
  <c r="B2630" i="106" s="1"/>
  <c r="D2630" i="106" s="1"/>
  <c r="H4" i="4"/>
  <c r="B2655" i="106" s="1"/>
  <c r="D2655" i="106" s="1"/>
  <c r="C172" i="5"/>
  <c r="B5214" i="106" s="1"/>
  <c r="D5214" i="106" s="1"/>
  <c r="L342" i="29"/>
  <c r="D12" i="7"/>
  <c r="B1769" i="106" s="1"/>
  <c r="D1769" i="106" s="1"/>
  <c r="D11" i="7"/>
  <c r="B1768" i="106" s="1"/>
  <c r="D1768" i="106" s="1"/>
  <c r="H173" i="5"/>
  <c r="G109" i="5"/>
  <c r="B6024" i="106" s="1"/>
  <c r="D6024" i="106" s="1"/>
  <c r="D109" i="5"/>
  <c r="C173" i="5"/>
  <c r="B5223" i="106" s="1"/>
  <c r="D5223" i="106" s="1"/>
  <c r="C109" i="5"/>
  <c r="B5121" i="106" s="1"/>
  <c r="D5121" i="106" s="1"/>
  <c r="B5096" i="106"/>
  <c r="D5096" i="106" s="1"/>
  <c r="B1329" i="106"/>
  <c r="D1329" i="106" s="1"/>
  <c r="F61" i="34"/>
  <c r="B6995" i="106"/>
  <c r="D6995" i="106" s="1"/>
  <c r="B3649" i="106"/>
  <c r="D3649" i="106" s="1"/>
  <c r="G367" i="29"/>
  <c r="G38" i="108"/>
  <c r="E38" i="108"/>
  <c r="G30" i="108"/>
  <c r="E30" i="108"/>
  <c r="K350" i="29"/>
  <c r="E174" i="29"/>
  <c r="B1309" i="106" s="1"/>
  <c r="D1309" i="106" s="1"/>
  <c r="B7076" i="106"/>
  <c r="D7076" i="106" s="1"/>
  <c r="B1410" i="106"/>
  <c r="D1410" i="106" s="1"/>
  <c r="F36" i="34"/>
  <c r="F35" i="34"/>
  <c r="E29" i="108"/>
  <c r="K184" i="29"/>
  <c r="F13" i="4" s="1"/>
  <c r="B2596" i="106" s="1"/>
  <c r="D2596" i="106" s="1"/>
  <c r="G29" i="108"/>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C114" i="29"/>
  <c r="B757" i="106" s="1"/>
  <c r="D757" i="106" s="1"/>
  <c r="B2031" i="106"/>
  <c r="D2031" i="106" s="1"/>
  <c r="L16" i="11"/>
  <c r="B2061" i="106" s="1"/>
  <c r="D206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J7" i="4"/>
  <c r="B2657" i="106"/>
  <c r="D2657" i="106" s="1"/>
  <c r="D274" i="5"/>
  <c r="B3447" i="106"/>
  <c r="D3447" i="106" s="1"/>
  <c r="B7270" i="106"/>
  <c r="B1996" i="106" l="1"/>
  <c r="D1996" i="106" s="1"/>
  <c r="I26" i="12"/>
  <c r="B7741" i="106" s="1"/>
  <c r="D7741" i="106" s="1"/>
  <c r="D7254" i="106"/>
  <c r="H367" i="29"/>
  <c r="B3660" i="106" s="1"/>
  <c r="D3660" i="106" s="1"/>
  <c r="D19" i="7"/>
  <c r="B1775" i="106" s="1"/>
  <c r="D1775" i="106" s="1"/>
  <c r="L114" i="29"/>
  <c r="B5906" i="106"/>
  <c r="D5906" i="106" s="1"/>
  <c r="H6" i="4"/>
  <c r="G4" i="4"/>
  <c r="B2603" i="106" s="1"/>
  <c r="D2603" i="106" s="1"/>
  <c r="F6" i="4"/>
  <c r="B2593" i="106" s="1"/>
  <c r="D2593" i="106" s="1"/>
  <c r="F275" i="5"/>
  <c r="B5356" i="106"/>
  <c r="D5356" i="106" s="1"/>
  <c r="D4" i="4"/>
  <c r="B2564" i="106" s="1"/>
  <c r="D2564" i="106" s="1"/>
  <c r="C6" i="4"/>
  <c r="B2553" i="106" s="1"/>
  <c r="D2553" i="106" s="1"/>
  <c r="B1317" i="106"/>
  <c r="D1317" i="106" s="1"/>
  <c r="B3670" i="106"/>
  <c r="D3670" i="106" s="1"/>
  <c r="K352" i="29"/>
  <c r="B1381" i="106"/>
  <c r="D1381" i="106" s="1"/>
  <c r="K342" i="29"/>
  <c r="F13" i="34"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B5507" i="106"/>
  <c r="D5507" i="106" s="1"/>
  <c r="B7298" i="106"/>
  <c r="B7299" i="106"/>
  <c r="B2656" i="106" l="1"/>
  <c r="D2656" i="106" s="1"/>
  <c r="H8" i="4"/>
  <c r="F8" i="4"/>
  <c r="D8" i="146" s="1"/>
  <c r="K13" i="4"/>
  <c r="B3572" i="106" s="1"/>
  <c r="D3572" i="106" s="1"/>
  <c r="B3672" i="106"/>
  <c r="D3672" i="106" s="1"/>
  <c r="K367" i="29"/>
  <c r="K368" i="29" s="1"/>
  <c r="B3681" i="106" s="1"/>
  <c r="D3681" i="106" s="1"/>
  <c r="B1145" i="106"/>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2595" i="106"/>
  <c r="D2595" i="106" s="1"/>
  <c r="H37" i="37"/>
  <c r="B285" i="106"/>
  <c r="D285" i="106" s="1"/>
  <c r="N37" i="3"/>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K17" i="4"/>
  <c r="B2658" i="106"/>
  <c r="D2658" i="106" s="1"/>
  <c r="H10" i="4"/>
  <c r="B4127" i="106" s="1"/>
  <c r="D4127" i="106" s="1"/>
  <c r="F10" i="4"/>
  <c r="B4125" i="106" s="1"/>
  <c r="D4125" i="106" s="1"/>
  <c r="D8" i="4"/>
  <c r="C8" i="146" s="1"/>
  <c r="D10" i="171"/>
  <c r="D19" i="171" s="1"/>
  <c r="D32" i="171" s="1"/>
  <c r="D49" i="171" s="1"/>
  <c r="B3678" i="106"/>
  <c r="D367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68" i="106" l="1"/>
  <c r="D2568" i="106" s="1"/>
  <c r="D10" i="4"/>
  <c r="B4123" i="106" s="1"/>
  <c r="D4123" i="106" s="1"/>
  <c r="D20" i="4"/>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F179" i="34" l="1"/>
  <c r="F79" i="34"/>
  <c r="J41" i="3"/>
  <c r="B6215" i="106"/>
  <c r="D6215" i="106" s="1"/>
  <c r="B3588" i="106"/>
  <c r="D3588" i="106" s="1"/>
  <c r="K81" i="4"/>
  <c r="K39" i="3" s="1"/>
  <c r="F78" i="4"/>
  <c r="B2601" i="106"/>
  <c r="D2601" i="106" s="1"/>
  <c r="B3320" i="106"/>
  <c r="D3320" i="106" s="1"/>
  <c r="I81" i="4"/>
  <c r="I39" i="3" s="1"/>
  <c r="K17" i="118"/>
  <c r="B3300" i="106"/>
  <c r="D3300" i="106" s="1"/>
  <c r="H81" i="4"/>
  <c r="H39"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2912" i="106" l="1"/>
  <c r="D2912" i="106" s="1"/>
  <c r="I41" i="3"/>
  <c r="B6216" i="106"/>
  <c r="D6216" i="106" s="1"/>
  <c r="D51" i="36"/>
  <c r="B3567" i="106"/>
  <c r="D3567" i="106" s="1"/>
  <c r="K41" i="3"/>
  <c r="B123" i="106"/>
  <c r="D123" i="106" s="1"/>
  <c r="D41" i="3"/>
  <c r="B212" i="106"/>
  <c r="D212" i="106" s="1"/>
  <c r="H41" i="3"/>
  <c r="B3278" i="106"/>
  <c r="D3278" i="106" s="1"/>
  <c r="E81" i="4"/>
  <c r="E39" i="3" s="1"/>
  <c r="B3233" i="106"/>
  <c r="D3233" i="106"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913" i="106" l="1"/>
  <c r="D2913" i="106" s="1"/>
  <c r="D50" i="36"/>
  <c r="B3568" i="106"/>
  <c r="D3568" i="106" s="1"/>
  <c r="D52" i="36"/>
  <c r="B189" i="106"/>
  <c r="D189" i="106" s="1"/>
  <c r="G41" i="3"/>
  <c r="B213" i="106"/>
  <c r="D213" i="106" s="1"/>
  <c r="D49" i="36"/>
  <c r="B170" i="106"/>
  <c r="D170" i="106" s="1"/>
  <c r="F41" i="3"/>
  <c r="B140" i="106"/>
  <c r="D140" i="106" s="1"/>
  <c r="E41" i="3"/>
  <c r="D45" i="36"/>
  <c r="B124" i="106"/>
  <c r="D124" i="106" s="1"/>
  <c r="B6275" i="106"/>
  <c r="D6275" i="106" s="1"/>
  <c r="K83" i="4"/>
  <c r="B6284" i="106" s="1"/>
  <c r="D6284" i="106" s="1"/>
  <c r="H83" i="4"/>
  <c r="B6281" i="106" s="1"/>
  <c r="D6281" i="106" s="1"/>
  <c r="B6272" i="106"/>
  <c r="D6272"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B171" i="106"/>
  <c r="D171" i="106" s="1"/>
  <c r="D47" i="36"/>
  <c r="B190" i="106"/>
  <c r="D190" i="106" s="1"/>
  <c r="D48" i="36"/>
  <c r="J20" i="118"/>
  <c r="A7265" i="106"/>
  <c r="D7264" i="106"/>
  <c r="B6269" i="106"/>
  <c r="D6269" i="106" s="1"/>
  <c r="E83" i="4"/>
  <c r="B6278" i="106" s="1"/>
  <c r="D6278" i="106" s="1"/>
  <c r="B6270" i="106"/>
  <c r="D6270" i="106" s="1"/>
  <c r="F83" i="4"/>
  <c r="B6279" i="106" s="1"/>
  <c r="D6279" i="106" s="1"/>
  <c r="B6271" i="106"/>
  <c r="D6271" i="106" s="1"/>
  <c r="G83" i="4"/>
  <c r="B6280" i="106" s="1"/>
  <c r="D6280" i="106" s="1"/>
  <c r="K20" i="118" l="1"/>
  <c r="O17" i="118"/>
  <c r="O20" i="118"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17" i="106"/>
  <c r="D1617" i="106" s="1"/>
  <c r="C81" i="4" l="1"/>
  <c r="C39" i="3" s="1"/>
  <c r="D57" i="36" s="1"/>
  <c r="H12" i="118" l="1"/>
  <c r="K12" i="118" s="1"/>
  <c r="O11" i="118" s="1"/>
  <c r="O13" i="118" s="1"/>
  <c r="O35" i="118" s="1"/>
  <c r="O37" i="118" s="1"/>
  <c r="B1630" i="106"/>
  <c r="D1630" i="106" s="1"/>
  <c r="B92" i="106"/>
  <c r="D92" i="106" s="1"/>
  <c r="D76" i="36"/>
  <c r="C41" i="3"/>
  <c r="J16" i="37"/>
  <c r="B4269" i="106" s="1"/>
  <c r="D4269" i="106" s="1"/>
  <c r="C82" i="4"/>
  <c r="B11" i="146"/>
  <c r="F11" i="146" s="1"/>
  <c r="B93" i="106" l="1"/>
  <c r="D93" i="106" s="1"/>
  <c r="D44" i="36"/>
  <c r="D29" i="36"/>
  <c r="J24" i="24" s="1"/>
  <c r="C12" i="146"/>
  <c r="C83" i="4"/>
  <c r="B6276" i="106" s="1"/>
  <c r="D6276" i="106" s="1"/>
  <c r="B6267" i="106"/>
  <c r="D6267"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<sst xmlns="http://schemas.openxmlformats.org/spreadsheetml/2006/main" count="5046" uniqueCount="2112">
  <si>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</si>
  <si>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</si>
  <si>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</si>
  <si>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</si>
  <si>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</si>
  <si>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</si>
  <si>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</si>
  <si>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</si>
  <si>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</si>
  <si>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</si>
  <si>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</si>
  <si>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</si>
  <si>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</si>
  <si>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</si>
  <si>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</si>
  <si>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</si>
  <si>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</si>
  <si>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</si>
  <si>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</si>
  <si>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</si>
  <si>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</si>
  <si>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</si>
  <si>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</si>
  <si>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</si>
  <si>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</si>
  <si>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</si>
  <si>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</si>
  <si>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</si>
  <si>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</si>
  <si>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</si>
  <si>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</si>
  <si>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</si>
  <si>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</si>
  <si>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</si>
  <si>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</si>
  <si>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</si>
  <si>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</si>
  <si>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</si>
  <si>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</si>
  <si>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</si>
  <si>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</si>
  <si>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</si>
  <si>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</si>
  <si>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</si>
  <si>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</si>
  <si>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</si>
  <si>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</si>
  <si>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</si>
  <si>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</si>
  <si>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</si>
  <si>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</si>
  <si>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</si>
  <si>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</si>
  <si>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</si>
  <si>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</si>
  <si>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</si>
  <si>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</si>
  <si>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</si>
  <si>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</si>
  <si>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</si>
  <si>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</si>
  <si>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</si>
  <si>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</si>
  <si>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</si>
  <si>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</si>
  <si>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</si>
  <si>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</si>
  <si>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</si>
  <si>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</si>
  <si>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</si>
  <si>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</si>
  <si>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</si>
  <si>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</si>
  <si>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</si>
  <si>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</si>
  <si>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</si>
  <si>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</si>
  <si>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</si>
  <si>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</si>
  <si>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</si>
  <si>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</si>
  <si>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</si>
  <si>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</si>
  <si>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</si>
  <si>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</si>
  <si>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</si>
  <si>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</si>
  <si>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</si>
  <si>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</si>
  <si>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</si>
  <si>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</si>
  <si>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</si>
  <si>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</si>
  <si>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</si>
  <si>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</si>
  <si>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</si>
  <si>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</si>
  <si>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</si>
  <si>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</si>
  <si>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</si>
  <si>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</si>
  <si>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</si>
  <si>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</si>
  <si>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</si>
  <si>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</si>
  <si>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</si>
  <si>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</si>
  <si>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</si>
  <si>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</si>
  <si>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</si>
  <si>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</si>
  <si>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</si>
  <si>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</si>
  <si>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</si>
  <si>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</si>
  <si>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</si>
  <si>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</si>
  <si>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</si>
  <si>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</si>
  <si>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</si>
  <si>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</si>
  <si>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</si>
  <si>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</si>
  <si>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</si>
  <si>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</si>
  <si>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</si>
  <si>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</si>
  <si>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</si>
  <si>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</si>
  <si>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</si>
  <si>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</si>
  <si>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</si>
  <si>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</si>
  <si>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</si>
  <si>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</si>
  <si>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</si>
  <si>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</si>
  <si>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</si>
  <si>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</si>
  <si>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</si>
  <si>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</si>
  <si>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</si>
  <si>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</si>
  <si>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</si>
  <si>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</si>
  <si>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</si>
  <si>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</si>
  <si>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</si>
  <si>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</si>
  <si>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</si>
  <si>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</si>
  <si>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</si>
  <si>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</si>
  <si>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</si>
  <si>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</si>
  <si>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</si>
  <si>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</si>
  <si>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</si>
  <si>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</si>
  <si>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</si>
  <si>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</si>
  <si>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</si>
  <si>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</si>
  <si>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</si>
  <si>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</si>
  <si>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</si>
  <si>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</si>
  <si>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</si>
  <si>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</si>
  <si>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</si>
  <si>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</si>
  <si>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</si>
  <si>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</si>
  <si>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</si>
  <si>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</si>
  <si>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</si>
  <si>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</si>
  <si>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</si>
  <si>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</si>
  <si>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</si>
  <si>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</si>
  <si>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</si>
  <si>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</si>
  <si>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</si>
  <si>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</si>
  <si>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</si>
  <si>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</si>
  <si>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</si>
  <si>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</si>
  <si>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</si>
  <si>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</si>
  <si>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</si>
  <si>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</si>
  <si>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</si>
  <si>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</si>
  <si>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</si>
  <si>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</si>
  <si>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</si>
  <si>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</si>
  <si>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</si>
  <si>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</si>
  <si>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</si>
  <si>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</si>
  <si>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</si>
  <si>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</si>
  <si>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</si>
  <si>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</si>
  <si>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</si>
  <si>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</si>
  <si>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</si>
  <si>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</si>
  <si>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</si>
  <si>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</si>
  <si>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</si>
  <si>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</si>
  <si>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</si>
  <si>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</si>
  <si>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</si>
  <si>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</si>
  <si>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</si>
  <si>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</si>
  <si>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</si>
  <si>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</si>
  <si>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</si>
  <si>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</si>
  <si>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</si>
  <si>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</si>
  <si>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</si>
  <si>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</si>
  <si>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</si>
  <si>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</si>
  <si>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</si>
  <si>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</si>
  <si>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</si>
  <si>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</si>
  <si>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</si>
  <si>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</si>
  <si>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</si>
  <si>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</si>
  <si>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</si>
  <si>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</si>
  <si>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</si>
  <si>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</si>
  <si>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</si>
  <si>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</si>
  <si>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</si>
  <si>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</si>
  <si>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</si>
  <si>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</si>
  <si>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</si>
  <si>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</si>
  <si>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</si>
  <si>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</si>
  <si>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</si>
  <si>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</si>
  <si>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</si>
  <si>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</si>
  <si>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</si>
  <si>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</si>
  <si>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</si>
  <si>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</si>
  <si>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</si>
  <si>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</si>
  <si>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</si>
  <si>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</si>
  <si>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</si>
  <si>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</si>
  <si>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</si>
  <si>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</si>
  <si>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</si>
  <si>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</si>
  <si>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</si>
  <si>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</si>
  <si>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</si>
  <si>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</si>
  <si>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</si>
  <si>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</si>
  <si>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</si>
  <si>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</si>
  <si>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</si>
  <si>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</si>
  <si>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</si>
  <si>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</si>
  <si>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</si>
  <si>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</si>
  <si>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</si>
  <si>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</si>
  <si>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</si>
  <si>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</si>
  <si>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</si>
  <si>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</si>
  <si>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</si>
  <si>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</si>
  <si>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</si>
  <si>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</si>
  <si>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</si>
  <si>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</si>
  <si>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</si>
  <si>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</si>
  <si>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</si>
  <si>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</si>
  <si>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</si>
  <si>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</si>
  <si>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</si>
  <si>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</si>
  <si>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</si>
  <si>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</si>
  <si>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</si>
  <si>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</si>
  <si>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</si>
  <si>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</si>
  <si>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</si>
  <si>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</si>
  <si>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</si>
  <si>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</si>
  <si>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</si>
  <si>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</si>
  <si>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</si>
  <si>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</si>
  <si>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</si>
  <si>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</si>
  <si>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</si>
  <si>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</si>
  <si>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</si>
  <si>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</si>
  <si>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</si>
  <si>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</si>
  <si>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</si>
  <si>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</si>
  <si>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</si>
  <si>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</si>
  <si>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</si>
  <si>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</si>
  <si>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</si>
  <si>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</si>
  <si>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</si>
  <si>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</si>
  <si>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</si>
  <si>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</si>
  <si>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</si>
  <si>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</si>
  <si>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</si>
  <si>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</si>
  <si>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</si>
  <si>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</si>
  <si>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</si>
  <si>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</si>
  <si>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</si>
  <si>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</si>
  <si>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</si>
  <si>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</si>
  <si>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</si>
  <si>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</si>
  <si>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</si>
  <si>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</si>
  <si>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</si>
  <si>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</si>
  <si>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</si>
  <si>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</si>
  <si>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</si>
  <si>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</si>
  <si>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</si>
  <si>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</si>
  <si>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</si>
  <si>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</si>
  <si>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</si>
  <si>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</si>
  <si>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</si>
  <si>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</si>
  <si>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</si>
  <si>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</si>
  <si>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</si>
  <si>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</si>
  <si>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</si>
  <si>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</si>
  <si>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</si>
  <si>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</si>
  <si>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</si>
  <si>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</si>
  <si>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</si>
  <si>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</si>
  <si>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</si>
  <si>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</si>
  <si>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</si>
  <si>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</si>
  <si>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</si>
  <si>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</si>
  <si>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</si>
  <si>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</si>
  <si>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</si>
  <si>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</si>
  <si>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</si>
  <si>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</si>
  <si>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</si>
  <si>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</si>
  <si>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</si>
  <si>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</si>
  <si>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</si>
  <si>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</si>
  <si>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</si>
  <si>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</si>
  <si>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</si>
  <si>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</si>
  <si>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</si>
  <si>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</si>
  <si>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</si>
  <si>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</si>
  <si>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</si>
  <si>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</si>
  <si>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</si>
  <si>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</si>
  <si>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</si>
  <si>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</si>
  <si>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</si>
  <si>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</si>
  <si>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</si>
  <si>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</si>
  <si>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</si>
  <si>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</si>
  <si>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</si>
  <si>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</si>
  <si>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</si>
  <si>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</si>
  <si>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</si>
  <si>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</si>
  <si>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</si>
  <si>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</si>
  <si>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</si>
  <si>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</si>
  <si>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</si>
  <si>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</si>
  <si>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</si>
  <si>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</si>
  <si>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</si>
  <si>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</si>
  <si>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</si>
  <si>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</si>
  <si>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</si>
  <si>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</si>
  <si>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</si>
  <si>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</si>
  <si>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</si>
  <si>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</si>
  <si>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</si>
  <si>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</si>
  <si>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</si>
  <si>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</si>
  <si>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</si>
  <si>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</si>
  <si>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</si>
  <si>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</si>
  <si>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</si>
  <si>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</si>
  <si>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</si>
  <si>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</si>
  <si>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</si>
  <si>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</si>
  <si>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</si>
  <si>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</si>
  <si>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</si>
  <si>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</si>
  <si>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</si>
  <si>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</si>
  <si>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</si>
  <si>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</si>
  <si>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</si>
  <si>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</si>
  <si>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</si>
  <si>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</si>
  <si>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</si>
  <si>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</si>
  <si>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</si>
  <si>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</si>
  <si>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</si>
  <si>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</si>
  <si>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</si>
  <si>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</si>
  <si>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</si>
  <si>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</si>
  <si>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</si>
  <si>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</si>
  <si>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</si>
  <si>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</si>
  <si>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</si>
  <si>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</si>
  <si>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</si>
  <si>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</si>
  <si>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</si>
  <si>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</si>
  <si>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</si>
  <si>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</si>
  <si>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</si>
  <si>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</si>
  <si>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</si>
  <si>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</si>
  <si>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</si>
  <si>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</si>
  <si>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</si>
  <si>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</si>
  <si>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</si>
  <si>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</si>
  <si>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</si>
  <si>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</si>
  <si>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</si>
  <si>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</si>
  <si>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</si>
  <si>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</si>
  <si>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</si>
  <si>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</si>
  <si>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</si>
  <si>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</si>
  <si>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</si>
  <si>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</si>
  <si>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</si>
  <si>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</si>
  <si>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</si>
  <si>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</si>
  <si>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</si>
  <si>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</si>
  <si>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</si>
  <si>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</si>
  <si>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</si>
  <si>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</si>
  <si>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</si>
  <si>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</si>
  <si>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</si>
  <si>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</si>
  <si>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</si>
  <si>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</si>
  <si>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</si>
  <si>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</si>
  <si>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</si>
  <si>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</si>
  <si>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</si>
  <si>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</si>
  <si>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</si>
  <si>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</si>
  <si>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</si>
  <si>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</si>
  <si>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</si>
  <si>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</si>
  <si>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</si>
  <si>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</si>
  <si>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</si>
  <si>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</si>
  <si>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</si>
  <si>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</si>
  <si>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</si>
  <si>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</si>
  <si>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</si>
  <si>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</si>
  <si>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</si>
  <si>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</si>
  <si>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</si>
  <si>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</si>
  <si>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</si>
  <si>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</si>
  <si>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</si>
  <si>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</si>
  <si>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</si>
  <si>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</si>
  <si>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</si>
  <si>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</si>
  <si>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</si>
  <si>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</si>
  <si>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</si>
  <si>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</si>
  <si>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</si>
  <si>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</si>
  <si>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</si>
  <si>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</si>
  <si>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</si>
  <si>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</si>
  <si>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</si>
  <si>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</si>
  <si>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</si>
  <si>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</si>
  <si>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</si>
  <si>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</si>
  <si>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</si>
  <si>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</si>
  <si>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</si>
  <si>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</si>
  <si>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</si>
  <si>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</si>
  <si>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</si>
  <si>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</si>
  <si>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</si>
  <si>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</si>
  <si>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</si>
  <si>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</si>
  <si>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</si>
  <si>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</si>
  <si>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</si>
  <si>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</si>
  <si>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</si>
  <si>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</si>
  <si>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</si>
  <si>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</si>
  <si>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</si>
  <si>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</si>
  <si>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</si>
  <si>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</si>
  <si>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</si>
  <si>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</si>
  <si>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</si>
  <si>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</si>
  <si>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</si>
  <si>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</si>
  <si>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</si>
  <si>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</si>
  <si>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</si>
  <si>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</si>
  <si>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</si>
  <si>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</si>
  <si>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</si>
  <si>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</si>
  <si>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</si>
  <si>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</si>
  <si>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</si>
  <si>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</si>
  <si>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</si>
  <si>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</si>
  <si>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</si>
  <si>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</si>
  <si>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</si>
  <si>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</si>
  <si>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</si>
  <si>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</si>
  <si>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</si>
  <si>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</si>
  <si>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</si>
  <si>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</si>
  <si>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</si>
  <si>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</si>
  <si>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</si>
  <si>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</si>
  <si>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</si>
  <si>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</si>
  <si>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</si>
  <si>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</si>
  <si>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</si>
  <si>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</si>
  <si>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</si>
  <si>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</si>
  <si>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</si>
  <si>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</si>
  <si>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</si>
  <si>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</si>
  <si>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</si>
  <si>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</si>
  <si>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</si>
  <si>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</si>
  <si>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</si>
  <si>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</si>
  <si>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</si>
  <si>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</si>
  <si>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</si>
  <si>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</si>
  <si>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</si>
  <si>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</si>
  <si>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</si>
  <si>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</si>
  <si>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</si>
  <si>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</si>
  <si>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</si>
  <si>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</si>
  <si>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</si>
  <si>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</si>
  <si>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</si>
  <si>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</si>
  <si>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</si>
  <si>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</si>
  <si>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</si>
  <si>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</si>
  <si>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</si>
  <si>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</si>
  <si>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</si>
  <si>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</si>
  <si>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</si>
  <si>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</si>
  <si>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</si>
  <si>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</si>
  <si>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</si>
  <si>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</si>
  <si>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</si>
  <si>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</si>
  <si>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</si>
  <si>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</si>
  <si>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</si>
  <si>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</si>
  <si>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</si>
  <si>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</si>
  <si>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</si>
  <si>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</si>
  <si>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</si>
  <si>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</si>
  <si>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</si>
  <si>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</si>
  <si>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</si>
  <si>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</si>
  <si>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</si>
  <si>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</si>
  <si>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</si>
  <si>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</si>
  <si>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</si>
  <si>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</si>
  <si>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</si>
  <si>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</si>
  <si>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</si>
  <si>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</si>
  <si>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</si>
  <si>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</si>
  <si>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</si>
  <si>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</si>
  <si>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</si>
  <si>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</si>
  <si>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</si>
  <si>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</si>
  <si>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</si>
  <si>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</si>
  <si>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</si>
  <si>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</si>
  <si>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</si>
  <si>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</si>
  <si>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</si>
  <si>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</si>
  <si>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</si>
  <si>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</si>
  <si>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</si>
  <si>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</si>
  <si>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</si>
  <si>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</si>
  <si>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</si>
  <si>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</si>
  <si>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</si>
  <si>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</si>
  <si>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</si>
  <si>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</si>
  <si>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</si>
  <si>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</si>
  <si>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</si>
  <si>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</si>
  <si>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</si>
  <si>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</si>
  <si>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</si>
  <si>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</si>
  <si>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</si>
  <si>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</si>
  <si>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</si>
  <si>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</si>
  <si>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</si>
  <si>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</si>
  <si>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</si>
  <si>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</si>
  <si>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</si>
  <si>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</si>
  <si>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</si>
  <si>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</si>
  <si>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</si>
  <si>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</si>
  <si>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</si>
  <si>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</si>
  <si>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</si>
  <si>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</si>
  <si>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</si>
  <si>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</si>
  <si>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</si>
  <si>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</si>
  <si>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</si>
  <si>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</si>
  <si>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</si>
  <si>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</si>
  <si>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</si>
  <si>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</si>
  <si>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</si>
  <si>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</si>
  <si>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</si>
  <si>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</si>
  <si>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</si>
  <si>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</si>
  <si>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</si>
  <si>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</si>
  <si>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</si>
  <si>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</si>
  <si>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</si>
  <si>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</si>
  <si>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</si>
  <si>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</si>
  <si>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</si>
  <si>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</si>
  <si>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</si>
  <si>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</si>
  <si>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</si>
  <si>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</si>
  <si>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</si>
  <si>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</si>
  <si>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</si>
  <si>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</si>
  <si>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</si>
  <si>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</si>
  <si>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</si>
  <si>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</si>
  <si>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</si>
  <si>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</si>
  <si>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</si>
  <si>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</si>
  <si>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</si>
  <si>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</si>
  <si>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</si>
  <si>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</si>
  <si>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</si>
  <si>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</si>
  <si>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</si>
  <si>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</si>
  <si>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</si>
  <si>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</si>
  <si>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</si>
  <si>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</si>
  <si>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</si>
  <si>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</si>
  <si>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</si>
  <si>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</si>
  <si>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</si>
  <si>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</si>
  <si>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</si>
  <si>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</si>
  <si>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</si>
  <si>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</si>
  <si>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</si>
  <si>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</si>
  <si>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</si>
  <si>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</si>
  <si>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</si>
  <si>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</si>
  <si>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</si>
  <si>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</si>
  <si>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</si>
  <si>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</si>
  <si>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</si>
  <si>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</si>
  <si>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</si>
  <si>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</si>
  <si>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</si>
  <si>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</si>
  <si>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</si>
  <si>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</si>
  <si>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</si>
  <si>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</si>
  <si>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</si>
  <si>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</si>
  <si>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</si>
  <si>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</si>
  <si>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</si>
  <si>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</si>
  <si>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</si>
  <si>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</si>
  <si>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</si>
  <si>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</si>
  <si>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</si>
  <si>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</si>
  <si>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</si>
  <si>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</si>
  <si>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</si>
  <si>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</si>
  <si>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</si>
  <si>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</si>
  <si>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</si>
  <si>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</si>
  <si>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</si>
  <si>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</si>
  <si>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</si>
  <si>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</si>
  <si>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</si>
  <si>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</si>
  <si>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</si>
  <si>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</si>
  <si>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</si>
  <si>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</si>
  <si>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</si>
  <si>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</si>
  <si>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</si>
  <si>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</si>
  <si>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</si>
  <si>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</si>
  <si>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</si>
  <si>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</si>
  <si>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</si>
  <si>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</si>
  <si>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</si>
  <si>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</si>
  <si>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</si>
  <si>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</si>
  <si>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</si>
  <si>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</si>
  <si>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</si>
  <si>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</si>
  <si>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</si>
  <si>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</si>
  <si>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</si>
  <si>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</si>
  <si>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</si>
  <si>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</si>
  <si>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</si>
  <si>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</si>
  <si>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</si>
  <si>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</si>
  <si>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</si>
  <si>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</si>
  <si>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</si>
  <si>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</si>
  <si>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</si>
  <si>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</si>
  <si>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</si>
  <si>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</si>
  <si>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</si>
  <si>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</si>
  <si>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</si>
  <si>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</si>
  <si>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</si>
  <si>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</si>
  <si>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</si>
  <si>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</si>
  <si>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</si>
  <si>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</si>
  <si>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</si>
  <si>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</si>
  <si>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</si>
  <si>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</si>
  <si>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</si>
  <si>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</si>
  <si>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</si>
  <si>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</si>
  <si>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</si>
  <si>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</si>
  <si>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</si>
  <si>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</si>
  <si>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</si>
  <si>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</si>
  <si>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</si>
  <si>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</si>
  <si>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</si>
  <si>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</si>
  <si>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</si>
  <si>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</si>
  <si>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</si>
  <si>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</si>
  <si>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</si>
  <si>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</si>
  <si>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</si>
  <si>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</si>
  <si>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</si>
  <si>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</si>
  <si>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</si>
  <si>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</si>
  <si>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</si>
  <si>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</si>
  <si>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</si>
  <si>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</si>
  <si>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</si>
  <si>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</si>
  <si>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</si>
  <si>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</si>
  <si>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</si>
  <si>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</si>
  <si>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</si>
  <si>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</si>
  <si>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</si>
  <si>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</si>
  <si>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</si>
  <si>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</si>
  <si>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</si>
  <si>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</si>
  <si>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</si>
  <si>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</si>
  <si>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</si>
  <si>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</si>
  <si>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</si>
  <si>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</si>
  <si>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</si>
  <si>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</si>
  <si>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</si>
  <si>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</si>
  <si>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</si>
  <si>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</si>
  <si>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</si>
  <si>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</si>
  <si>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</si>
  <si>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</si>
  <si>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</si>
  <si>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</si>
  <si>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</si>
  <si>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</si>
  <si>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</si>
  <si>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</si>
  <si>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</si>
  <si>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</si>
  <si>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</si>
  <si>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</si>
  <si>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</si>
  <si>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</si>
  <si>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</si>
  <si>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</si>
  <si>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</si>
  <si>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</si>
  <si>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</si>
  <si>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</si>
  <si>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</si>
  <si>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</si>
  <si>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</si>
  <si>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</si>
  <si>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</si>
  <si>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</si>
  <si>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</si>
  <si>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</si>
  <si>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</si>
  <si>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</si>
  <si>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</si>
  <si>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</si>
  <si>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</si>
  <si>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</si>
  <si>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</si>
  <si>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</si>
  <si>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</si>
  <si>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</si>
  <si>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</si>
  <si>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</si>
  <si>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</si>
  <si>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</si>
  <si>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</si>
  <si>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</si>
  <si>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</si>
  <si>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</si>
  <si>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</si>
  <si>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</si>
  <si>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</si>
  <si>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</si>
  <si>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</si>
  <si>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</si>
  <si>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</si>
  <si>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</si>
  <si>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</si>
  <si>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</si>
  <si>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</si>
  <si>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</si>
  <si>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</si>
  <si>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</si>
  <si>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</si>
  <si>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</si>
  <si>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</si>
  <si>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</si>
  <si>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</si>
  <si>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</si>
  <si>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</si>
  <si>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</si>
  <si>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</si>
  <si>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</si>
  <si>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</si>
  <si>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</si>
  <si>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</si>
  <si>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</si>
  <si>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</si>
  <si>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</si>
  <si>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</si>
  <si>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</si>
  <si>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</si>
  <si>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</si>
  <si>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</si>
  <si>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</si>
  <si>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</si>
  <si>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</si>
  <si>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</si>
  <si>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</si>
  <si>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</si>
  <si>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</si>
  <si>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</si>
  <si>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</si>
  <si>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</si>
  <si>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</si>
  <si>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</si>
  <si>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</si>
  <si>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</si>
  <si>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</si>
  <si>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</si>
  <si>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</si>
  <si>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</si>
  <si>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</si>
  <si>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</si>
  <si>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</si>
  <si>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</si>
  <si>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</si>
  <si>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</si>
  <si>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</si>
  <si>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</si>
  <si>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</si>
  <si>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</si>
  <si>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</si>
  <si>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</si>
  <si>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</si>
  <si>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</si>
  <si>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</si>
  <si>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</si>
  <si>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</si>
  <si>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</si>
  <si>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</si>
  <si>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</si>
  <si>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</si>
  <si>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</si>
  <si>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</si>
  <si>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</si>
  <si>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</si>
  <si>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</si>
  <si>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</si>
  <si>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</si>
  <si>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</si>
  <si>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</si>
  <si>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</si>
  <si>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</si>
  <si>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</si>
  <si>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</si>
  <si>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</si>
  <si>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</si>
  <si>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</si>
  <si>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</si>
  <si>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</si>
  <si>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</si>
  <si>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</si>
  <si>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</si>
  <si>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</si>
  <si>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</si>
  <si>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</si>
  <si>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</si>
  <si>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</si>
  <si>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</si>
  <si>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</si>
  <si>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</si>
  <si>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</si>
  <si>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</si>
  <si>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</si>
  <si>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</si>
  <si>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</si>
  <si>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</si>
  <si>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</si>
  <si>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</si>
  <si>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</si>
  <si>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</si>
  <si>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</si>
  <si>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</si>
  <si>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</si>
  <si>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</si>
  <si>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</si>
  <si>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</si>
  <si>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</si>
  <si>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</si>
  <si>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</si>
  <si>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</si>
  <si>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</si>
  <si>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</si>
  <si>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</si>
  <si>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</si>
  <si>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</si>
  <si>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</si>
  <si>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</si>
  <si>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</si>
  <si>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</si>
  <si>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</si>
  <si>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</si>
  <si>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</si>
  <si>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</si>
  <si>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</si>
  <si>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</si>
  <si>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</si>
  <si>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</si>
  <si>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</si>
  <si>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</si>
  <si>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</si>
  <si>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</si>
  <si>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</si>
  <si>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</si>
  <si>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</si>
  <si>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</si>
  <si>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</si>
  <si>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</si>
  <si>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</si>
  <si>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</si>
  <si>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</si>
  <si>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</si>
  <si>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</si>
  <si>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</si>
  <si>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</si>
  <si>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</si>
  <si>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</si>
  <si>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</si>
  <si>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</si>
  <si>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</si>
  <si>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</si>
  <si>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</si>
  <si>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</si>
  <si>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</si>
  <si>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</si>
  <si>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</si>
  <si>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</si>
  <si>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</si>
  <si>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</si>
  <si>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</si>
  <si>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</si>
  <si>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</si>
  <si>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</si>
  <si>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</si>
  <si>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</si>
  <si>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</si>
  <si>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</si>
  <si>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</si>
  <si>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</si>
  <si>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</si>
  <si>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</si>
  <si>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</si>
  <si>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</si>
  <si>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</si>
  <si>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</si>
  <si>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</si>
  <si>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</si>
  <si>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</si>
  <si>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</si>
  <si>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</si>
  <si>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</si>
  <si>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</si>
  <si>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</si>
  <si>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</si>
  <si>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</si>
  <si>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</si>
  <si>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</si>
  <si>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</si>
  <si>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</si>
  <si>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</si>
  <si>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</si>
  <si>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</si>
  <si>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</si>
  <si>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</si>
  <si>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</si>
  <si>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</si>
  <si>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</si>
  <si>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</si>
  <si>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</si>
  <si>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</si>
  <si>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</si>
  <si>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</si>
  <si>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</si>
  <si>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</si>
  <si>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</si>
  <si>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</si>
  <si>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</si>
  <si>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</si>
  <si>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</si>
  <si>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</si>
  <si>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</si>
  <si>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</si>
  <si>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</si>
  <si>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</si>
  <si>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</si>
  <si>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</si>
  <si>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</si>
  <si>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</si>
  <si>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</si>
  <si>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</si>
  <si>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</si>
  <si>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</si>
  <si>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</si>
  <si>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</si>
  <si>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</si>
  <si>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</si>
  <si>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</si>
  <si>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</si>
  <si>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</si>
  <si>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</si>
  <si>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</si>
  <si>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</si>
  <si>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</si>
  <si>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</si>
  <si>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</si>
  <si>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</si>
  <si>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</si>
  <si>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</si>
  <si>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</si>
  <si>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</si>
  <si>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</si>
  <si>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</si>
  <si>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</si>
  <si>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</si>
  <si>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</si>
  <si>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</si>
  <si>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</si>
  <si>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</si>
  <si>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</si>
  <si>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</si>
  <si>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</si>
  <si>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</si>
  <si>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</si>
  <si>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</si>
  <si>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</si>
  <si>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</si>
  <si>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</si>
  <si>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</si>
  <si>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</si>
  <si>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</si>
  <si>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</si>
  <si>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</si>
  <si>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</si>
  <si>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</si>
  <si>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</si>
  <si>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</si>
  <si>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</si>
  <si>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</si>
  <si>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</si>
  <si>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</si>
  <si>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</si>
  <si>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</si>
  <si>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</si>
  <si>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</si>
  <si>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</si>
  <si>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</si>
  <si>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</si>
  <si>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</si>
  <si>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</si>
  <si>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</si>
  <si>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</si>
  <si>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</si>
  <si>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</si>
  <si>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</si>
  <si>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</si>
  <si>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</si>
  <si>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</si>
  <si>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</si>
  <si>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</si>
  <si>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</si>
  <si>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</si>
  <si>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</si>
  <si>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</si>
  <si>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</si>
  <si>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</si>
  <si>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</si>
  <si>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</si>
  <si>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</si>
  <si>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</si>
  <si>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</si>
  <si>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</si>
  <si>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</si>
  <si>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</si>
  <si>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</si>
  <si>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</si>
  <si>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</si>
  <si>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</si>
  <si>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</si>
  <si>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</si>
  <si>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</si>
  <si>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</si>
  <si>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</si>
  <si>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</si>
  <si>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</si>
  <si>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</si>
  <si>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</si>
  <si>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</si>
  <si>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</si>
  <si>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</si>
  <si>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</si>
  <si>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</si>
  <si>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</si>
  <si>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</si>
  <si>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</si>
  <si>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</si>
  <si>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</si>
  <si>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</si>
  <si>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</si>
  <si>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</si>
  <si>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</si>
  <si>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</si>
  <si>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</si>
  <si>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</si>
  <si>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</si>
  <si>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</si>
  <si>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</si>
  <si>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</si>
  <si>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</si>
  <si>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</si>
  <si>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</si>
  <si>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</si>
  <si>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</si>
  <si>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</si>
  <si>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</si>
  <si>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</si>
  <si>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</si>
  <si>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</si>
  <si>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</si>
  <si>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</si>
  <si>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</si>
  <si>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</si>
  <si>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</si>
  <si>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</si>
  <si>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</si>
  <si>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</si>
  <si>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</si>
  <si>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</si>
  <si>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</si>
  <si>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</si>
  <si>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</si>
  <si>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</si>
  <si>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</si>
  <si>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</si>
  <si>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</si>
  <si>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</si>
  <si>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</si>
  <si>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</si>
  <si>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</si>
  <si>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</si>
  <si>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</si>
  <si>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</si>
  <si>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</si>
  <si>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</si>
  <si>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</si>
  <si>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</si>
  <si>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</si>
  <si>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</si>
  <si>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</si>
  <si>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</si>
  <si>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</si>
  <si>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</si>
  <si>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</si>
  <si>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</si>
  <si>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</si>
  <si>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</si>
  <si>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</si>
  <si>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</si>
  <si>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</si>
  <si>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</si>
  <si>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</si>
  <si>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</si>
  <si>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</si>
  <si>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</si>
  <si>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</si>
  <si>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</si>
  <si>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</si>
  <si>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</si>
  <si>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</si>
  <si>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</si>
  <si>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</si>
  <si>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</si>
  <si>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</si>
  <si>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</si>
  <si>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</si>
  <si>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</si>
  <si>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</si>
  <si>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</si>
  <si>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</si>
  <si>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</si>
  <si>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</si>
  <si>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</si>
  <si>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</si>
  <si>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</si>
  <si>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</si>
  <si>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</si>
  <si>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</si>
  <si>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</si>
  <si>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</si>
  <si>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</si>
  <si>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</si>
  <si>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</si>
  <si>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</si>
  <si>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</si>
  <si>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</si>
  <si>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</si>
  <si>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</si>
  <si>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</si>
  <si>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</si>
  <si>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</si>
  <si>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</si>
  <si>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</si>
  <si>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</si>
  <si>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</si>
  <si>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</si>
  <si>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</si>
  <si>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</si>
  <si>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</si>
  <si>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</si>
  <si>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</si>
  <si>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</si>
  <si>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</si>
  <si>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</si>
  <si>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</si>
  <si>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</si>
  <si>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</si>
  <si>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</si>
  <si>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</si>
  <si>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</si>
  <si>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</si>
  <si>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</si>
  <si>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</si>
  <si>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</si>
  <si>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</si>
  <si>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</si>
  <si>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</si>
  <si>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</si>
  <si>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</si>
  <si>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</si>
  <si>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</si>
  <si>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</si>
  <si>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</si>
  <si>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</si>
  <si>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</si>
  <si>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</si>
  <si>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</si>
  <si>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</si>
  <si>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</si>
  <si>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</si>
  <si>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</si>
  <si>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</si>
  <si>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</si>
  <si>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</si>
  <si>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</si>
  <si>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</si>
  <si>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</si>
  <si>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</si>
  <si>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</si>
  <si>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</si>
  <si>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</si>
  <si>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</si>
  <si>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</si>
  <si>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</si>
  <si>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</si>
  <si>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</si>
  <si>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</si>
  <si>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</si>
  <si>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</si>
  <si>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</si>
  <si>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</si>
  <si>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</si>
  <si>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</si>
  <si>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</si>
  <si>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</si>
  <si>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</si>
  <si>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</si>
  <si>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</si>
  <si>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</si>
  <si>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</si>
  <si>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</si>
  <si>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</si>
  <si>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</si>
  <si>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</si>
  <si>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</si>
  <si>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</si>
  <si>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</si>
  <si>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</si>
  <si>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</si>
  <si>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</si>
  <si>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</si>
  <si>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</si>
  <si>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</si>
  <si>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</si>
  <si>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</si>
  <si>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</si>
  <si>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</si>
  <si>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</si>
  <si>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</si>
  <si>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</si>
  <si>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</si>
  <si>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</si>
  <si>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</si>
  <si>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</si>
  <si>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</si>
  <si>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</si>
  <si>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</si>
  <si>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</si>
  <si>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</si>
  <si>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</si>
  <si>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</si>
  <si>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</si>
  <si>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</si>
  <si>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</si>
  <si>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</si>
  <si>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</si>
  <si>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</si>
  <si>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</si>
  <si>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</si>
  <si>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</si>
  <si>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</si>
  <si>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</si>
  <si>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</si>
  <si>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</si>
  <si>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</si>
  <si>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</si>
  <si>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</si>
  <si>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</si>
  <si>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</si>
  <si>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</si>
  <si>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</si>
  <si>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</si>
  <si>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</si>
  <si>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</si>
  <si>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</si>
  <si>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</si>
  <si>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</si>
  <si>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</si>
  <si>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</si>
  <si>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</si>
  <si>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</si>
  <si>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</si>
  <si>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</si>
  <si>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</si>
  <si>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</si>
  <si>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</si>
  <si>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</si>
  <si>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</si>
  <si>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</si>
  <si>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</si>
  <si>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</si>
  <si>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</si>
  <si>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</si>
  <si>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</si>
  <si>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</si>
  <si>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</si>
  <si>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</si>
  <si>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</si>
  <si>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</si>
  <si>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</si>
  <si>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</si>
  <si>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</si>
  <si>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</si>
  <si>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</si>
  <si>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</si>
  <si>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</si>
  <si>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</si>
  <si>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</si>
  <si>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</si>
  <si>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</si>
  <si>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</si>
  <si>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</si>
  <si>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</si>
  <si>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</si>
  <si>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</si>
  <si>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</si>
  <si>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</si>
  <si>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</si>
  <si>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</si>
  <si>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</si>
  <si>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</si>
  <si>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</si>
  <si>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</si>
  <si>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</si>
  <si>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</si>
  <si>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</si>
  <si>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</si>
  <si>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</si>
  <si>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</si>
  <si>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</si>
  <si>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</si>
  <si>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</si>
  <si>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</si>
  <si>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</si>
  <si>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</si>
  <si>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</si>
  <si>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</si>
  <si>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</si>
  <si>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</si>
  <si>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</si>
  <si>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</si>
  <si>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</si>
  <si>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</si>
  <si>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</si>
  <si>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</si>
  <si>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</si>
  <si>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</si>
  <si>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</si>
  <si>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</si>
  <si>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</si>
  <si>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</si>
  <si>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</si>
  <si>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</si>
  <si>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</si>
  <si>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</si>
  <si>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</si>
  <si>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</si>
  <si>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</si>
  <si>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</si>
  <si>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</si>
  <si>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</si>
  <si>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</si>
  <si>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</si>
  <si>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</si>
  <si>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</si>
  <si>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</si>
  <si>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</si>
  <si>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</si>
  <si>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</si>
  <si>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</si>
  <si>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</si>
  <si>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</si>
  <si>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</si>
  <si>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</si>
  <si>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</si>
  <si>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</si>
  <si>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</si>
  <si>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</si>
  <si>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</si>
  <si>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</si>
  <si>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</si>
  <si>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</si>
  <si>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</si>
  <si>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</si>
  <si>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</si>
  <si>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</si>
  <si>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</si>
  <si>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</si>
  <si>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</si>
  <si>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</si>
  <si>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</si>
  <si>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</si>
  <si>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</si>
  <si>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</si>
  <si>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</si>
  <si>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</si>
  <si>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</si>
  <si>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</si>
  <si>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</si>
  <si>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</si>
  <si>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</si>
  <si>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</si>
  <si>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</si>
  <si>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</si>
  <si>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</si>
  <si>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</si>
  <si>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</si>
  <si>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</si>
  <si>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</si>
  <si>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</si>
  <si>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</si>
  <si>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</si>
  <si>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</si>
  <si>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</si>
  <si>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</si>
  <si>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</si>
  <si>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</si>
  <si>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</si>
  <si>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</si>
  <si>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</si>
  <si>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</si>
  <si>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</si>
  <si>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</si>
  <si>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</si>
  <si>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</si>
  <si>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</si>
  <si>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</si>
  <si>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</si>
  <si>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</si>
  <si>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</si>
  <si>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</si>
  <si>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</si>
  <si>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</si>
  <si>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</si>
  <si>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</si>
  <si>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</si>
  <si>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</si>
  <si>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</si>
  <si>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</si>
  <si>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</si>
  <si>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</si>
  <si>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</si>
  <si>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</si>
  <si>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</si>
  <si>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</si>
  <si>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</si>
  <si>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</si>
  <si>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</si>
  <si>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</si>
  <si>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</si>
  <si>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</si>
  <si>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</si>
  <si>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</si>
  <si>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</si>
  <si>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</si>
  <si>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</si>
  <si>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</si>
  <si>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</si>
  <si>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</si>
  <si>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</si>
  <si>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</si>
  <si>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</si>
  <si>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</si>
  <si>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</si>
  <si>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</si>
  <si>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</si>
  <si>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</si>
  <si>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</si>
  <si>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</si>
  <si>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</si>
  <si>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</si>
  <si>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</si>
  <si>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</si>
  <si>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</si>
  <si>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</si>
  <si>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</si>
  <si>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</si>
  <si>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</si>
  <si>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</si>
  <si>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</si>
  <si>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</si>
  <si>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</si>
  <si>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</si>
  <si>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</si>
  <si>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</si>
  <si>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</si>
  <si>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</si>
  <si>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</si>
  <si>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</si>
  <si>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</si>
  <si>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</si>
  <si>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</si>
  <si>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</si>
  <si>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</si>
  <si>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</si>
  <si>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</si>
  <si>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</si>
  <si>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</si>
  <si>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</si>
  <si>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</si>
  <si>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</si>
  <si>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</si>
  <si>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</si>
  <si>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</si>
  <si>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</si>
  <si>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</si>
  <si>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</si>
  <si>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</si>
  <si>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</si>
  <si>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</si>
  <si>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</si>
  <si>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</si>
  <si>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</si>
  <si>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</si>
  <si>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</si>
  <si>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</si>
  <si>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</si>
  <si>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</si>
  <si>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</si>
  <si>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</si>
  <si>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</si>
  <si>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</si>
  <si>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</si>
  <si>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</si>
  <si>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</si>
  <si>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</si>
  <si>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</si>
  <si>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</si>
  <si>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</si>
  <si>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</si>
  <si>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</si>
  <si>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</si>
  <si>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</si>
  <si>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</si>
  <si>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</si>
  <si>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</si>
  <si>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</si>
  <si>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</si>
  <si>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</si>
  <si>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</si>
  <si>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</si>
  <si>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</si>
  <si>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</si>
  <si>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</si>
  <si>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</si>
  <si>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</si>
  <si>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</si>
  <si>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</si>
  <si>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</si>
  <si>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</si>
  <si>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</si>
  <si>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</si>
  <si>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</si>
  <si>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</si>
  <si>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</si>
  <si>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</si>
  <si>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</si>
  <si>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</si>
  <si>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</si>
  <si>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</si>
  <si>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</si>
  <si>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</si>
  <si>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</si>
  <si>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</si>
  <si>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</si>
  <si>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</si>
  <si>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</si>
  <si>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</si>
  <si>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</si>
  <si>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</si>
  <si>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</si>
  <si>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</si>
  <si>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</si>
  <si>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</si>
  <si>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</si>
  <si>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</si>
  <si>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</si>
  <si>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</si>
  <si>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</si>
  <si>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</si>
  <si>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</si>
  <si>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</si>
  <si>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</si>
  <si>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</si>
  <si>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</si>
  <si>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</si>
  <si>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</si>
  <si>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</si>
  <si>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</si>
  <si>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</si>
  <si>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</si>
  <si>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</si>
  <si>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</si>
  <si>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</si>
  <si>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</si>
  <si>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</si>
  <si>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</si>
  <si>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</si>
  <si>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</si>
  <si>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</si>
  <si>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</si>
  <si>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</si>
  <si>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</si>
  <si>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</si>
  <si>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</si>
  <si>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</si>
  <si>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</si>
  <si>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</si>
  <si>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</si>
  <si>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</si>
  <si>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</si>
  <si>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</si>
  <si>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</si>
  <si>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</si>
  <si>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</si>
  <si>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</si>
  <si>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</si>
  <si>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</si>
  <si>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</si>
  <si>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</si>
  <si>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</si>
  <si>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</si>
  <si>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</si>
  <si>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</si>
  <si>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</si>
  <si>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</si>
  <si>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</si>
  <si>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</si>
  <si>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</si>
  <si>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</si>
  <si>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</si>
  <si>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</si>
  <si>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</si>
  <si>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</si>
  <si>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</si>
  <si>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</si>
  <si>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</si>
  <si>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</si>
  <si>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</si>
  <si>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</si>
  <si>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</si>
  <si>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</si>
  <si>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</si>
  <si>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</si>
  <si>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</si>
  <si>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</si>
  <si>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</si>
  <si>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</si>
  <si>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</si>
  <si>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</si>
  <si>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</si>
  <si>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</si>
  <si>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</si>
  <si>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</si>
  <si>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</si>
  <si>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</si>
  <si>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</si>
  <si>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</si>
  <si>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</si>
  <si>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</si>
  <si>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</si>
  <si>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</si>
  <si>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</si>
  <si>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</si>
  <si>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</si>
  <si>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</si>
  <si>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</si>
  <si>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</si>
  <si>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</si>
  <si>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</si>
  <si>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</si>
  <si>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</si>
  <si>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</si>
  <si>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</si>
  <si>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</si>
  <si>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</si>
  <si>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</si>
  <si>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</si>
  <si>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</si>
  <si>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</si>
  <si>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</si>
  <si>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</si>
  <si>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</si>
  <si>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</si>
  <si>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</si>
  <si>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</si>
  <si>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</si>
  <si>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</si>
  <si>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</si>
  <si>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</si>
  <si>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</si>
  <si>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</si>
  <si>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</si>
  <si>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</si>
  <si>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</si>
  <si>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</si>
  <si>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</si>
  <si>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</si>
  <si>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</si>
  <si>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</si>
  <si>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</si>
  <si>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</si>
  <si>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</si>
  <si>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</si>
  <si>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</si>
  <si>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</si>
  <si>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</si>
  <si>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</si>
  <si>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</si>
  <si>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</si>
  <si>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</si>
  <si>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</si>
  <si>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</si>
  <si>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</si>
  <si>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</si>
  <si>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</si>
  <si>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</si>
  <si>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</si>
  <si>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</si>
  <si>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</si>
  <si>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</si>
  <si>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</si>
  <si>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</si>
  <si>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</si>
  <si>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</si>
  <si>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</si>
  <si>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</si>
  <si>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</si>
  <si>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</si>
  <si>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</si>
  <si>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</si>
  <si>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</si>
  <si>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</si>
  <si>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</si>
  <si>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</si>
  <si>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</si>
  <si>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</si>
  <si>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</si>
  <si>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</si>
  <si>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</si>
  <si>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</si>
  <si>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</si>
  <si>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</si>
  <si>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</si>
  <si>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</si>
  <si>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</si>
  <si>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</si>
  <si>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</si>
  <si>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</si>
  <si>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</si>
  <si>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</si>
  <si>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</si>
  <si>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</si>
  <si>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</si>
  <si>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07-016-1250-02</t>
  </si>
  <si>
    <t>Cook County</t>
  </si>
  <si>
    <t>Atwood Heights SD 125</t>
  </si>
  <si>
    <t>12150 Hamlin Avenue</t>
  </si>
  <si>
    <t>Alsip</t>
  </si>
  <si>
    <t>X</t>
  </si>
  <si>
    <t>Thomas Livingston</t>
  </si>
  <si>
    <t>708-371-0080</t>
  </si>
  <si>
    <t>708-370-7847</t>
  </si>
  <si>
    <t>Worth</t>
  </si>
  <si>
    <t>Terry La Bella</t>
  </si>
  <si>
    <t>talabella@sbcglobal.net</t>
  </si>
  <si>
    <t>708-952-0620</t>
  </si>
  <si>
    <t>708-952-9340</t>
  </si>
  <si>
    <t>Dr. Vanessa Kinder</t>
  </si>
  <si>
    <t>vkinder@s-cook.org</t>
  </si>
  <si>
    <t>708-754-6600</t>
  </si>
  <si>
    <t>708-754-8687</t>
  </si>
  <si>
    <t>RSM US LLP</t>
  </si>
  <si>
    <t>Mandy Pittman</t>
  </si>
  <si>
    <t>One South Wacker Drive, Suite 800</t>
  </si>
  <si>
    <t>Chicago</t>
  </si>
  <si>
    <t>Illinois</t>
  </si>
  <si>
    <t>312-634-4414</t>
  </si>
  <si>
    <t>312-634-5523</t>
  </si>
  <si>
    <t>06-5035081</t>
  </si>
  <si>
    <t>mandy.pittman@rsmus.com</t>
  </si>
  <si>
    <t>None</t>
  </si>
  <si>
    <t>N/A</t>
  </si>
  <si>
    <t>EBC and ISIC District 125</t>
  </si>
  <si>
    <t>Worth Township Treasurer, District 125</t>
  </si>
  <si>
    <t>Eisenhower Special Education Cooperative, District 125</t>
  </si>
  <si>
    <t>G.O. Cap. App. Limited Tax School Bonds Series 2007</t>
  </si>
  <si>
    <t>General Obligation Limited School Bonds Series 2012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</si>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</sst>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28575</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N14" sqref="N14"/>
    </sheetView>
  </sheetViews>
  <sheetFormatPr defaultColWidth="8.5703125" defaultRowHeight="12.75" x14ac:dyDescent="0.2"/>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2111</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2082</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t="s">
        <v>2077</v>
      </c>
      <c r="B13" s="2003"/>
      <c r="C13" s="2003"/>
      <c r="D13" s="2003"/>
      <c r="E13" s="2003"/>
      <c r="F13" s="2003"/>
      <c r="G13" s="2003"/>
      <c r="H13" s="2004"/>
      <c r="I13" s="31"/>
      <c r="J13" s="30"/>
      <c r="K13" s="28"/>
      <c r="L13" s="30"/>
      <c r="M13" s="30"/>
      <c r="N13" s="30"/>
      <c r="O13" s="30"/>
      <c r="P13" s="30"/>
      <c r="Q13" s="30"/>
      <c r="R13" s="30"/>
      <c r="S13" s="30"/>
      <c r="T13" s="2007" t="s">
        <v>2095</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2078</v>
      </c>
      <c r="B15" s="2005"/>
      <c r="C15" s="2005"/>
      <c r="D15" s="2005"/>
      <c r="E15" s="2005"/>
      <c r="F15" s="2005"/>
      <c r="G15" s="2005"/>
      <c r="H15" s="2006"/>
      <c r="T15" s="1968" t="s">
        <v>2096</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2079</v>
      </c>
      <c r="B17" s="2030"/>
      <c r="C17" s="2030"/>
      <c r="D17" s="2030"/>
      <c r="E17" s="2030"/>
      <c r="F17" s="2030"/>
      <c r="G17" s="2030"/>
      <c r="H17" s="2031"/>
      <c r="T17" s="2017" t="s">
        <v>2097</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2080</v>
      </c>
      <c r="B19" s="2001"/>
      <c r="C19" s="2001"/>
      <c r="D19" s="2001"/>
      <c r="E19" s="2001"/>
      <c r="F19" s="2001"/>
      <c r="G19" s="2001"/>
      <c r="H19" s="1999"/>
      <c r="I19" s="30"/>
      <c r="J19" s="99"/>
      <c r="K19" s="40"/>
      <c r="L19" s="38"/>
      <c r="M19" s="112" t="s">
        <v>333</v>
      </c>
      <c r="P19" s="27"/>
      <c r="Q19" s="27"/>
      <c r="R19" s="27"/>
      <c r="S19" s="31"/>
      <c r="T19" s="2000" t="s">
        <v>2098</v>
      </c>
      <c r="U19" s="1998"/>
      <c r="V19" s="1998"/>
      <c r="W19" s="1999"/>
      <c r="X19" s="2015" t="s">
        <v>2099</v>
      </c>
      <c r="Y19" s="2016"/>
      <c r="Z19" s="2013">
        <v>60606</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2081</v>
      </c>
      <c r="B21" s="1998"/>
      <c r="C21" s="1998"/>
      <c r="D21" s="1998"/>
      <c r="E21" s="1998"/>
      <c r="F21" s="1998"/>
      <c r="G21" s="1998"/>
      <c r="H21" s="1999"/>
      <c r="I21" s="2023" t="s">
        <v>699</v>
      </c>
      <c r="J21" s="1986"/>
      <c r="K21" s="1986"/>
      <c r="L21" s="1986"/>
      <c r="M21" s="1986"/>
      <c r="N21" s="1986"/>
      <c r="O21" s="1986"/>
      <c r="P21" s="1986"/>
      <c r="Q21" s="1986"/>
      <c r="R21" s="1986"/>
      <c r="S21" s="1987"/>
      <c r="T21" s="1965" t="s">
        <v>2100</v>
      </c>
      <c r="U21" s="1966"/>
      <c r="V21" s="1966"/>
      <c r="W21" s="1966"/>
      <c r="X21" s="1979" t="s">
        <v>2101</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c r="B23" s="2021"/>
      <c r="C23" s="2021"/>
      <c r="D23" s="2021"/>
      <c r="E23" s="2021"/>
      <c r="F23" s="2021"/>
      <c r="G23" s="2021"/>
      <c r="H23" s="2022"/>
      <c r="T23" s="1960" t="s">
        <v>2102</v>
      </c>
      <c r="U23" s="1961"/>
      <c r="V23" s="1961"/>
      <c r="W23" s="1961"/>
      <c r="X23" s="1976">
        <v>44469</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60803</v>
      </c>
      <c r="B25" s="1998"/>
      <c r="C25" s="1998"/>
      <c r="D25" s="1998"/>
      <c r="E25" s="1998"/>
      <c r="F25" s="1998"/>
      <c r="G25" s="1998"/>
      <c r="H25" s="1999"/>
      <c r="I25" s="113"/>
      <c r="J25" s="2064"/>
      <c r="K25" s="2064"/>
      <c r="L25" s="2064"/>
      <c r="M25" s="2064"/>
      <c r="N25" s="2064"/>
      <c r="O25" s="2064"/>
      <c r="P25" s="2064"/>
      <c r="Q25" s="2064"/>
      <c r="R25" s="2064"/>
      <c r="S25" s="2065"/>
      <c r="T25" s="1957" t="s">
        <v>2103</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2082</v>
      </c>
      <c r="F29" s="141" t="s">
        <v>1383</v>
      </c>
      <c r="G29" s="114"/>
      <c r="I29" s="54"/>
      <c r="J29" s="102"/>
      <c r="K29" s="28" t="s">
        <v>597</v>
      </c>
      <c r="L29" s="148" t="s">
        <v>2082</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2082</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t="s">
        <v>2086</v>
      </c>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2083</v>
      </c>
      <c r="B38" s="2030"/>
      <c r="C38" s="2030"/>
      <c r="D38" s="2030"/>
      <c r="E38" s="2030"/>
      <c r="F38" s="1998"/>
      <c r="G38" s="1998"/>
      <c r="H38" s="1999"/>
      <c r="I38" s="2049" t="s">
        <v>2087</v>
      </c>
      <c r="J38" s="1969"/>
      <c r="K38" s="1969"/>
      <c r="L38" s="1969"/>
      <c r="M38" s="1969"/>
      <c r="N38" s="1969"/>
      <c r="O38" s="1969"/>
      <c r="P38" s="1970"/>
      <c r="Q38" s="1970"/>
      <c r="R38" s="1970"/>
      <c r="S38" s="1971"/>
      <c r="T38" s="1968" t="s">
        <v>2091</v>
      </c>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c r="B40" s="2057"/>
      <c r="C40" s="2058"/>
      <c r="D40" s="2058"/>
      <c r="E40" s="2058"/>
      <c r="F40" s="2059"/>
      <c r="G40" s="2059"/>
      <c r="H40" s="2060"/>
      <c r="I40" s="1972" t="s">
        <v>2088</v>
      </c>
      <c r="J40" s="1974"/>
      <c r="K40" s="1974"/>
      <c r="L40" s="1974"/>
      <c r="M40" s="1974"/>
      <c r="N40" s="1974"/>
      <c r="O40" s="1974"/>
      <c r="P40" s="1974"/>
      <c r="Q40" s="1974"/>
      <c r="R40" s="1974"/>
      <c r="S40" s="1975"/>
      <c r="T40" s="1972" t="s">
        <v>2092</v>
      </c>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2084</v>
      </c>
      <c r="B42" s="2047"/>
      <c r="C42" s="2048"/>
      <c r="D42" s="2061" t="s">
        <v>2085</v>
      </c>
      <c r="E42" s="2047"/>
      <c r="F42" s="2047"/>
      <c r="G42" s="2047"/>
      <c r="H42" s="2048"/>
      <c r="I42" s="1967" t="s">
        <v>2089</v>
      </c>
      <c r="J42" s="1963"/>
      <c r="K42" s="1963"/>
      <c r="L42" s="1963"/>
      <c r="M42" s="1963"/>
      <c r="N42" s="1963"/>
      <c r="O42" s="1964"/>
      <c r="P42" s="1962" t="s">
        <v>2090</v>
      </c>
      <c r="Q42" s="1963"/>
      <c r="R42" s="1963"/>
      <c r="S42" s="1964"/>
      <c r="T42" s="1967" t="s">
        <v>2093</v>
      </c>
      <c r="U42" s="1963"/>
      <c r="V42" s="1963"/>
      <c r="W42" s="1964"/>
      <c r="X42" s="1962" t="s">
        <v>2094</v>
      </c>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2076</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7" zoomScale="110" zoomScaleNormal="110" workbookViewId="0">
      <selection activeCell="A37" sqref="A37"/>
    </sheetView>
  </sheetViews>
  <sheetFormatPr defaultColWidth="9.140625" defaultRowHeight="12" x14ac:dyDescent="0.2"/>
  <cols>
    <col min="1" max="1" width="2.425781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1707</v>
      </c>
    </row>
    <row r="22" spans="1:5" x14ac:dyDescent="0.2">
      <c r="A22" s="168"/>
      <c r="B22" s="162" t="s">
        <v>1966</v>
      </c>
      <c r="C22" s="162" t="s">
        <v>1231</v>
      </c>
      <c r="D22" s="167" t="s">
        <v>1968</v>
      </c>
      <c r="E22" s="1859" t="s">
        <v>1708</v>
      </c>
    </row>
    <row r="23" spans="1:5" x14ac:dyDescent="0.2">
      <c r="A23" s="168"/>
      <c r="B23" s="162" t="s">
        <v>1967</v>
      </c>
      <c r="D23" s="167" t="s">
        <v>658</v>
      </c>
      <c r="E23" s="1859" t="s">
        <v>1016</v>
      </c>
    </row>
    <row r="24" spans="1:5" x14ac:dyDescent="0.2">
      <c r="A24" s="168" t="s">
        <v>1706</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1705</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7"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570312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1636</v>
      </c>
    </row>
    <row r="22" spans="1:4" s="181" customFormat="1" x14ac:dyDescent="0.2">
      <c r="A22" s="219"/>
      <c r="B22" s="226"/>
      <c r="C22" s="227">
        <v>9</v>
      </c>
      <c r="D22" s="231" t="s">
        <v>1726</v>
      </c>
    </row>
    <row r="23" spans="1:4" s="181" customFormat="1" x14ac:dyDescent="0.2">
      <c r="A23" s="219"/>
      <c r="B23" s="234"/>
      <c r="C23" s="227"/>
      <c r="D23" s="235" t="s">
        <v>1637</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1730</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2019</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2095</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2020</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D28" sqref="D28"/>
    </sheetView>
  </sheetViews>
  <sheetFormatPr defaultColWidth="9.140625" defaultRowHeight="12" x14ac:dyDescent="0.2"/>
  <cols>
    <col min="1" max="1" width="4.85546875" style="222" customWidth="1"/>
    <col min="2" max="2" width="2.5703125" style="347" customWidth="1"/>
    <col min="3" max="3" width="3.5703125" style="347" customWidth="1"/>
    <col min="4" max="4" width="14.5703125" style="347" customWidth="1"/>
    <col min="5" max="5" width="2.5703125" style="347" customWidth="1"/>
    <col min="6" max="6" width="14.5703125" style="347" customWidth="1"/>
    <col min="7" max="7" width="4" style="347" customWidth="1"/>
    <col min="8" max="8" width="14.5703125" style="347" customWidth="1"/>
    <col min="9" max="9" width="2.5703125" style="347" customWidth="1"/>
    <col min="10" max="10" width="14.5703125" style="347" customWidth="1"/>
    <col min="11" max="11" width="2.5703125" style="347" customWidth="1"/>
    <col min="12" max="12" width="14.5703125" style="347" customWidth="1"/>
    <col min="13" max="13" width="2.5703125" style="347" customWidth="1"/>
    <col min="14" max="14" width="3.5703125" style="222" customWidth="1"/>
    <col min="15" max="15" width="4.5703125" style="347" customWidth="1"/>
    <col min="16" max="17" width="5.570312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1.1"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124498030</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2.6315999999999999E-2</v>
      </c>
      <c r="E10" s="356" t="s">
        <v>1062</v>
      </c>
      <c r="F10" s="355">
        <v>4.6360000000000004E-3</v>
      </c>
      <c r="G10" s="356" t="s">
        <v>1062</v>
      </c>
      <c r="H10" s="355">
        <v>6.2049999999999996E-3</v>
      </c>
      <c r="I10" s="356" t="s">
        <v>1063</v>
      </c>
      <c r="J10" s="1754">
        <f>ROUND(D10+F10+H10,5)</f>
        <v>3.7159999999999999E-2</v>
      </c>
      <c r="K10" s="222"/>
      <c r="L10" s="355">
        <v>4.2099999999999999E-4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9060914</v>
      </c>
      <c r="E16" s="356"/>
      <c r="F16" s="1755">
        <f>SUM('Acct Summary 7-8'!C17,'Acct Summary 7-8'!D17,'Acct Summary 7-8'!F17)</f>
        <v>7872911</v>
      </c>
      <c r="G16" s="356"/>
      <c r="H16" s="1755">
        <f>SUM(D16-F16)</f>
        <v>1188003</v>
      </c>
      <c r="I16" s="222"/>
      <c r="J16" s="1755">
        <f>SUM('Acct Summary 7-8'!C81,'Acct Summary 7-8'!D81,'Acct Summary 7-8'!F81,'Acct Summary 7-8'!I81)</f>
        <v>6609264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35" customHeight="1" x14ac:dyDescent="0.2">
      <c r="B31" s="366" t="s">
        <v>2082</v>
      </c>
      <c r="C31" s="367" t="s">
        <v>607</v>
      </c>
      <c r="D31" s="237" t="s">
        <v>1132</v>
      </c>
      <c r="E31" s="222"/>
      <c r="F31" s="222"/>
      <c r="G31" s="363"/>
      <c r="H31" s="1757">
        <f>IF(B31="X",(J7*0.069),IF(B32="X",(J7*0.138),"Enter x in a.or b."))</f>
        <v>8590364.0700000003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4318186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30" zoomScale="110" zoomScaleNormal="110" workbookViewId="0">
      <selection activeCell="F51" sqref="F51"/>
    </sheetView>
  </sheetViews>
  <sheetFormatPr defaultColWidth="9.140625" defaultRowHeight="12" x14ac:dyDescent="0.2"/>
  <cols>
    <col min="1" max="1" width="2" style="385" customWidth="1"/>
    <col min="2" max="2" width="2.5703125" style="447" customWidth="1"/>
    <col min="3" max="3" width="15.42578125" style="385" customWidth="1"/>
    <col min="4" max="4" width="37.85546875" style="385" customWidth="1"/>
    <col min="5" max="5" width="1.5703125" style="385" customWidth="1"/>
    <col min="6" max="6" width="31.140625" style="385" customWidth="1"/>
    <col min="7" max="7" width="1.5703125" style="385" customWidth="1"/>
    <col min="8" max="8" width="15.5703125" style="449" customWidth="1"/>
    <col min="9" max="9" width="2.5703125" style="385" customWidth="1"/>
    <col min="10" max="10" width="5.85546875" style="385" hidden="1" customWidth="1"/>
    <col min="11" max="11" width="10.5703125" style="449" customWidth="1"/>
    <col min="12" max="12" width="2.5703125" style="385" customWidth="1"/>
    <col min="13" max="13" width="10.5703125" style="385" customWidth="1"/>
    <col min="14" max="14" width="2.5703125" style="385" customWidth="1"/>
    <col min="15" max="15" width="10.5703125" style="385" customWidth="1"/>
    <col min="16" max="16" width="0.85546875" style="385" customWidth="1"/>
    <col min="17" max="18" width="2.570312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Atwood Heights SD 125</v>
      </c>
      <c r="E7" s="391"/>
      <c r="G7" s="252"/>
      <c r="H7" s="387"/>
      <c r="I7" s="387"/>
      <c r="J7" s="387"/>
      <c r="K7" s="387"/>
      <c r="L7" s="329"/>
      <c r="M7" s="329"/>
      <c r="N7" s="329"/>
      <c r="O7" s="329"/>
      <c r="P7" s="329"/>
    </row>
    <row r="8" spans="1:18" ht="12.75" x14ac:dyDescent="0.2">
      <c r="A8" s="329"/>
      <c r="B8" s="329"/>
      <c r="C8" s="389" t="s">
        <v>1187</v>
      </c>
      <c r="D8" s="392" t="str">
        <f>COVER!A13</f>
        <v>07-016-1250-02</v>
      </c>
      <c r="E8" s="393"/>
      <c r="G8" s="329"/>
      <c r="H8" s="329"/>
      <c r="I8" s="329"/>
      <c r="J8" s="329"/>
      <c r="K8" s="329"/>
      <c r="L8" s="329"/>
      <c r="M8" s="329"/>
      <c r="N8" s="329"/>
      <c r="O8" s="329"/>
      <c r="P8" s="329"/>
    </row>
    <row r="9" spans="1:18" ht="12.75" x14ac:dyDescent="0.2">
      <c r="A9" s="329"/>
      <c r="B9" s="329"/>
      <c r="C9" s="389" t="s">
        <v>737</v>
      </c>
      <c r="D9" s="394" t="str">
        <f>COVER!A15</f>
        <v>Cook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6609264</v>
      </c>
      <c r="I12" s="404"/>
      <c r="J12" s="404"/>
      <c r="K12" s="405">
        <f>TRUNC((H12/H13*100000),5)/100000</f>
        <v>0.72942575100000007</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9060914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7872911</v>
      </c>
      <c r="I17" s="404"/>
      <c r="J17" s="416"/>
      <c r="K17" s="405">
        <f>TRUNC((H17/H18*100000),5)/100000</f>
        <v>0.86888706810000005</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9060914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6609264</v>
      </c>
      <c r="I24" s="422"/>
      <c r="J24" s="422"/>
      <c r="K24" s="423">
        <f>TRUNC(((H24/H25*100000)/100000),2)</f>
        <v>302.20999999999998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21869.197219999998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3932394.7755800001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4318186</v>
      </c>
      <c r="I32" s="420"/>
      <c r="J32" s="420"/>
      <c r="K32" s="423">
        <f>TRUNC(100-((((H32/H33*100))*100)/100),2)</f>
        <v>49.73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8590364.0700000003</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3" activePane="bottomLeft" state="frozen"/>
      <selection activeCell="D89" sqref="D89"/>
      <selection pane="bottomLeft" activeCell="M42" sqref="M42"/>
    </sheetView>
  </sheetViews>
  <sheetFormatPr defaultColWidth="9.140625" defaultRowHeight="12.75" x14ac:dyDescent="0.2"/>
  <cols>
    <col min="1" max="1" width="47.42578125" style="501" customWidth="1"/>
    <col min="2" max="2" width="4.5703125" style="502" customWidth="1"/>
    <col min="3" max="14" width="13.570312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1749</v>
      </c>
      <c r="B4" s="464"/>
      <c r="C4" s="465">
        <v>3325443</v>
      </c>
      <c r="D4" s="466">
        <v>80157</v>
      </c>
      <c r="E4" s="466">
        <v>1090328</v>
      </c>
      <c r="F4" s="466">
        <v>681137</v>
      </c>
      <c r="G4" s="466">
        <v>89121</v>
      </c>
      <c r="H4" s="466">
        <v>25826</v>
      </c>
      <c r="I4" s="466">
        <v>2522527</v>
      </c>
      <c r="J4" s="467">
        <v>40813</v>
      </c>
      <c r="K4" s="466">
        <v>273261</v>
      </c>
      <c r="L4" s="466">
        <v>22691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3325443</v>
      </c>
      <c r="D13" s="1759">
        <f t="shared" ref="D13:L13" si="0">SUM(D4:D12)</f>
        <v>80157</v>
      </c>
      <c r="E13" s="1759">
        <f t="shared" si="0"/>
        <v>1090328</v>
      </c>
      <c r="F13" s="1759">
        <f t="shared" si="0"/>
        <v>681137</v>
      </c>
      <c r="G13" s="1759">
        <f t="shared" si="0"/>
        <v>89121</v>
      </c>
      <c r="H13" s="1759">
        <f t="shared" si="0"/>
        <v>25826</v>
      </c>
      <c r="I13" s="1759">
        <f t="shared" si="0"/>
        <v>2522527</v>
      </c>
      <c r="J13" s="1759">
        <f t="shared" si="0"/>
        <v>40813</v>
      </c>
      <c r="K13" s="1759">
        <f t="shared" si="0"/>
        <v>273261</v>
      </c>
      <c r="L13" s="1759">
        <f t="shared" si="0"/>
        <v>22691</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268486</v>
      </c>
      <c r="N16" s="484"/>
    </row>
    <row r="17" spans="1:14" s="485" customFormat="1" ht="12.75" customHeight="1" x14ac:dyDescent="0.2">
      <c r="A17" s="482" t="s">
        <v>1470</v>
      </c>
      <c r="B17" s="483">
        <v>230</v>
      </c>
      <c r="C17" s="477"/>
      <c r="D17" s="477"/>
      <c r="E17" s="477"/>
      <c r="F17" s="477"/>
      <c r="G17" s="477"/>
      <c r="H17" s="477"/>
      <c r="I17" s="477"/>
      <c r="J17" s="477"/>
      <c r="K17" s="477"/>
      <c r="L17" s="477"/>
      <c r="M17" s="467">
        <f>9057326-3231958</f>
        <v>5825368</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f>1508980-1384756</f>
        <v>124224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407275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3910911</v>
      </c>
    </row>
    <row r="23" spans="1:14" ht="13.5" customHeight="1" thickBot="1" x14ac:dyDescent="0.25">
      <c r="A23" s="1758" t="s">
        <v>664</v>
      </c>
      <c r="B23" s="1763"/>
      <c r="C23" s="468"/>
      <c r="D23" s="468"/>
      <c r="E23" s="468"/>
      <c r="F23" s="468"/>
      <c r="G23" s="468"/>
      <c r="H23" s="468"/>
      <c r="I23" s="468"/>
      <c r="J23" s="468"/>
      <c r="K23" s="468"/>
      <c r="L23" s="468"/>
      <c r="M23" s="1710">
        <f>SUM(M15:M22)</f>
        <v>6218078</v>
      </c>
      <c r="N23" s="1710">
        <f>SUM(N21:N22)</f>
        <v>4318186</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22691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22691</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4318186</v>
      </c>
    </row>
    <row r="37" spans="1:14" ht="13.5" thickBot="1" x14ac:dyDescent="0.25">
      <c r="A37" s="1758" t="s">
        <v>674</v>
      </c>
      <c r="B37" s="1763"/>
      <c r="C37" s="477"/>
      <c r="D37" s="477"/>
      <c r="E37" s="477"/>
      <c r="F37" s="477"/>
      <c r="G37" s="477"/>
      <c r="H37" s="477"/>
      <c r="I37" s="477"/>
      <c r="J37" s="477"/>
      <c r="K37" s="477"/>
      <c r="L37" s="480"/>
      <c r="M37" s="468"/>
      <c r="N37" s="1710">
        <f>SUM(N36:N36)</f>
        <v>4318186</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f>'Acct Summary 7-8'!C81-C38</f>
        <v>3325443</v>
      </c>
      <c r="D39" s="466">
        <f>'Acct Summary 7-8'!D81-D38</f>
        <v>80157</v>
      </c>
      <c r="E39" s="466">
        <f>'Acct Summary 7-8'!E81-E38</f>
        <v>1090328</v>
      </c>
      <c r="F39" s="466">
        <f>'Acct Summary 7-8'!F81-F38</f>
        <v>681137</v>
      </c>
      <c r="G39" s="466">
        <f>'Acct Summary 7-8'!G81-G38</f>
        <v>89121</v>
      </c>
      <c r="H39" s="466">
        <f>'Acct Summary 7-8'!H81-H38</f>
        <v>25826</v>
      </c>
      <c r="I39" s="466">
        <f>'Acct Summary 7-8'!I81-I38</f>
        <v>2522527</v>
      </c>
      <c r="J39" s="467">
        <f>'Acct Summary 7-8'!J81-J38</f>
        <v>40813</v>
      </c>
      <c r="K39" s="466">
        <f>'Acct Summary 7-8'!K81-K38</f>
        <v>273261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6218078</v>
      </c>
      <c r="N40" s="497"/>
    </row>
    <row r="41" spans="1:14" ht="13.5" customHeight="1" thickBot="1" x14ac:dyDescent="0.25">
      <c r="A41" s="1758" t="s">
        <v>676</v>
      </c>
      <c r="B41" s="1728"/>
      <c r="C41" s="1710">
        <f>(SUM(C34,C37,C38,C39))</f>
        <v>3325443</v>
      </c>
      <c r="D41" s="1710">
        <f t="shared" ref="D41:L41" si="2">SUM(D34,D37,D38:D39)</f>
        <v>80157</v>
      </c>
      <c r="E41" s="1710">
        <f t="shared" si="2"/>
        <v>1090328</v>
      </c>
      <c r="F41" s="1710">
        <f t="shared" si="2"/>
        <v>681137</v>
      </c>
      <c r="G41" s="1710">
        <f t="shared" si="2"/>
        <v>89121</v>
      </c>
      <c r="H41" s="1710">
        <f t="shared" si="2"/>
        <v>25826</v>
      </c>
      <c r="I41" s="1710">
        <f t="shared" si="2"/>
        <v>2522527</v>
      </c>
      <c r="J41" s="1710">
        <f t="shared" si="2"/>
        <v>40813</v>
      </c>
      <c r="K41" s="1710">
        <f t="shared" si="2"/>
        <v>273261</v>
      </c>
      <c r="L41" s="1710">
        <f t="shared" si="2"/>
        <v>22691</v>
      </c>
      <c r="M41" s="1710">
        <f>SUM(M40)</f>
        <v>6218078</v>
      </c>
      <c r="N41" s="1710">
        <f>SUM(N37)</f>
        <v>4318186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39" sqref="C39"/>
      <selection pane="bottomLeft" activeCell="C10" sqref="C10"/>
    </sheetView>
  </sheetViews>
  <sheetFormatPr defaultColWidth="9.140625" defaultRowHeight="12.75" x14ac:dyDescent="0.2"/>
  <cols>
    <col min="1" max="1" width="55.85546875" style="501" customWidth="1"/>
    <col min="2" max="2" width="4.5703125" style="502" customWidth="1"/>
    <col min="3" max="11" width="13.5703125" style="457" customWidth="1"/>
    <col min="12" max="12" width="2" style="457" customWidth="1"/>
    <col min="13" max="16384" width="9.140625" style="457"/>
  </cols>
  <sheetData>
    <row r="1" spans="1:13" ht="12.75" customHeight="1" x14ac:dyDescent="0.2">
      <c r="A1" s="2140"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3603985</v>
      </c>
      <c r="D4" s="1764">
        <f>'Revenues 9-14'!D109</f>
        <v>552585</v>
      </c>
      <c r="E4" s="1764">
        <f>'Revenues 9-14'!E109</f>
        <v>807454</v>
      </c>
      <c r="F4" s="1764">
        <f>'Revenues 9-14'!F109</f>
        <v>776060</v>
      </c>
      <c r="G4" s="1764">
        <f>'Revenues 9-14'!G109</f>
        <v>54930</v>
      </c>
      <c r="H4" s="1764">
        <f>'Revenues 9-14'!H109</f>
        <v>396</v>
      </c>
      <c r="I4" s="1764">
        <f>'Revenues 9-14'!I109</f>
        <v>89082</v>
      </c>
      <c r="J4" s="1764">
        <f>'Revenues 9-14'!J109</f>
        <v>51632</v>
      </c>
      <c r="K4" s="1764">
        <f>'Revenues 9-14'!K109</f>
        <v>5346</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3225058</v>
      </c>
      <c r="D6" s="1765">
        <f>'Revenues 9-14'!D173</f>
        <v>0</v>
      </c>
      <c r="E6" s="1765">
        <f>'Revenues 9-14'!E173</f>
        <v>0</v>
      </c>
      <c r="F6" s="1765">
        <f>'Revenues 9-14'!F173</f>
        <v>437138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377006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7206049</v>
      </c>
      <c r="D8" s="1710">
        <f t="shared" ref="D8:K8" si="0">SUM(D4:D7)</f>
        <v>552585</v>
      </c>
      <c r="E8" s="1710">
        <f t="shared" si="0"/>
        <v>807454</v>
      </c>
      <c r="F8" s="1710">
        <f t="shared" si="0"/>
        <v>1213198</v>
      </c>
      <c r="G8" s="1710">
        <f t="shared" si="0"/>
        <v>54930</v>
      </c>
      <c r="H8" s="1710">
        <f t="shared" si="0"/>
        <v>396</v>
      </c>
      <c r="I8" s="1710">
        <f t="shared" si="0"/>
        <v>89082</v>
      </c>
      <c r="J8" s="1710">
        <f t="shared" si="0"/>
        <v>51632</v>
      </c>
      <c r="K8" s="1710">
        <f t="shared" si="0"/>
        <v>5346</v>
      </c>
      <c r="L8" s="347"/>
    </row>
    <row r="9" spans="1:13" ht="15.75" thickTop="1" x14ac:dyDescent="0.2">
      <c r="A9" s="514" t="s">
        <v>1751</v>
      </c>
      <c r="B9" s="515">
        <v>3998</v>
      </c>
      <c r="C9" s="481">
        <v>2485386</v>
      </c>
      <c r="D9" s="516"/>
      <c r="E9" s="481"/>
      <c r="F9" s="481"/>
      <c r="G9" s="517"/>
      <c r="H9" s="481"/>
      <c r="I9" s="509" t="s">
        <v>1231</v>
      </c>
      <c r="J9" s="478"/>
      <c r="K9" s="481"/>
      <c r="L9" s="347"/>
    </row>
    <row r="10" spans="1:13" s="519" customFormat="1" ht="13.5" thickBot="1" x14ac:dyDescent="0.25">
      <c r="A10" s="1758" t="s">
        <v>1235</v>
      </c>
      <c r="B10" s="1731"/>
      <c r="C10" s="1710">
        <f>SUM(C8:C9)</f>
        <v>9691435</v>
      </c>
      <c r="D10" s="1710">
        <f t="shared" ref="D10:K10" si="1">SUM(D8:D9)</f>
        <v>552585</v>
      </c>
      <c r="E10" s="1710">
        <f t="shared" si="1"/>
        <v>807454</v>
      </c>
      <c r="F10" s="1710">
        <f t="shared" si="1"/>
        <v>1213198</v>
      </c>
      <c r="G10" s="1710">
        <f t="shared" si="1"/>
        <v>54930</v>
      </c>
      <c r="H10" s="1710">
        <f t="shared" si="1"/>
        <v>396</v>
      </c>
      <c r="I10" s="1710">
        <f t="shared" si="1"/>
        <v>89082</v>
      </c>
      <c r="J10" s="1710">
        <f t="shared" si="1"/>
        <v>51632</v>
      </c>
      <c r="K10" s="1710">
        <f t="shared" si="1"/>
        <v>5346</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4033539</v>
      </c>
      <c r="D12" s="520" t="s">
        <v>1231</v>
      </c>
      <c r="E12" s="468" t="s">
        <v>1231</v>
      </c>
      <c r="F12" s="468" t="s">
        <v>1231</v>
      </c>
      <c r="G12" s="1764">
        <f>'Expenditures 15-22'!K229</f>
        <v>94170</v>
      </c>
      <c r="H12" s="521"/>
      <c r="I12" s="468" t="s">
        <v>1231</v>
      </c>
      <c r="J12" s="468" t="s">
        <v>1231</v>
      </c>
      <c r="K12" s="521" t="s">
        <v>1231</v>
      </c>
      <c r="L12" s="347"/>
    </row>
    <row r="13" spans="1:13" ht="15.75" customHeight="1" x14ac:dyDescent="0.2">
      <c r="A13" s="1598" t="s">
        <v>477</v>
      </c>
      <c r="B13" s="1600">
        <v>2000</v>
      </c>
      <c r="C13" s="1765">
        <f>'Expenditures 15-22'!K74</f>
        <v>1784650</v>
      </c>
      <c r="D13" s="1765">
        <f>'Expenditures 15-22'!K129</f>
        <v>448612</v>
      </c>
      <c r="E13" s="469" t="s">
        <v>1231</v>
      </c>
      <c r="F13" s="1765">
        <f>'Expenditures 15-22'!K184</f>
        <v>642285</v>
      </c>
      <c r="G13" s="1765">
        <f>'Expenditures 15-22'!K279</f>
        <v>89826</v>
      </c>
      <c r="H13" s="1765">
        <f>'Expenditures 15-22'!K303</f>
        <v>0</v>
      </c>
      <c r="I13" s="468" t="s">
        <v>1231</v>
      </c>
      <c r="J13" s="1765">
        <f>'Expenditures 15-22'!K330</f>
        <v>60535</v>
      </c>
      <c r="K13" s="1769">
        <f>'Expenditures 15-22'!K352</f>
        <v>7250</v>
      </c>
      <c r="L13" s="347"/>
    </row>
    <row r="14" spans="1:13" ht="15.75" customHeight="1" x14ac:dyDescent="0.2">
      <c r="A14" s="1598" t="s">
        <v>469</v>
      </c>
      <c r="B14" s="1600">
        <v>3000</v>
      </c>
      <c r="C14" s="1765">
        <f>'Expenditures 15-22'!K75</f>
        <v>22408</v>
      </c>
      <c r="D14" s="1765">
        <f>'Expenditures 15-22'!K130</f>
        <v>0</v>
      </c>
      <c r="E14" s="520" t="s">
        <v>1231</v>
      </c>
      <c r="F14" s="1765">
        <f>'Expenditures 15-22'!K185</f>
        <v>0</v>
      </c>
      <c r="G14" s="1765">
        <f>'Expenditures 15-22'!K280</f>
        <v>316</v>
      </c>
      <c r="H14" s="512"/>
      <c r="I14" s="468" t="s">
        <v>1231</v>
      </c>
      <c r="J14" s="468" t="s">
        <v>1231</v>
      </c>
      <c r="K14" s="512" t="s">
        <v>1231</v>
      </c>
      <c r="L14" s="347"/>
    </row>
    <row r="15" spans="1:13" ht="15.75" customHeight="1" x14ac:dyDescent="0.2">
      <c r="A15" s="1598" t="s">
        <v>109</v>
      </c>
      <c r="B15" s="1600">
        <v>4000</v>
      </c>
      <c r="C15" s="1765">
        <f>'Expenditures 15-22'!K102</f>
        <v>941417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776376</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6782014</v>
      </c>
      <c r="D17" s="1710">
        <f t="shared" si="2"/>
        <v>448612</v>
      </c>
      <c r="E17" s="1710">
        <f t="shared" si="2"/>
        <v>776376</v>
      </c>
      <c r="F17" s="1710">
        <f t="shared" si="2"/>
        <v>642285</v>
      </c>
      <c r="G17" s="1710">
        <f t="shared" si="2"/>
        <v>184312</v>
      </c>
      <c r="H17" s="1710">
        <f t="shared" si="2"/>
        <v>0</v>
      </c>
      <c r="I17" s="468"/>
      <c r="J17" s="1710">
        <f>SUM(J12:J16)</f>
        <v>60535</v>
      </c>
      <c r="K17" s="1710">
        <f>SUM(K12:K16)</f>
        <v>7250</v>
      </c>
      <c r="L17" s="347"/>
    </row>
    <row r="18" spans="1:12" ht="15" customHeight="1" thickTop="1" x14ac:dyDescent="0.2">
      <c r="A18" s="1766" t="s">
        <v>1752</v>
      </c>
      <c r="B18" s="1767">
        <v>4180</v>
      </c>
      <c r="C18" s="1764">
        <f t="shared" ref="C18:H18" si="3">C9</f>
        <v>2485386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9267400</v>
      </c>
      <c r="D19" s="1710">
        <f t="shared" si="4"/>
        <v>448612</v>
      </c>
      <c r="E19" s="1710">
        <f t="shared" si="4"/>
        <v>776376</v>
      </c>
      <c r="F19" s="1710">
        <f t="shared" si="4"/>
        <v>642285</v>
      </c>
      <c r="G19" s="1710">
        <f t="shared" si="4"/>
        <v>184312</v>
      </c>
      <c r="H19" s="1710">
        <f t="shared" si="4"/>
        <v>0</v>
      </c>
      <c r="I19" s="468"/>
      <c r="J19" s="1710">
        <f>SUM(J17:J18)</f>
        <v>60535</v>
      </c>
      <c r="K19" s="1710">
        <f>SUM(K17:K18)</f>
        <v>7250</v>
      </c>
      <c r="L19" s="347"/>
    </row>
    <row r="20" spans="1:12" ht="16.5" thickTop="1" thickBot="1" x14ac:dyDescent="0.25">
      <c r="A20" s="2142" t="s">
        <v>1753</v>
      </c>
      <c r="B20" s="2143"/>
      <c r="C20" s="1768">
        <f>C8-C17</f>
        <v>424035</v>
      </c>
      <c r="D20" s="1768">
        <f t="shared" ref="D20:K20" si="5">D8-D17</f>
        <v>103973</v>
      </c>
      <c r="E20" s="1768">
        <f t="shared" si="5"/>
        <v>31078</v>
      </c>
      <c r="F20" s="1768">
        <f t="shared" si="5"/>
        <v>570913</v>
      </c>
      <c r="G20" s="1768">
        <f t="shared" si="5"/>
        <v>-129382</v>
      </c>
      <c r="H20" s="1768">
        <f t="shared" si="5"/>
        <v>396</v>
      </c>
      <c r="I20" s="1768">
        <f t="shared" si="5"/>
        <v>89082</v>
      </c>
      <c r="J20" s="1768">
        <f t="shared" si="5"/>
        <v>-8903</v>
      </c>
      <c r="K20" s="1768">
        <f t="shared" si="5"/>
        <v>-1904</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424035</v>
      </c>
      <c r="D78" s="1724">
        <f t="shared" si="9"/>
        <v>103973</v>
      </c>
      <c r="E78" s="1724">
        <f t="shared" si="9"/>
        <v>31078</v>
      </c>
      <c r="F78" s="1724">
        <f t="shared" si="9"/>
        <v>570913</v>
      </c>
      <c r="G78" s="1724">
        <f t="shared" si="9"/>
        <v>-129382</v>
      </c>
      <c r="H78" s="1724">
        <f t="shared" si="9"/>
        <v>396</v>
      </c>
      <c r="I78" s="1724">
        <f t="shared" si="9"/>
        <v>89082</v>
      </c>
      <c r="J78" s="1724">
        <f t="shared" si="9"/>
        <v>-8903</v>
      </c>
      <c r="K78" s="1724">
        <f t="shared" si="9"/>
        <v>-1904</v>
      </c>
      <c r="L78" s="533"/>
    </row>
    <row r="79" spans="1:12" ht="13.5" thickTop="1" x14ac:dyDescent="0.2">
      <c r="A79" s="1516" t="s">
        <v>2070</v>
      </c>
      <c r="B79" s="534"/>
      <c r="C79" s="478">
        <v>2901408</v>
      </c>
      <c r="D79" s="535">
        <v>-23816</v>
      </c>
      <c r="E79" s="535">
        <v>1059250</v>
      </c>
      <c r="F79" s="535">
        <v>110224</v>
      </c>
      <c r="G79" s="535">
        <v>218503</v>
      </c>
      <c r="H79" s="535">
        <v>25430</v>
      </c>
      <c r="I79" s="535">
        <v>2433445</v>
      </c>
      <c r="J79" s="535">
        <v>49716</v>
      </c>
      <c r="K79" s="535">
        <v>275165</v>
      </c>
      <c r="L79" s="347"/>
    </row>
    <row r="80" spans="1:12" x14ac:dyDescent="0.2">
      <c r="A80" s="2144" t="s">
        <v>1897</v>
      </c>
      <c r="B80" s="2145"/>
      <c r="C80" s="467"/>
      <c r="D80" s="467"/>
      <c r="E80" s="467"/>
      <c r="F80" s="467"/>
      <c r="G80" s="467"/>
      <c r="H80" s="467"/>
      <c r="I80" s="467"/>
      <c r="J80" s="467"/>
      <c r="K80" s="467"/>
      <c r="L80" s="347"/>
    </row>
    <row r="81" spans="1:12" ht="13.5" thickBot="1" x14ac:dyDescent="0.25">
      <c r="A81" s="2136" t="s">
        <v>2071</v>
      </c>
      <c r="B81" s="2137"/>
      <c r="C81" s="1710">
        <f>(SUM(C78:C80))</f>
        <v>3325443</v>
      </c>
      <c r="D81" s="1710">
        <f>SUM(D78:D80)</f>
        <v>80157</v>
      </c>
      <c r="E81" s="1710">
        <f t="shared" ref="E81:K81" si="10">SUM(E78:E80)</f>
        <v>1090328</v>
      </c>
      <c r="F81" s="1710">
        <f t="shared" si="10"/>
        <v>681137</v>
      </c>
      <c r="G81" s="1710">
        <f t="shared" si="10"/>
        <v>89121</v>
      </c>
      <c r="H81" s="1710">
        <f t="shared" si="10"/>
        <v>25826</v>
      </c>
      <c r="I81" s="1710">
        <f t="shared" si="10"/>
        <v>2522527</v>
      </c>
      <c r="J81" s="1710">
        <f t="shared" si="10"/>
        <v>40813</v>
      </c>
      <c r="K81" s="1710">
        <f t="shared" si="10"/>
        <v>273261</v>
      </c>
      <c r="L81" s="347"/>
    </row>
    <row r="82" spans="1:12" ht="0.75" customHeight="1" thickTop="1" thickBot="1" x14ac:dyDescent="0.25">
      <c r="A82" s="536" t="s">
        <v>361</v>
      </c>
      <c r="B82" s="537"/>
      <c r="C82" s="538">
        <f>(C81-C79)</f>
        <v>424035</v>
      </c>
      <c r="D82" s="538">
        <f t="shared" ref="D82:K82" si="11">(D81-D79)</f>
        <v>103973</v>
      </c>
      <c r="E82" s="538">
        <f t="shared" si="11"/>
        <v>31078</v>
      </c>
      <c r="F82" s="538">
        <f t="shared" si="11"/>
        <v>570913</v>
      </c>
      <c r="G82" s="538">
        <f t="shared" si="11"/>
        <v>-129382</v>
      </c>
      <c r="H82" s="538">
        <f t="shared" si="11"/>
        <v>396</v>
      </c>
      <c r="I82" s="538">
        <f t="shared" si="11"/>
        <v>89082</v>
      </c>
      <c r="J82" s="538">
        <f t="shared" si="11"/>
        <v>-8903</v>
      </c>
      <c r="K82" s="538">
        <f t="shared" si="11"/>
        <v>-1904</v>
      </c>
    </row>
    <row r="83" spans="1:12" ht="14.25" hidden="1" thickTop="1" thickBot="1" x14ac:dyDescent="0.25">
      <c r="A83" s="539" t="s">
        <v>362</v>
      </c>
      <c r="B83" s="464"/>
      <c r="C83" s="540">
        <f>C82/C81</f>
        <v>0.12751233444686919</v>
      </c>
      <c r="D83" s="540">
        <f t="shared" ref="D83:K83" si="12">D82/D81</f>
        <v>1.2971169080679168</v>
      </c>
      <c r="E83" s="540">
        <f t="shared" si="12"/>
        <v>2.8503349450807465E-2</v>
      </c>
      <c r="F83" s="540">
        <f t="shared" si="12"/>
        <v>0.83817646082946606</v>
      </c>
      <c r="G83" s="540">
        <f t="shared" si="12"/>
        <v>-1.4517566005767439</v>
      </c>
      <c r="H83" s="540">
        <f t="shared" si="12"/>
        <v>1.5333384960892125E-2</v>
      </c>
      <c r="I83" s="540">
        <f t="shared" si="12"/>
        <v>3.5314587316607512E-2</v>
      </c>
      <c r="J83" s="540">
        <f t="shared" si="12"/>
        <v>-0.2181412785141989</v>
      </c>
      <c r="K83" s="540">
        <f t="shared" si="12"/>
        <v>-6.967697549229491E-3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17" activePane="bottomLeft" state="frozen"/>
      <selection activeCell="A47" sqref="A47"/>
      <selection pane="bottomLeft" activeCell="C220" sqref="C220"/>
    </sheetView>
  </sheetViews>
  <sheetFormatPr defaultColWidth="9.140625" defaultRowHeight="12.75" x14ac:dyDescent="0.2"/>
  <cols>
    <col min="1" max="1" width="54.140625" style="595" customWidth="1"/>
    <col min="2" max="2" width="4.5703125" style="596" customWidth="1"/>
    <col min="3" max="11" width="13.5703125" style="384" customWidth="1"/>
    <col min="12" max="16384" width="9.140625" style="384"/>
  </cols>
  <sheetData>
    <row r="1" spans="1:12" x14ac:dyDescent="0.2">
      <c r="A1" s="2140" t="s">
        <v>1904</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1759</v>
      </c>
      <c r="B5" s="547"/>
      <c r="C5" s="481">
        <v>3118618</v>
      </c>
      <c r="D5" s="481">
        <v>551820</v>
      </c>
      <c r="E5" s="466">
        <v>749913</v>
      </c>
      <c r="F5" s="548">
        <v>770641</v>
      </c>
      <c r="G5" s="466">
        <v>1124</v>
      </c>
      <c r="H5" s="466"/>
      <c r="I5" s="466">
        <v>50875</v>
      </c>
      <c r="J5" s="467">
        <v>50828</v>
      </c>
      <c r="K5" s="466">
        <v>1124</v>
      </c>
    </row>
    <row r="6" spans="1:12" ht="15" x14ac:dyDescent="0.2">
      <c r="A6" s="463" t="s">
        <v>1760</v>
      </c>
      <c r="B6" s="470">
        <v>1130</v>
      </c>
      <c r="C6" s="466"/>
      <c r="D6" s="466"/>
      <c r="E6" s="475"/>
      <c r="F6" s="475"/>
      <c r="G6" s="468"/>
      <c r="H6" s="468"/>
      <c r="I6" s="468"/>
      <c r="J6" s="468"/>
      <c r="K6" s="468"/>
    </row>
    <row r="7" spans="1:12" x14ac:dyDescent="0.2">
      <c r="A7" s="463" t="s">
        <v>112</v>
      </c>
      <c r="B7" s="549">
        <v>1140</v>
      </c>
      <c r="C7" s="466">
        <v>274655</v>
      </c>
      <c r="D7" s="466"/>
      <c r="E7" s="468"/>
      <c r="F7" s="467"/>
      <c r="G7" s="467"/>
      <c r="H7" s="467"/>
      <c r="I7" s="468"/>
      <c r="J7" s="468"/>
      <c r="K7" s="468"/>
    </row>
    <row r="8" spans="1:12" x14ac:dyDescent="0.2">
      <c r="A8" s="463" t="s">
        <v>433</v>
      </c>
      <c r="B8" s="470">
        <v>1150</v>
      </c>
      <c r="C8" s="475"/>
      <c r="D8" s="475"/>
      <c r="E8" s="477"/>
      <c r="F8" s="477"/>
      <c r="G8" s="481">
        <v>49793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3393273</v>
      </c>
      <c r="D12" s="1729">
        <f t="shared" si="0"/>
        <v>551820</v>
      </c>
      <c r="E12" s="1729">
        <f t="shared" si="0"/>
        <v>749913</v>
      </c>
      <c r="F12" s="1729">
        <f t="shared" si="0"/>
        <v>770641</v>
      </c>
      <c r="G12" s="1729">
        <f t="shared" si="0"/>
        <v>50917</v>
      </c>
      <c r="H12" s="1729">
        <f t="shared" si="0"/>
        <v>0</v>
      </c>
      <c r="I12" s="1729">
        <f t="shared" si="0"/>
        <v>50875</v>
      </c>
      <c r="J12" s="1729">
        <f t="shared" si="0"/>
        <v>50828</v>
      </c>
      <c r="K12" s="1710">
        <f t="shared" si="0"/>
        <v>1124</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46857</v>
      </c>
      <c r="D16" s="466"/>
      <c r="E16" s="466"/>
      <c r="F16" s="466"/>
      <c r="G16" s="466">
        <v>1005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46857</v>
      </c>
      <c r="D18" s="1732">
        <f t="shared" ref="D18:K18" si="1">SUM(D14:D17)</f>
        <v>0</v>
      </c>
      <c r="E18" s="1732">
        <f t="shared" si="1"/>
        <v>0</v>
      </c>
      <c r="F18" s="1732">
        <f t="shared" si="1"/>
        <v>0</v>
      </c>
      <c r="G18" s="1732">
        <f t="shared" si="1"/>
        <v>1005</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55119</v>
      </c>
      <c r="D65" s="466">
        <v>765</v>
      </c>
      <c r="E65" s="466">
        <v>57541</v>
      </c>
      <c r="F65" s="467">
        <v>5419</v>
      </c>
      <c r="G65" s="466">
        <v>3008</v>
      </c>
      <c r="H65" s="466">
        <v>396</v>
      </c>
      <c r="I65" s="466">
        <v>38207</v>
      </c>
      <c r="J65" s="467">
        <v>804</v>
      </c>
      <c r="K65" s="466">
        <v>4222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55119</v>
      </c>
      <c r="D67" s="1710">
        <f t="shared" ref="D67:K67" si="2">SUM(D65:D66)</f>
        <v>765</v>
      </c>
      <c r="E67" s="1710">
        <f t="shared" si="2"/>
        <v>57541</v>
      </c>
      <c r="F67" s="1710">
        <f t="shared" si="2"/>
        <v>5419</v>
      </c>
      <c r="G67" s="1710">
        <f t="shared" si="2"/>
        <v>3008</v>
      </c>
      <c r="H67" s="1710">
        <f t="shared" si="2"/>
        <v>396</v>
      </c>
      <c r="I67" s="1710">
        <f t="shared" si="2"/>
        <v>38207</v>
      </c>
      <c r="J67" s="1710">
        <f t="shared" si="2"/>
        <v>804</v>
      </c>
      <c r="K67" s="1710">
        <f t="shared" si="2"/>
        <v>4222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v>6864</v>
      </c>
      <c r="D74" s="468"/>
      <c r="E74" s="468"/>
      <c r="F74" s="468"/>
      <c r="G74" s="468"/>
      <c r="H74" s="468"/>
      <c r="I74" s="468"/>
      <c r="J74" s="468"/>
      <c r="K74" s="468"/>
    </row>
    <row r="75" spans="1:11" ht="12.75" customHeight="1" thickBot="1" x14ac:dyDescent="0.25">
      <c r="A75" s="1730" t="s">
        <v>569</v>
      </c>
      <c r="B75" s="1731"/>
      <c r="C75" s="1710">
        <f>SUM(C69:C74)</f>
        <v>6864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44337</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44337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14528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43007</v>
      </c>
      <c r="D107" s="466"/>
      <c r="E107" s="466"/>
      <c r="F107" s="466"/>
      <c r="G107" s="466"/>
      <c r="H107" s="466"/>
      <c r="I107" s="466"/>
      <c r="J107" s="467"/>
      <c r="K107" s="466"/>
    </row>
    <row r="108" spans="1:12" ht="12.75" customHeight="1" thickBot="1" x14ac:dyDescent="0.25">
      <c r="A108" s="1730" t="s">
        <v>508</v>
      </c>
      <c r="B108" s="1734"/>
      <c r="C108" s="1729">
        <f>SUM(C95:C107)</f>
        <v>57535</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3603985</v>
      </c>
      <c r="D109" s="1737">
        <f t="shared" si="4"/>
        <v>552585</v>
      </c>
      <c r="E109" s="1737">
        <f t="shared" si="4"/>
        <v>807454</v>
      </c>
      <c r="F109" s="1737">
        <f t="shared" si="4"/>
        <v>776060</v>
      </c>
      <c r="G109" s="1737">
        <f t="shared" si="4"/>
        <v>54930</v>
      </c>
      <c r="H109" s="1737">
        <f t="shared" si="4"/>
        <v>396</v>
      </c>
      <c r="I109" s="1737">
        <f t="shared" si="4"/>
        <v>89082</v>
      </c>
      <c r="J109" s="1737">
        <f t="shared" si="4"/>
        <v>51632</v>
      </c>
      <c r="K109" s="1724">
        <f t="shared" si="4"/>
        <v>5346</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1765</v>
      </c>
      <c r="B117" s="562">
        <v>3001</v>
      </c>
      <c r="C117" s="516">
        <v>2836875</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2836875</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91832</v>
      </c>
      <c r="D124" s="561"/>
      <c r="E124" s="468"/>
      <c r="F124" s="548"/>
      <c r="G124" s="468"/>
      <c r="H124" s="468"/>
      <c r="I124" s="468"/>
      <c r="J124" s="468"/>
      <c r="K124" s="468"/>
    </row>
    <row r="125" spans="1:11" ht="12.75" customHeight="1" x14ac:dyDescent="0.2">
      <c r="A125" s="463" t="s">
        <v>1521</v>
      </c>
      <c r="B125" s="562">
        <v>3105</v>
      </c>
      <c r="C125" s="466">
        <v>53820</v>
      </c>
      <c r="D125" s="561"/>
      <c r="E125" s="468"/>
      <c r="F125" s="466"/>
      <c r="G125" s="468"/>
      <c r="H125" s="468"/>
      <c r="I125" s="468"/>
      <c r="J125" s="468"/>
      <c r="K125" s="468"/>
    </row>
    <row r="126" spans="1:11" ht="12.75" customHeight="1" x14ac:dyDescent="0.2">
      <c r="A126" s="463" t="s">
        <v>922</v>
      </c>
      <c r="B126" s="562">
        <v>3110</v>
      </c>
      <c r="C126" s="551">
        <v>72800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218452</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8303</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8303</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1344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234722</v>
      </c>
      <c r="G151" s="467"/>
      <c r="H151" s="468"/>
      <c r="I151" s="468"/>
      <c r="J151" s="468"/>
      <c r="K151" s="468"/>
    </row>
    <row r="152" spans="1:11" ht="12.75" customHeight="1" x14ac:dyDescent="0.2">
      <c r="A152" s="463" t="s">
        <v>1117</v>
      </c>
      <c r="B152" s="562">
        <v>3510</v>
      </c>
      <c r="C152" s="551"/>
      <c r="D152" s="466"/>
      <c r="E152" s="561"/>
      <c r="F152" s="466">
        <v>202416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437138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160084</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388183</v>
      </c>
      <c r="D172" s="1744">
        <f t="shared" si="6"/>
        <v>0</v>
      </c>
      <c r="E172" s="1744">
        <f t="shared" si="6"/>
        <v>0</v>
      </c>
      <c r="F172" s="1744">
        <f t="shared" si="6"/>
        <v>437138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3225058</v>
      </c>
      <c r="D173" s="1737">
        <f>SUM(D121,D172)</f>
        <v>0</v>
      </c>
      <c r="E173" s="1737">
        <f>SUM(E121,E172)</f>
        <v>0</v>
      </c>
      <c r="F173" s="1737">
        <f t="shared" ref="F173:K173" si="7">SUM(F121,F172)</f>
        <v>437138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1763</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1762</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1905</v>
      </c>
      <c r="B185" s="2165"/>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v>15302</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15302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208385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208385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5670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122320</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127990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v>12109</v>
      </c>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13220</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377006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377006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7206049</v>
      </c>
      <c r="D275" s="1737">
        <f t="shared" si="12"/>
        <v>552585</v>
      </c>
      <c r="E275" s="1737">
        <f t="shared" si="12"/>
        <v>807454</v>
      </c>
      <c r="F275" s="1737">
        <f t="shared" si="12"/>
        <v>1213198</v>
      </c>
      <c r="G275" s="1737">
        <f t="shared" si="12"/>
        <v>54930</v>
      </c>
      <c r="H275" s="1737">
        <f t="shared" si="12"/>
        <v>396</v>
      </c>
      <c r="I275" s="1737">
        <f t="shared" si="12"/>
        <v>89082</v>
      </c>
      <c r="J275" s="1737">
        <f t="shared" si="12"/>
        <v>51632</v>
      </c>
      <c r="K275" s="1724">
        <f t="shared" si="12"/>
        <v>5346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60" activePane="bottomLeft" state="frozen"/>
      <selection activeCell="A47" sqref="A47"/>
      <selection pane="bottomLeft" activeCell="G75" sqref="G75"/>
    </sheetView>
  </sheetViews>
  <sheetFormatPr defaultColWidth="9.140625" defaultRowHeight="12.75" x14ac:dyDescent="0.2"/>
  <cols>
    <col min="1" max="1" width="48.5703125" style="710" customWidth="1"/>
    <col min="2" max="2" width="5" style="711" customWidth="1"/>
    <col min="3" max="8" width="13.42578125" style="610" customWidth="1"/>
    <col min="9" max="10" width="13.42578125" style="343" customWidth="1"/>
    <col min="11" max="11" width="13.42578125" style="712" customWidth="1"/>
    <col min="12" max="12" width="11.85546875" style="343" customWidth="1"/>
    <col min="13" max="13" width="1.5703125" style="210" customWidth="1"/>
    <col min="14" max="14" width="9.140625" style="210"/>
    <col min="15" max="16384" width="9.140625" style="329"/>
  </cols>
  <sheetData>
    <row r="1" spans="1:14" x14ac:dyDescent="0.2">
      <c r="A1" s="2140"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2044060</v>
      </c>
      <c r="D5" s="466">
        <v>543811</v>
      </c>
      <c r="E5" s="466">
        <v>254</v>
      </c>
      <c r="F5" s="466">
        <v>110880</v>
      </c>
      <c r="G5" s="466"/>
      <c r="H5" s="466"/>
      <c r="I5" s="467"/>
      <c r="J5" s="467"/>
      <c r="K5" s="1693">
        <f>SUM(C5:J5)</f>
        <v>2699005</v>
      </c>
      <c r="L5" s="466">
        <v>2764878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580100</v>
      </c>
      <c r="D8" s="466">
        <v>93008</v>
      </c>
      <c r="E8" s="466">
        <v>470</v>
      </c>
      <c r="F8" s="466">
        <v>16020</v>
      </c>
      <c r="G8" s="466"/>
      <c r="H8" s="466"/>
      <c r="I8" s="467"/>
      <c r="J8" s="467"/>
      <c r="K8" s="1693">
        <f t="shared" si="0"/>
        <v>689598</v>
      </c>
      <c r="L8" s="466">
        <v>672438</v>
      </c>
    </row>
    <row r="9" spans="1:14" x14ac:dyDescent="0.2">
      <c r="A9" s="1526" t="s">
        <v>745</v>
      </c>
      <c r="B9" s="615" t="s">
        <v>1025</v>
      </c>
      <c r="C9" s="467">
        <v>60423</v>
      </c>
      <c r="D9" s="467">
        <v>20846</v>
      </c>
      <c r="E9" s="467"/>
      <c r="F9" s="467"/>
      <c r="G9" s="467"/>
      <c r="H9" s="467"/>
      <c r="I9" s="467"/>
      <c r="J9" s="467"/>
      <c r="K9" s="1693">
        <f t="shared" si="0"/>
        <v>81269</v>
      </c>
      <c r="L9" s="466">
        <v>83493</v>
      </c>
    </row>
    <row r="10" spans="1:14" x14ac:dyDescent="0.2">
      <c r="A10" s="1526" t="s">
        <v>746</v>
      </c>
      <c r="B10" s="615">
        <v>1250</v>
      </c>
      <c r="C10" s="466">
        <v>129043</v>
      </c>
      <c r="D10" s="466">
        <v>40909</v>
      </c>
      <c r="E10" s="466">
        <v>4109</v>
      </c>
      <c r="F10" s="466">
        <v>21967</v>
      </c>
      <c r="G10" s="466"/>
      <c r="H10" s="466"/>
      <c r="I10" s="467"/>
      <c r="J10" s="467"/>
      <c r="K10" s="1693">
        <f t="shared" si="0"/>
        <v>196028</v>
      </c>
      <c r="L10" s="466">
        <v>196710</v>
      </c>
    </row>
    <row r="11" spans="1:14" x14ac:dyDescent="0.2">
      <c r="A11" s="1526" t="s">
        <v>1192</v>
      </c>
      <c r="B11" s="615" t="s">
        <v>163</v>
      </c>
      <c r="C11" s="467">
        <v>47340</v>
      </c>
      <c r="D11" s="467">
        <v>12021</v>
      </c>
      <c r="E11" s="467">
        <v>2791</v>
      </c>
      <c r="F11" s="467">
        <v>138713</v>
      </c>
      <c r="G11" s="467"/>
      <c r="H11" s="467"/>
      <c r="I11" s="467"/>
      <c r="J11" s="467"/>
      <c r="K11" s="1693">
        <f t="shared" si="0"/>
        <v>200865</v>
      </c>
      <c r="L11" s="466">
        <v>97162</v>
      </c>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79064</v>
      </c>
      <c r="D14" s="466">
        <v>1465</v>
      </c>
      <c r="E14" s="466"/>
      <c r="F14" s="466">
        <v>1248</v>
      </c>
      <c r="G14" s="466"/>
      <c r="H14" s="466">
        <v>5074</v>
      </c>
      <c r="I14" s="467"/>
      <c r="J14" s="467"/>
      <c r="K14" s="1693">
        <f t="shared" si="0"/>
        <v>86851</v>
      </c>
      <c r="L14" s="466">
        <v>82244</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v>59149</v>
      </c>
      <c r="D18" s="466">
        <v>19397</v>
      </c>
      <c r="E18" s="466">
        <v>378</v>
      </c>
      <c r="F18" s="466">
        <v>999</v>
      </c>
      <c r="G18" s="466"/>
      <c r="H18" s="466"/>
      <c r="I18" s="467"/>
      <c r="J18" s="467"/>
      <c r="K18" s="1693">
        <f t="shared" si="0"/>
        <v>79923</v>
      </c>
      <c r="L18" s="466">
        <v>79484</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1766</v>
      </c>
      <c r="B33" s="1691" t="s">
        <v>591</v>
      </c>
      <c r="C33" s="1692">
        <f>SUM(C5:C32)</f>
        <v>2999179</v>
      </c>
      <c r="D33" s="1692">
        <f t="shared" ref="D33:L33" si="1">SUM(D5:D32)</f>
        <v>731457</v>
      </c>
      <c r="E33" s="1692">
        <f t="shared" si="1"/>
        <v>8002</v>
      </c>
      <c r="F33" s="1692">
        <f t="shared" si="1"/>
        <v>289827</v>
      </c>
      <c r="G33" s="1692">
        <f t="shared" si="1"/>
        <v>0</v>
      </c>
      <c r="H33" s="1692">
        <f t="shared" si="1"/>
        <v>5074</v>
      </c>
      <c r="I33" s="1692">
        <f t="shared" si="1"/>
        <v>0</v>
      </c>
      <c r="J33" s="1692">
        <f t="shared" si="1"/>
        <v>0</v>
      </c>
      <c r="K33" s="1692">
        <f t="shared" si="1"/>
        <v>4033539</v>
      </c>
      <c r="L33" s="1692">
        <f t="shared" si="1"/>
        <v>3976409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146888</v>
      </c>
      <c r="D36" s="481">
        <v>13081</v>
      </c>
      <c r="E36" s="481"/>
      <c r="F36" s="481"/>
      <c r="G36" s="481"/>
      <c r="H36" s="481"/>
      <c r="I36" s="467"/>
      <c r="J36" s="467"/>
      <c r="K36" s="1693">
        <f t="shared" ref="K36:K41" si="2">SUM(C36:J36)</f>
        <v>159969</v>
      </c>
      <c r="L36" s="466">
        <v>158205</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52226</v>
      </c>
      <c r="D38" s="466"/>
      <c r="E38" s="466"/>
      <c r="F38" s="466">
        <v>228</v>
      </c>
      <c r="G38" s="466"/>
      <c r="H38" s="466"/>
      <c r="I38" s="467"/>
      <c r="J38" s="467"/>
      <c r="K38" s="1693">
        <f t="shared" si="2"/>
        <v>52454</v>
      </c>
      <c r="L38" s="466">
        <v>53787</v>
      </c>
    </row>
    <row r="39" spans="1:14" x14ac:dyDescent="0.2">
      <c r="A39" s="1526" t="s">
        <v>208</v>
      </c>
      <c r="B39" s="615">
        <v>2140</v>
      </c>
      <c r="C39" s="466"/>
      <c r="D39" s="466"/>
      <c r="E39" s="466">
        <v>11540</v>
      </c>
      <c r="F39" s="466"/>
      <c r="G39" s="466"/>
      <c r="H39" s="466"/>
      <c r="I39" s="467"/>
      <c r="J39" s="467"/>
      <c r="K39" s="1693">
        <f t="shared" si="2"/>
        <v>11540</v>
      </c>
      <c r="L39" s="466">
        <v>13767</v>
      </c>
    </row>
    <row r="40" spans="1:14" x14ac:dyDescent="0.2">
      <c r="A40" s="1526" t="s">
        <v>209</v>
      </c>
      <c r="B40" s="615">
        <v>2150</v>
      </c>
      <c r="C40" s="466">
        <v>141797</v>
      </c>
      <c r="D40" s="466">
        <v>5032</v>
      </c>
      <c r="E40" s="466"/>
      <c r="F40" s="466"/>
      <c r="G40" s="466"/>
      <c r="H40" s="466"/>
      <c r="I40" s="467"/>
      <c r="J40" s="467"/>
      <c r="K40" s="1693">
        <f t="shared" si="2"/>
        <v>146829</v>
      </c>
      <c r="L40" s="466">
        <v>142020</v>
      </c>
    </row>
    <row r="41" spans="1:14" x14ac:dyDescent="0.2">
      <c r="A41" s="1526" t="s">
        <v>1767</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340911</v>
      </c>
      <c r="D42" s="1692">
        <f t="shared" ref="D42:L42" si="3">SUM(D36:D41)</f>
        <v>18113</v>
      </c>
      <c r="E42" s="1692">
        <f t="shared" si="3"/>
        <v>11540</v>
      </c>
      <c r="F42" s="1692">
        <f t="shared" si="3"/>
        <v>228</v>
      </c>
      <c r="G42" s="1692">
        <f t="shared" si="3"/>
        <v>0</v>
      </c>
      <c r="H42" s="1692">
        <f t="shared" si="3"/>
        <v>0</v>
      </c>
      <c r="I42" s="1692">
        <f t="shared" si="3"/>
        <v>0</v>
      </c>
      <c r="J42" s="1692">
        <f t="shared" si="3"/>
        <v>0</v>
      </c>
      <c r="K42" s="1692">
        <f t="shared" si="3"/>
        <v>370792</v>
      </c>
      <c r="L42" s="1692">
        <f t="shared" si="3"/>
        <v>367779</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16528</v>
      </c>
      <c r="F44" s="481"/>
      <c r="G44" s="481"/>
      <c r="H44" s="481"/>
      <c r="I44" s="467"/>
      <c r="J44" s="467"/>
      <c r="K44" s="1694">
        <f>SUM(C44:J44)</f>
        <v>16528</v>
      </c>
      <c r="L44" s="481">
        <v>16220</v>
      </c>
    </row>
    <row r="45" spans="1:14" x14ac:dyDescent="0.2">
      <c r="A45" s="1526" t="s">
        <v>869</v>
      </c>
      <c r="B45" s="615">
        <v>2220</v>
      </c>
      <c r="C45" s="466">
        <v>74114</v>
      </c>
      <c r="D45" s="466">
        <v>859</v>
      </c>
      <c r="E45" s="466"/>
      <c r="F45" s="466">
        <v>1525</v>
      </c>
      <c r="G45" s="466"/>
      <c r="H45" s="466"/>
      <c r="I45" s="467"/>
      <c r="J45" s="467"/>
      <c r="K45" s="1694">
        <f>SUM(C45:J45)</f>
        <v>76498</v>
      </c>
      <c r="L45" s="466">
        <v>77987</v>
      </c>
    </row>
    <row r="46" spans="1:14" x14ac:dyDescent="0.2">
      <c r="A46" s="1526" t="s">
        <v>870</v>
      </c>
      <c r="B46" s="615">
        <v>2230</v>
      </c>
      <c r="C46" s="466"/>
      <c r="D46" s="466"/>
      <c r="E46" s="466"/>
      <c r="F46" s="466">
        <v>607</v>
      </c>
      <c r="G46" s="466"/>
      <c r="H46" s="466"/>
      <c r="I46" s="467"/>
      <c r="J46" s="467"/>
      <c r="K46" s="1694">
        <f>SUM(C46:J46)</f>
        <v>607</v>
      </c>
      <c r="L46" s="466"/>
    </row>
    <row r="47" spans="1:14" ht="12.75" customHeight="1" thickBot="1" x14ac:dyDescent="0.25">
      <c r="A47" s="1690" t="s">
        <v>582</v>
      </c>
      <c r="B47" s="1691" t="s">
        <v>32</v>
      </c>
      <c r="C47" s="1692">
        <f>SUM(C44:C46)</f>
        <v>74114</v>
      </c>
      <c r="D47" s="1692">
        <f t="shared" ref="D47:K47" si="4">SUM(D44:D46)</f>
        <v>859</v>
      </c>
      <c r="E47" s="1692">
        <f t="shared" si="4"/>
        <v>16528</v>
      </c>
      <c r="F47" s="1692">
        <f t="shared" si="4"/>
        <v>2132</v>
      </c>
      <c r="G47" s="1692">
        <f t="shared" si="4"/>
        <v>0</v>
      </c>
      <c r="H47" s="1692">
        <f t="shared" si="4"/>
        <v>0</v>
      </c>
      <c r="I47" s="1692">
        <f t="shared" si="4"/>
        <v>0</v>
      </c>
      <c r="J47" s="1692">
        <f t="shared" si="4"/>
        <v>0</v>
      </c>
      <c r="K47" s="1692">
        <f t="shared" si="4"/>
        <v>93633</v>
      </c>
      <c r="L47" s="1692">
        <f>SUM(L44:L46)</f>
        <v>94207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v>8951</v>
      </c>
      <c r="E49" s="481">
        <v>38458</v>
      </c>
      <c r="F49" s="481">
        <v>4781</v>
      </c>
      <c r="G49" s="481"/>
      <c r="H49" s="481"/>
      <c r="I49" s="467"/>
      <c r="J49" s="467"/>
      <c r="K49" s="1694">
        <f>SUM(C49:J49)</f>
        <v>52190</v>
      </c>
      <c r="L49" s="481">
        <v>43293</v>
      </c>
    </row>
    <row r="50" spans="1:14" x14ac:dyDescent="0.2">
      <c r="A50" s="1526" t="s">
        <v>872</v>
      </c>
      <c r="B50" s="615">
        <v>2320</v>
      </c>
      <c r="C50" s="466">
        <v>296436</v>
      </c>
      <c r="D50" s="466">
        <v>62659</v>
      </c>
      <c r="E50" s="466">
        <v>200</v>
      </c>
      <c r="F50" s="466">
        <v>125</v>
      </c>
      <c r="G50" s="466"/>
      <c r="H50" s="466">
        <v>10086</v>
      </c>
      <c r="I50" s="467"/>
      <c r="J50" s="467"/>
      <c r="K50" s="1694">
        <f>SUM(C50:J50)</f>
        <v>369506</v>
      </c>
      <c r="L50" s="466">
        <v>357020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296436</v>
      </c>
      <c r="D53" s="1692">
        <f t="shared" ref="D53:L53" si="5">SUM(D49:D52)</f>
        <v>71610</v>
      </c>
      <c r="E53" s="1692">
        <f t="shared" si="5"/>
        <v>38658</v>
      </c>
      <c r="F53" s="1692">
        <f t="shared" si="5"/>
        <v>4906</v>
      </c>
      <c r="G53" s="1692">
        <f t="shared" si="5"/>
        <v>0</v>
      </c>
      <c r="H53" s="1692">
        <f t="shared" si="5"/>
        <v>10086</v>
      </c>
      <c r="I53" s="1692">
        <f t="shared" si="5"/>
        <v>0</v>
      </c>
      <c r="J53" s="1692">
        <f t="shared" si="5"/>
        <v>0</v>
      </c>
      <c r="K53" s="1692">
        <f t="shared" si="5"/>
        <v>421696</v>
      </c>
      <c r="L53" s="1692">
        <f t="shared" si="5"/>
        <v>400313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380853</v>
      </c>
      <c r="D55" s="481">
        <v>93485</v>
      </c>
      <c r="E55" s="481">
        <v>617</v>
      </c>
      <c r="F55" s="481">
        <v>24</v>
      </c>
      <c r="G55" s="481"/>
      <c r="H55" s="481">
        <v>779</v>
      </c>
      <c r="I55" s="467"/>
      <c r="J55" s="467"/>
      <c r="K55" s="1694">
        <f>SUM(C55:J55)</f>
        <v>475758</v>
      </c>
      <c r="L55" s="481">
        <v>483640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380853</v>
      </c>
      <c r="D57" s="1696">
        <f t="shared" ref="D57:K57" si="6">SUM(D55:D56)</f>
        <v>93485</v>
      </c>
      <c r="E57" s="1696">
        <f t="shared" si="6"/>
        <v>617</v>
      </c>
      <c r="F57" s="1696">
        <f t="shared" si="6"/>
        <v>24</v>
      </c>
      <c r="G57" s="1696">
        <f t="shared" si="6"/>
        <v>0</v>
      </c>
      <c r="H57" s="1696">
        <f t="shared" si="6"/>
        <v>779</v>
      </c>
      <c r="I57" s="1696">
        <f t="shared" si="6"/>
        <v>0</v>
      </c>
      <c r="J57" s="1696">
        <f t="shared" si="6"/>
        <v>0</v>
      </c>
      <c r="K57" s="1696">
        <f t="shared" si="6"/>
        <v>475758</v>
      </c>
      <c r="L57" s="1692">
        <f>SUM(L55:L56)</f>
        <v>483640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v>43314</v>
      </c>
      <c r="F60" s="466"/>
      <c r="G60" s="466"/>
      <c r="H60" s="466"/>
      <c r="I60" s="467"/>
      <c r="J60" s="467"/>
      <c r="K60" s="1694">
        <f t="shared" si="7"/>
        <v>43314</v>
      </c>
      <c r="L60" s="466">
        <v>39014</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v>87916</v>
      </c>
      <c r="G63" s="466"/>
      <c r="H63" s="466"/>
      <c r="I63" s="467"/>
      <c r="J63" s="467"/>
      <c r="K63" s="1694">
        <f t="shared" si="7"/>
        <v>87916</v>
      </c>
      <c r="L63" s="466">
        <v>97074</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0</v>
      </c>
      <c r="D65" s="1692">
        <f t="shared" ref="D65:L65" si="8">SUM(D59:D64)</f>
        <v>0</v>
      </c>
      <c r="E65" s="1692">
        <f t="shared" si="8"/>
        <v>43314</v>
      </c>
      <c r="F65" s="1692">
        <f t="shared" si="8"/>
        <v>87916</v>
      </c>
      <c r="G65" s="1692">
        <f t="shared" si="8"/>
        <v>0</v>
      </c>
      <c r="H65" s="1692">
        <f t="shared" si="8"/>
        <v>0</v>
      </c>
      <c r="I65" s="1692">
        <f t="shared" si="8"/>
        <v>0</v>
      </c>
      <c r="J65" s="1692">
        <f t="shared" si="8"/>
        <v>0</v>
      </c>
      <c r="K65" s="1692">
        <f t="shared" si="8"/>
        <v>131230</v>
      </c>
      <c r="L65" s="1692">
        <f t="shared" si="8"/>
        <v>136088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v>190835</v>
      </c>
      <c r="F71" s="466">
        <v>45344</v>
      </c>
      <c r="G71" s="466">
        <v>54807</v>
      </c>
      <c r="H71" s="466"/>
      <c r="I71" s="467"/>
      <c r="J71" s="467"/>
      <c r="K71" s="1694">
        <f>SUM(C71:J71)</f>
        <v>290986</v>
      </c>
      <c r="L71" s="466">
        <v>247949</v>
      </c>
      <c r="M71" s="610"/>
      <c r="N71" s="610"/>
    </row>
    <row r="72" spans="1:14" s="343" customFormat="1" ht="12.75" customHeight="1" thickBot="1" x14ac:dyDescent="0.25">
      <c r="A72" s="1690" t="s">
        <v>37</v>
      </c>
      <c r="B72" s="1697" t="s">
        <v>36</v>
      </c>
      <c r="C72" s="1692">
        <f>SUM(C67:C71)</f>
        <v>0</v>
      </c>
      <c r="D72" s="1692">
        <f t="shared" ref="D72:K72" si="9">SUM(D67:D71)</f>
        <v>0</v>
      </c>
      <c r="E72" s="1692">
        <f t="shared" si="9"/>
        <v>190835</v>
      </c>
      <c r="F72" s="1692">
        <f t="shared" si="9"/>
        <v>45344</v>
      </c>
      <c r="G72" s="1692">
        <f t="shared" si="9"/>
        <v>54807</v>
      </c>
      <c r="H72" s="1692">
        <f t="shared" si="9"/>
        <v>0</v>
      </c>
      <c r="I72" s="1692">
        <f t="shared" si="9"/>
        <v>0</v>
      </c>
      <c r="J72" s="1692">
        <f t="shared" si="9"/>
        <v>0</v>
      </c>
      <c r="K72" s="1692">
        <f t="shared" si="9"/>
        <v>290986</v>
      </c>
      <c r="L72" s="1692">
        <f>SUM(L67:L71)</f>
        <v>247949</v>
      </c>
      <c r="M72" s="610"/>
      <c r="N72" s="610"/>
    </row>
    <row r="73" spans="1:14" s="343" customFormat="1" ht="14.25" thickTop="1" thickBot="1" x14ac:dyDescent="0.25">
      <c r="A73" s="1532" t="s">
        <v>1037</v>
      </c>
      <c r="B73" s="633" t="s">
        <v>595</v>
      </c>
      <c r="C73" s="573"/>
      <c r="D73" s="573"/>
      <c r="E73" s="573"/>
      <c r="F73" s="573">
        <v>555</v>
      </c>
      <c r="G73" s="573"/>
      <c r="H73" s="573"/>
      <c r="I73" s="531"/>
      <c r="J73" s="531"/>
      <c r="K73" s="1692">
        <f>SUM(C73:J73)</f>
        <v>555</v>
      </c>
      <c r="L73" s="576">
        <v>1109</v>
      </c>
      <c r="M73" s="610"/>
      <c r="N73" s="610"/>
    </row>
    <row r="74" spans="1:14" ht="12.75" customHeight="1" thickTop="1" thickBot="1" x14ac:dyDescent="0.25">
      <c r="A74" s="1690" t="s">
        <v>865</v>
      </c>
      <c r="B74" s="1698">
        <v>2000</v>
      </c>
      <c r="C74" s="1699">
        <f>SUM(C42,C47,C53,C57,C65,C72,C73)</f>
        <v>1092314</v>
      </c>
      <c r="D74" s="1699">
        <f t="shared" ref="D74:K74" si="10">SUM(D42,D47,D53,D57,D65,D72,D73)</f>
        <v>184067</v>
      </c>
      <c r="E74" s="1699">
        <f t="shared" si="10"/>
        <v>301492</v>
      </c>
      <c r="F74" s="1699">
        <f t="shared" si="10"/>
        <v>141105</v>
      </c>
      <c r="G74" s="1699">
        <f t="shared" si="10"/>
        <v>54807</v>
      </c>
      <c r="H74" s="1699">
        <f t="shared" si="10"/>
        <v>10865</v>
      </c>
      <c r="I74" s="1699">
        <f t="shared" si="10"/>
        <v>0</v>
      </c>
      <c r="J74" s="1699">
        <f t="shared" si="10"/>
        <v>0</v>
      </c>
      <c r="K74" s="1699">
        <f t="shared" si="10"/>
        <v>1784650</v>
      </c>
      <c r="L74" s="1699">
        <f>SUM(L42,L47,L53,L57,L65,L72,L73)</f>
        <v>1731085</v>
      </c>
    </row>
    <row r="75" spans="1:14" s="259" customFormat="1" ht="15.75" customHeight="1" thickTop="1" thickBot="1" x14ac:dyDescent="0.25">
      <c r="A75" s="1632" t="s">
        <v>49</v>
      </c>
      <c r="B75" s="1633" t="s">
        <v>596</v>
      </c>
      <c r="C75" s="573">
        <v>21867</v>
      </c>
      <c r="D75" s="573">
        <v>319</v>
      </c>
      <c r="E75" s="573">
        <v>81</v>
      </c>
      <c r="F75" s="573">
        <v>141</v>
      </c>
      <c r="G75" s="573"/>
      <c r="H75" s="573"/>
      <c r="I75" s="531"/>
      <c r="J75" s="531"/>
      <c r="K75" s="1692">
        <f>SUM(C75:J75)</f>
        <v>22408</v>
      </c>
      <c r="L75" s="576">
        <v>24885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15432</v>
      </c>
      <c r="I79" s="477"/>
      <c r="J79" s="477"/>
      <c r="K79" s="1693">
        <f t="shared" si="11"/>
        <v>15432</v>
      </c>
      <c r="L79" s="466">
        <v>16884</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15432</v>
      </c>
      <c r="I84" s="477"/>
      <c r="J84" s="477"/>
      <c r="K84" s="1692">
        <f>SUM(K78:K83)</f>
        <v>15432</v>
      </c>
      <c r="L84" s="1692">
        <f>SUM(L78:L83)</f>
        <v>16884</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925985</v>
      </c>
      <c r="I86" s="477"/>
      <c r="J86" s="477"/>
      <c r="K86" s="1699">
        <f t="shared" ref="K86:K98" si="12">H86</f>
        <v>925985</v>
      </c>
      <c r="L86" s="530">
        <v>856653</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925985</v>
      </c>
      <c r="I92" s="477"/>
      <c r="J92" s="477"/>
      <c r="K92" s="1699">
        <f t="shared" si="12"/>
        <v>925985</v>
      </c>
      <c r="L92" s="1692">
        <f>SUM(L85:L91)</f>
        <v>856653</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941417</v>
      </c>
      <c r="I102" s="477"/>
      <c r="J102" s="477"/>
      <c r="K102" s="1699">
        <f>SUM(K84,K92,K100,K101)</f>
        <v>941417</v>
      </c>
      <c r="L102" s="1699">
        <f>SUM(L84,L92,L100,L101)</f>
        <v>873537</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4113360</v>
      </c>
      <c r="D114" s="1692">
        <f t="shared" ref="D114:K114" si="13">SUM(D33,D74,D75,D102,D112,D113)</f>
        <v>915843</v>
      </c>
      <c r="E114" s="1692">
        <f t="shared" si="13"/>
        <v>309575</v>
      </c>
      <c r="F114" s="1692">
        <f t="shared" si="13"/>
        <v>431073</v>
      </c>
      <c r="G114" s="1692">
        <f t="shared" si="13"/>
        <v>54807</v>
      </c>
      <c r="H114" s="1692">
        <f>SUM(H33,H74,H75,H102,H112,H113)</f>
        <v>957356</v>
      </c>
      <c r="I114" s="1692">
        <f t="shared" si="13"/>
        <v>0</v>
      </c>
      <c r="J114" s="1692">
        <f t="shared" si="13"/>
        <v>0</v>
      </c>
      <c r="K114" s="1692">
        <f t="shared" si="13"/>
        <v>6782014</v>
      </c>
      <c r="L114" s="1692">
        <f>SUM(L33,L74,L75,L102,L112,L113)</f>
        <v>6605916</v>
      </c>
    </row>
    <row r="115" spans="1:14" ht="13.5" thickTop="1" x14ac:dyDescent="0.2">
      <c r="A115" s="2197" t="s">
        <v>1053</v>
      </c>
      <c r="B115" s="2198"/>
      <c r="C115" s="619"/>
      <c r="D115" s="619"/>
      <c r="E115" s="619"/>
      <c r="F115" s="619"/>
      <c r="G115" s="619"/>
      <c r="H115" s="619"/>
      <c r="I115" s="619"/>
      <c r="J115" s="619"/>
      <c r="K115" s="1706">
        <f>'Revenues 9-14'!C275-'Expenditures 15-22'!K114</f>
        <v>424035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v>2700</v>
      </c>
      <c r="H123" s="466"/>
      <c r="I123" s="467"/>
      <c r="J123" s="467"/>
      <c r="K123" s="1692">
        <f>SUM(C123:J123)</f>
        <v>2700</v>
      </c>
      <c r="L123" s="466"/>
    </row>
    <row r="124" spans="1:14" ht="14.25" thickTop="1" thickBot="1" x14ac:dyDescent="0.25">
      <c r="A124" s="1526" t="s">
        <v>206</v>
      </c>
      <c r="B124" s="615">
        <v>2540</v>
      </c>
      <c r="C124" s="466">
        <v>201622</v>
      </c>
      <c r="D124" s="466">
        <v>-4880</v>
      </c>
      <c r="E124" s="466">
        <v>92245</v>
      </c>
      <c r="F124" s="466">
        <v>142256</v>
      </c>
      <c r="G124" s="466">
        <v>14669</v>
      </c>
      <c r="H124" s="466"/>
      <c r="I124" s="467"/>
      <c r="J124" s="467"/>
      <c r="K124" s="1692">
        <f>SUM(C124:J124)</f>
        <v>445912</v>
      </c>
      <c r="L124" s="466">
        <v>480539</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201622</v>
      </c>
      <c r="D127" s="1692">
        <f t="shared" ref="D127:L127" si="14">SUM(D122:D126)</f>
        <v>-4880</v>
      </c>
      <c r="E127" s="1692">
        <f t="shared" si="14"/>
        <v>92245</v>
      </c>
      <c r="F127" s="1692">
        <f t="shared" si="14"/>
        <v>142256</v>
      </c>
      <c r="G127" s="1692">
        <f t="shared" si="14"/>
        <v>17369</v>
      </c>
      <c r="H127" s="1692">
        <f t="shared" si="14"/>
        <v>0</v>
      </c>
      <c r="I127" s="1692">
        <f t="shared" si="14"/>
        <v>0</v>
      </c>
      <c r="J127" s="1692">
        <f t="shared" si="14"/>
        <v>0</v>
      </c>
      <c r="K127" s="1692">
        <f t="shared" si="14"/>
        <v>448612</v>
      </c>
      <c r="L127" s="1692">
        <f t="shared" si="14"/>
        <v>480539</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201622</v>
      </c>
      <c r="D129" s="1699">
        <f t="shared" ref="D129:L129" si="15">SUM(D120,D127,D128)</f>
        <v>-4880</v>
      </c>
      <c r="E129" s="1699">
        <f t="shared" si="15"/>
        <v>92245</v>
      </c>
      <c r="F129" s="1699">
        <f t="shared" si="15"/>
        <v>142256</v>
      </c>
      <c r="G129" s="1699">
        <f t="shared" si="15"/>
        <v>17369</v>
      </c>
      <c r="H129" s="1699">
        <f t="shared" si="15"/>
        <v>0</v>
      </c>
      <c r="I129" s="1699">
        <f t="shared" si="15"/>
        <v>0</v>
      </c>
      <c r="J129" s="1699">
        <f t="shared" si="15"/>
        <v>0</v>
      </c>
      <c r="K129" s="1699">
        <f t="shared" si="15"/>
        <v>448612</v>
      </c>
      <c r="L129" s="1699">
        <f t="shared" si="15"/>
        <v>480539</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1955</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9"/>
      <c r="C151" s="1692">
        <f>SUM(C129,C130,C139,C149,C150)</f>
        <v>201622</v>
      </c>
      <c r="D151" s="1692">
        <f t="shared" ref="D151:K151" si="16">SUM(D129,D130,D139,D149,D150)</f>
        <v>-4880</v>
      </c>
      <c r="E151" s="1692">
        <f t="shared" si="16"/>
        <v>92245</v>
      </c>
      <c r="F151" s="1692">
        <f t="shared" si="16"/>
        <v>142256</v>
      </c>
      <c r="G151" s="1692">
        <f t="shared" si="16"/>
        <v>17369</v>
      </c>
      <c r="H151" s="1692">
        <f t="shared" si="16"/>
        <v>0</v>
      </c>
      <c r="I151" s="1692">
        <f t="shared" si="16"/>
        <v>0</v>
      </c>
      <c r="J151" s="1692">
        <f t="shared" si="16"/>
        <v>0</v>
      </c>
      <c r="K151" s="1692">
        <f t="shared" si="16"/>
        <v>448612</v>
      </c>
      <c r="L151" s="1692">
        <f>SUM(L129,L130,L139,L149,L150)</f>
        <v>480539</v>
      </c>
    </row>
    <row r="152" spans="1:14" ht="12.75" customHeight="1" thickTop="1" x14ac:dyDescent="0.2">
      <c r="A152" s="2190" t="s">
        <v>1240</v>
      </c>
      <c r="B152" s="2191"/>
      <c r="C152" s="619"/>
      <c r="D152" s="619"/>
      <c r="E152" s="619"/>
      <c r="F152" s="619"/>
      <c r="G152" s="619"/>
      <c r="H152" s="619"/>
      <c r="I152" s="619"/>
      <c r="J152" s="617"/>
      <c r="K152" s="1706">
        <f>'Revenues 9-14'!D275-'Expenditures 15-22'!K151</f>
        <v>103973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1956</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1955</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1957</v>
      </c>
      <c r="C158" s="617"/>
      <c r="D158" s="617"/>
      <c r="E158" s="617"/>
      <c r="F158" s="617"/>
      <c r="G158" s="617"/>
      <c r="H158" s="467"/>
      <c r="I158" s="617"/>
      <c r="J158" s="617"/>
      <c r="K158" s="1693">
        <f>H158</f>
        <v>0</v>
      </c>
      <c r="L158" s="467"/>
      <c r="M158" s="620"/>
      <c r="N158" s="620"/>
    </row>
    <row r="159" spans="1:14" s="621" customFormat="1" ht="12" x14ac:dyDescent="0.2">
      <c r="A159" s="1849" t="s">
        <v>1958</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1959</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338980</v>
      </c>
      <c r="I169" s="617"/>
      <c r="J169" s="617"/>
      <c r="K169" s="1693">
        <f>SUM(C169:H169)</f>
        <v>338980</v>
      </c>
      <c r="L169" s="657">
        <v>340000</v>
      </c>
    </row>
    <row r="170" spans="1:14" ht="33.75" customHeight="1" x14ac:dyDescent="0.2">
      <c r="A170" s="670" t="s">
        <v>1768</v>
      </c>
      <c r="B170" s="672" t="s">
        <v>31</v>
      </c>
      <c r="C170" s="617"/>
      <c r="D170" s="617"/>
      <c r="E170" s="617"/>
      <c r="F170" s="617"/>
      <c r="G170" s="617"/>
      <c r="H170" s="569">
        <v>425810</v>
      </c>
      <c r="I170" s="617"/>
      <c r="J170" s="617"/>
      <c r="K170" s="1693">
        <f>SUM(C170:J170)</f>
        <v>425810</v>
      </c>
      <c r="L170" s="569">
        <v>430000</v>
      </c>
    </row>
    <row r="171" spans="1:14" ht="15.75" customHeight="1" x14ac:dyDescent="0.2">
      <c r="A171" s="622" t="s">
        <v>790</v>
      </c>
      <c r="B171" s="673" t="s">
        <v>86</v>
      </c>
      <c r="C171" s="617"/>
      <c r="D171" s="617"/>
      <c r="E171" s="466">
        <v>11586</v>
      </c>
      <c r="F171" s="617"/>
      <c r="G171" s="617"/>
      <c r="H171" s="569"/>
      <c r="I171" s="477"/>
      <c r="J171" s="617"/>
      <c r="K171" s="1693">
        <f>SUM(C171:J171)</f>
        <v>11586</v>
      </c>
      <c r="L171" s="569">
        <v>12610</v>
      </c>
    </row>
    <row r="172" spans="1:14" ht="12.75" customHeight="1" thickBot="1" x14ac:dyDescent="0.25">
      <c r="A172" s="1690" t="s">
        <v>659</v>
      </c>
      <c r="B172" s="1691" t="s">
        <v>513</v>
      </c>
      <c r="C172" s="617"/>
      <c r="D172" s="617"/>
      <c r="E172" s="1699">
        <f>SUM(E168,E169,E170,E171)</f>
        <v>11586</v>
      </c>
      <c r="F172" s="617"/>
      <c r="G172" s="617"/>
      <c r="H172" s="1699">
        <f>SUM(H168,H169,H170,H171)</f>
        <v>764790</v>
      </c>
      <c r="I172" s="639"/>
      <c r="J172" s="617"/>
      <c r="K172" s="1699">
        <f>SUM(K168,K169,K170,K171)</f>
        <v>776376</v>
      </c>
      <c r="L172" s="1699">
        <f>SUM(L168,L169,L170,L171)</f>
        <v>782610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11586</v>
      </c>
      <c r="F174" s="617"/>
      <c r="G174" s="617"/>
      <c r="H174" s="1699">
        <f>SUM(H160,H172,H173)</f>
        <v>764790</v>
      </c>
      <c r="I174" s="639"/>
      <c r="J174" s="617"/>
      <c r="K174" s="1699">
        <f>SUM(K160,K172,K173)</f>
        <v>776376</v>
      </c>
      <c r="L174" s="1699">
        <f>SUM(L160,L172,L173)</f>
        <v>782610</v>
      </c>
    </row>
    <row r="175" spans="1:14" ht="13.5" thickTop="1" x14ac:dyDescent="0.2">
      <c r="A175" s="2197" t="s">
        <v>1053</v>
      </c>
      <c r="B175" s="2198"/>
      <c r="C175" s="617"/>
      <c r="D175" s="617"/>
      <c r="E175" s="617"/>
      <c r="F175" s="617"/>
      <c r="G175" s="617"/>
      <c r="H175" s="619"/>
      <c r="I175" s="617"/>
      <c r="J175" s="617"/>
      <c r="K175" s="1706">
        <f>'Revenues 9-14'!E275-'Expenditures 15-22'!K174</f>
        <v>31078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17915</v>
      </c>
      <c r="D182" s="466">
        <v>1682</v>
      </c>
      <c r="E182" s="466">
        <v>622688</v>
      </c>
      <c r="F182" s="466"/>
      <c r="G182" s="466"/>
      <c r="H182" s="466"/>
      <c r="I182" s="467"/>
      <c r="J182" s="467"/>
      <c r="K182" s="1693">
        <f>SUM(C182:J182)</f>
        <v>642285</v>
      </c>
      <c r="L182" s="466">
        <v>604463</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17915</v>
      </c>
      <c r="D184" s="1699">
        <f t="shared" ref="D184:J184" si="17">SUM(D180,D182,D183)</f>
        <v>1682</v>
      </c>
      <c r="E184" s="1699">
        <f t="shared" si="17"/>
        <v>622688</v>
      </c>
      <c r="F184" s="1699">
        <f t="shared" si="17"/>
        <v>0</v>
      </c>
      <c r="G184" s="1699">
        <f t="shared" si="17"/>
        <v>0</v>
      </c>
      <c r="H184" s="1699">
        <f t="shared" si="17"/>
        <v>0</v>
      </c>
      <c r="I184" s="1699">
        <f t="shared" si="17"/>
        <v>0</v>
      </c>
      <c r="J184" s="1699">
        <f t="shared" si="17"/>
        <v>0</v>
      </c>
      <c r="K184" s="1699">
        <f>SUM(K180,K182,K183)</f>
        <v>642285</v>
      </c>
      <c r="L184" s="1699">
        <f>SUM(L180, L182:L183)</f>
        <v>604463</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1769</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17915</v>
      </c>
      <c r="D210" s="1692">
        <f>SUM(D184,D185)</f>
        <v>1682</v>
      </c>
      <c r="E210" s="1692">
        <f>SUM(E184,E185,E196)</f>
        <v>622688</v>
      </c>
      <c r="F210" s="1692">
        <f>SUM(F184,F185)</f>
        <v>0</v>
      </c>
      <c r="G210" s="1692">
        <f>SUM(G184,G185)</f>
        <v>0</v>
      </c>
      <c r="H210" s="1692">
        <f>SUM(H184,H185,H196,H208,H209)</f>
        <v>0</v>
      </c>
      <c r="I210" s="1692">
        <f>SUM(I184,I185)</f>
        <v>0</v>
      </c>
      <c r="J210" s="1692">
        <f>SUM(J184,J185)</f>
        <v>0</v>
      </c>
      <c r="K210" s="1693">
        <f>SUM(K184,K185,K196,K208,K209)</f>
        <v>642285</v>
      </c>
      <c r="L210" s="1692">
        <f>SUM(L184,L185,L196,L208,L209)</f>
        <v>604463</v>
      </c>
    </row>
    <row r="211" spans="1:14" ht="13.5" thickTop="1" x14ac:dyDescent="0.2">
      <c r="A211" s="2197" t="s">
        <v>1053</v>
      </c>
      <c r="B211" s="2198"/>
      <c r="C211" s="619"/>
      <c r="D211" s="619"/>
      <c r="E211" s="619"/>
      <c r="F211" s="619"/>
      <c r="G211" s="619"/>
      <c r="H211" s="619"/>
      <c r="I211" s="617"/>
      <c r="J211" s="617"/>
      <c r="K211" s="1706">
        <f>'Revenues 9-14'!F275-'Expenditures 15-22'!K210</f>
        <v>570913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57903</v>
      </c>
      <c r="E215" s="617"/>
      <c r="F215" s="617"/>
      <c r="G215" s="617"/>
      <c r="H215" s="617"/>
      <c r="I215" s="617"/>
      <c r="J215" s="617"/>
      <c r="K215" s="1693">
        <f>D215</f>
        <v>57903</v>
      </c>
      <c r="L215" s="466">
        <v>58173</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24899</v>
      </c>
      <c r="E217" s="617"/>
      <c r="F217" s="617"/>
      <c r="G217" s="617"/>
      <c r="H217" s="617"/>
      <c r="I217" s="617"/>
      <c r="J217" s="617"/>
      <c r="K217" s="1693">
        <f t="shared" si="19"/>
        <v>24899</v>
      </c>
      <c r="L217" s="466">
        <v>25680</v>
      </c>
    </row>
    <row r="218" spans="1:14" x14ac:dyDescent="0.2">
      <c r="A218" s="1526" t="s">
        <v>296</v>
      </c>
      <c r="B218" s="615" t="s">
        <v>1025</v>
      </c>
      <c r="C218" s="617"/>
      <c r="D218" s="467">
        <v>1875</v>
      </c>
      <c r="E218" s="617"/>
      <c r="F218" s="617"/>
      <c r="G218" s="617"/>
      <c r="H218" s="617"/>
      <c r="I218" s="617"/>
      <c r="J218" s="617"/>
      <c r="K218" s="1693">
        <f t="shared" si="19"/>
        <v>1875</v>
      </c>
      <c r="L218" s="466">
        <v>2189</v>
      </c>
    </row>
    <row r="219" spans="1:14" x14ac:dyDescent="0.2">
      <c r="A219" s="1526" t="s">
        <v>297</v>
      </c>
      <c r="B219" s="615">
        <v>1250</v>
      </c>
      <c r="C219" s="617"/>
      <c r="D219" s="466">
        <v>4092</v>
      </c>
      <c r="E219" s="617"/>
      <c r="F219" s="617"/>
      <c r="G219" s="617"/>
      <c r="H219" s="617"/>
      <c r="I219" s="617"/>
      <c r="J219" s="617"/>
      <c r="K219" s="1693">
        <f t="shared" si="19"/>
        <v>4092</v>
      </c>
      <c r="L219" s="466">
        <v>4661</v>
      </c>
    </row>
    <row r="220" spans="1:14" x14ac:dyDescent="0.2">
      <c r="A220" s="1526" t="s">
        <v>298</v>
      </c>
      <c r="B220" s="615" t="s">
        <v>163</v>
      </c>
      <c r="C220" s="617"/>
      <c r="D220" s="467">
        <v>1581</v>
      </c>
      <c r="E220" s="617"/>
      <c r="F220" s="617"/>
      <c r="G220" s="617"/>
      <c r="H220" s="617"/>
      <c r="I220" s="617"/>
      <c r="J220" s="617"/>
      <c r="K220" s="1693">
        <f t="shared" si="19"/>
        <v>1581</v>
      </c>
      <c r="L220" s="466">
        <v>2309</v>
      </c>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3005</v>
      </c>
      <c r="E223" s="617"/>
      <c r="F223" s="617"/>
      <c r="G223" s="617"/>
      <c r="H223" s="617"/>
      <c r="I223" s="617"/>
      <c r="J223" s="617"/>
      <c r="K223" s="1693">
        <f t="shared" si="19"/>
        <v>3005</v>
      </c>
      <c r="L223" s="466">
        <v>2238</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v>815</v>
      </c>
      <c r="E227" s="617"/>
      <c r="F227" s="617"/>
      <c r="G227" s="617"/>
      <c r="H227" s="617"/>
      <c r="I227" s="617"/>
      <c r="J227" s="617"/>
      <c r="K227" s="1693">
        <f t="shared" si="19"/>
        <v>815</v>
      </c>
      <c r="L227" s="466">
        <v>791</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94170</v>
      </c>
      <c r="E229" s="617"/>
      <c r="F229" s="617"/>
      <c r="G229" s="617"/>
      <c r="H229" s="617"/>
      <c r="I229" s="617"/>
      <c r="J229" s="617"/>
      <c r="K229" s="1692">
        <f>SUM(K215:K228)</f>
        <v>94170</v>
      </c>
      <c r="L229" s="1692">
        <f>SUM(L215:L228)</f>
        <v>96041</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2110</v>
      </c>
      <c r="E232" s="617"/>
      <c r="F232" s="617"/>
      <c r="G232" s="617"/>
      <c r="H232" s="617"/>
      <c r="I232" s="617"/>
      <c r="J232" s="617"/>
      <c r="K232" s="1693">
        <f t="shared" ref="K232:K237" si="20">D232</f>
        <v>2110</v>
      </c>
      <c r="L232" s="466">
        <v>2108</v>
      </c>
    </row>
    <row r="233" spans="1:12" x14ac:dyDescent="0.2">
      <c r="A233" s="1526" t="s">
        <v>1151</v>
      </c>
      <c r="B233" s="615">
        <v>2120</v>
      </c>
      <c r="C233" s="617"/>
      <c r="D233" s="466">
        <v>0</v>
      </c>
      <c r="E233" s="617"/>
      <c r="F233" s="617"/>
      <c r="G233" s="617"/>
      <c r="H233" s="617"/>
      <c r="I233" s="617"/>
      <c r="J233" s="617"/>
      <c r="K233" s="1693">
        <f t="shared" si="20"/>
        <v>0</v>
      </c>
      <c r="L233" s="466"/>
    </row>
    <row r="234" spans="1:12" x14ac:dyDescent="0.2">
      <c r="A234" s="1526" t="s">
        <v>207</v>
      </c>
      <c r="B234" s="615">
        <v>2130</v>
      </c>
      <c r="C234" s="617"/>
      <c r="D234" s="466">
        <v>8662</v>
      </c>
      <c r="E234" s="617"/>
      <c r="F234" s="617"/>
      <c r="G234" s="617"/>
      <c r="H234" s="617"/>
      <c r="I234" s="617"/>
      <c r="J234" s="617"/>
      <c r="K234" s="1693">
        <f t="shared" si="20"/>
        <v>8662</v>
      </c>
      <c r="L234" s="466">
        <v>9144</v>
      </c>
    </row>
    <row r="235" spans="1:12" x14ac:dyDescent="0.2">
      <c r="A235" s="1526" t="s">
        <v>208</v>
      </c>
      <c r="B235" s="615">
        <v>2140</v>
      </c>
      <c r="C235" s="617"/>
      <c r="D235" s="466">
        <v>0</v>
      </c>
      <c r="E235" s="617"/>
      <c r="F235" s="617"/>
      <c r="G235" s="617"/>
      <c r="H235" s="617"/>
      <c r="I235" s="617"/>
      <c r="J235" s="617"/>
      <c r="K235" s="1693">
        <f t="shared" si="20"/>
        <v>0</v>
      </c>
      <c r="L235" s="466"/>
    </row>
    <row r="236" spans="1:12" x14ac:dyDescent="0.2">
      <c r="A236" s="1526" t="s">
        <v>209</v>
      </c>
      <c r="B236" s="615">
        <v>2150</v>
      </c>
      <c r="C236" s="617"/>
      <c r="D236" s="466">
        <v>2050</v>
      </c>
      <c r="E236" s="617"/>
      <c r="F236" s="617"/>
      <c r="G236" s="617"/>
      <c r="H236" s="617"/>
      <c r="I236" s="617"/>
      <c r="J236" s="617"/>
      <c r="K236" s="1693">
        <f t="shared" si="20"/>
        <v>2050</v>
      </c>
      <c r="L236" s="466">
        <v>2069</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12822</v>
      </c>
      <c r="E238" s="617"/>
      <c r="F238" s="617"/>
      <c r="G238" s="617"/>
      <c r="H238" s="617"/>
      <c r="I238" s="617"/>
      <c r="J238" s="617"/>
      <c r="K238" s="1692">
        <f>SUM(K232:K237)</f>
        <v>12822</v>
      </c>
      <c r="L238" s="1692">
        <f>SUM(L232:L237)</f>
        <v>13321</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0</v>
      </c>
      <c r="E240" s="617"/>
      <c r="F240" s="617"/>
      <c r="G240" s="617"/>
      <c r="H240" s="617"/>
      <c r="I240" s="617"/>
      <c r="J240" s="617"/>
      <c r="K240" s="1694">
        <f>D240</f>
        <v>0</v>
      </c>
      <c r="L240" s="481"/>
    </row>
    <row r="241" spans="1:12" x14ac:dyDescent="0.2">
      <c r="A241" s="1526" t="s">
        <v>869</v>
      </c>
      <c r="B241" s="615">
        <v>2220</v>
      </c>
      <c r="C241" s="617"/>
      <c r="D241" s="466">
        <v>3387</v>
      </c>
      <c r="E241" s="617"/>
      <c r="F241" s="617"/>
      <c r="G241" s="617"/>
      <c r="H241" s="617"/>
      <c r="I241" s="617"/>
      <c r="J241" s="617"/>
      <c r="K241" s="1694">
        <f>D241</f>
        <v>3387</v>
      </c>
      <c r="L241" s="466">
        <v>3522</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3387</v>
      </c>
      <c r="E243" s="617"/>
      <c r="F243" s="617"/>
      <c r="G243" s="617"/>
      <c r="H243" s="617"/>
      <c r="I243" s="617"/>
      <c r="J243" s="617"/>
      <c r="K243" s="1692">
        <f>SUM(K240:K242)</f>
        <v>3387</v>
      </c>
      <c r="L243" s="1692">
        <f>SUM(L240:L242)</f>
        <v>3522</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4">
        <f>D245</f>
        <v>0</v>
      </c>
      <c r="L245" s="481"/>
    </row>
    <row r="246" spans="1:12" x14ac:dyDescent="0.2">
      <c r="A246" s="1526" t="s">
        <v>872</v>
      </c>
      <c r="B246" s="615">
        <v>2320</v>
      </c>
      <c r="C246" s="617"/>
      <c r="D246" s="466">
        <v>21915</v>
      </c>
      <c r="E246" s="617"/>
      <c r="F246" s="617"/>
      <c r="G246" s="617"/>
      <c r="H246" s="617"/>
      <c r="I246" s="617"/>
      <c r="J246" s="617"/>
      <c r="K246" s="1694">
        <f t="shared" ref="K246:K256" si="21">D246</f>
        <v>21915</v>
      </c>
      <c r="L246" s="466">
        <v>22090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1907</v>
      </c>
      <c r="B249" s="684" t="s">
        <v>300</v>
      </c>
      <c r="C249" s="617"/>
      <c r="D249" s="474"/>
      <c r="E249" s="617"/>
      <c r="F249" s="617"/>
      <c r="G249" s="617"/>
      <c r="H249" s="617"/>
      <c r="I249" s="617"/>
      <c r="J249" s="617"/>
      <c r="K249" s="1694">
        <f t="shared" si="21"/>
        <v>0</v>
      </c>
      <c r="L249" s="466"/>
    </row>
    <row r="250" spans="1:12" x14ac:dyDescent="0.2">
      <c r="A250" s="1527" t="s">
        <v>1908</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21915</v>
      </c>
      <c r="E257" s="617"/>
      <c r="F257" s="617"/>
      <c r="G257" s="617"/>
      <c r="H257" s="617"/>
      <c r="I257" s="617"/>
      <c r="J257" s="617"/>
      <c r="K257" s="1692">
        <f>SUM(K245:K256)</f>
        <v>21915</v>
      </c>
      <c r="L257" s="1692">
        <f>SUM(L245:L256)</f>
        <v>22090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17842</v>
      </c>
      <c r="E259" s="617"/>
      <c r="F259" s="617"/>
      <c r="G259" s="617"/>
      <c r="H259" s="617"/>
      <c r="I259" s="617"/>
      <c r="J259" s="617"/>
      <c r="K259" s="1694">
        <f>D259</f>
        <v>17842</v>
      </c>
      <c r="L259" s="481">
        <v>18268</v>
      </c>
    </row>
    <row r="260" spans="1:14" s="598" customFormat="1" x14ac:dyDescent="0.2">
      <c r="A260" s="1544" t="s">
        <v>1906</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17842</v>
      </c>
      <c r="E261" s="617"/>
      <c r="F261" s="617"/>
      <c r="G261" s="617"/>
      <c r="H261" s="617"/>
      <c r="I261" s="617"/>
      <c r="J261" s="617"/>
      <c r="K261" s="1692">
        <f>SUM(K259:K260)</f>
        <v>17842</v>
      </c>
      <c r="L261" s="1692">
        <f>SUM(L259:L260)</f>
        <v>18268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33008</v>
      </c>
      <c r="E266" s="617"/>
      <c r="F266" s="617"/>
      <c r="G266" s="617"/>
      <c r="H266" s="617"/>
      <c r="I266" s="617"/>
      <c r="J266" s="617"/>
      <c r="K266" s="1694">
        <f t="shared" si="22"/>
        <v>33008</v>
      </c>
      <c r="L266" s="466">
        <v>38644</v>
      </c>
    </row>
    <row r="267" spans="1:14" x14ac:dyDescent="0.2">
      <c r="A267" s="1526" t="s">
        <v>1010</v>
      </c>
      <c r="B267" s="615">
        <v>2550</v>
      </c>
      <c r="C267" s="617"/>
      <c r="D267" s="466">
        <v>852</v>
      </c>
      <c r="E267" s="617"/>
      <c r="F267" s="617"/>
      <c r="G267" s="617"/>
      <c r="H267" s="617"/>
      <c r="I267" s="617"/>
      <c r="J267" s="617"/>
      <c r="K267" s="1694">
        <f t="shared" si="22"/>
        <v>852</v>
      </c>
      <c r="L267" s="466">
        <v>826</v>
      </c>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33860</v>
      </c>
      <c r="E270" s="617"/>
      <c r="F270" s="617"/>
      <c r="G270" s="617"/>
      <c r="H270" s="617"/>
      <c r="I270" s="617"/>
      <c r="J270" s="617"/>
      <c r="K270" s="1692">
        <f>SUM(K263:K269)</f>
        <v>33860</v>
      </c>
      <c r="L270" s="1692">
        <f>SUM(L263:L269)</f>
        <v>39470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89826</v>
      </c>
      <c r="E279" s="617"/>
      <c r="F279" s="617"/>
      <c r="G279" s="617"/>
      <c r="H279" s="617"/>
      <c r="I279" s="617"/>
      <c r="J279" s="617"/>
      <c r="K279" s="1699">
        <f>SUM(K238,K243,K257,K261,K270,K277,K278)</f>
        <v>89826</v>
      </c>
      <c r="L279" s="1699">
        <f>SUM(L238,L243,L257,L261,L270,L277,L278)</f>
        <v>96671</v>
      </c>
    </row>
    <row r="280" spans="1:12" ht="15.75" customHeight="1" thickTop="1" thickBot="1" x14ac:dyDescent="0.25">
      <c r="A280" s="1646" t="s">
        <v>930</v>
      </c>
      <c r="B280" s="1635">
        <v>3000</v>
      </c>
      <c r="C280" s="617"/>
      <c r="D280" s="576">
        <v>316</v>
      </c>
      <c r="E280" s="617"/>
      <c r="F280" s="617"/>
      <c r="G280" s="617"/>
      <c r="H280" s="617"/>
      <c r="I280" s="617"/>
      <c r="J280" s="617"/>
      <c r="K280" s="1701">
        <f>D280</f>
        <v>316</v>
      </c>
      <c r="L280" s="576">
        <v>326</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1955</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184312</v>
      </c>
      <c r="E295" s="617"/>
      <c r="F295" s="617"/>
      <c r="G295" s="617"/>
      <c r="H295" s="1692">
        <f>H293</f>
        <v>0</v>
      </c>
      <c r="I295" s="617"/>
      <c r="J295" s="617"/>
      <c r="K295" s="1692">
        <f>SUM(K229,K279,K280,K285,K293,K294)</f>
        <v>184312</v>
      </c>
      <c r="L295" s="1692">
        <f>SUM(L229,L279,L280,L285,L293,L294)</f>
        <v>193038</v>
      </c>
    </row>
    <row r="296" spans="1:14" ht="13.5" thickTop="1" x14ac:dyDescent="0.2">
      <c r="A296" s="2197" t="s">
        <v>1053</v>
      </c>
      <c r="B296" s="2198"/>
      <c r="C296" s="617"/>
      <c r="D296" s="619"/>
      <c r="E296" s="617"/>
      <c r="F296" s="617"/>
      <c r="G296" s="617"/>
      <c r="H296" s="688"/>
      <c r="I296" s="617"/>
      <c r="J296" s="617"/>
      <c r="K296" s="1706">
        <f>'Revenues 9-14'!G275-'Expenditures 15-22'!K295</f>
        <v>-129382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396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1907</v>
      </c>
      <c r="B320" s="699" t="s">
        <v>300</v>
      </c>
      <c r="C320" s="467"/>
      <c r="D320" s="467">
        <v>19144</v>
      </c>
      <c r="E320" s="467"/>
      <c r="F320" s="467"/>
      <c r="G320" s="467"/>
      <c r="H320" s="467"/>
      <c r="I320" s="467"/>
      <c r="J320" s="467"/>
      <c r="K320" s="1693">
        <f t="shared" ref="K320:K327" si="24">SUM(C320:J320)</f>
        <v>19144</v>
      </c>
      <c r="L320" s="467">
        <v>25887</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394</v>
      </c>
      <c r="M321" s="666"/>
      <c r="N321" s="666"/>
    </row>
    <row r="322" spans="1:14" s="675" customFormat="1" x14ac:dyDescent="0.2">
      <c r="A322" s="1541" t="s">
        <v>256</v>
      </c>
      <c r="B322" s="698" t="s">
        <v>302</v>
      </c>
      <c r="C322" s="467"/>
      <c r="D322" s="467"/>
      <c r="E322" s="467">
        <v>26382</v>
      </c>
      <c r="F322" s="467"/>
      <c r="G322" s="467"/>
      <c r="H322" s="467"/>
      <c r="I322" s="467"/>
      <c r="J322" s="467"/>
      <c r="K322" s="1693">
        <f t="shared" si="24"/>
        <v>26382</v>
      </c>
      <c r="L322" s="467">
        <v>28388</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15009</v>
      </c>
      <c r="F327" s="467"/>
      <c r="G327" s="467"/>
      <c r="H327" s="467"/>
      <c r="I327" s="467"/>
      <c r="J327" s="467"/>
      <c r="K327" s="1693">
        <f t="shared" si="24"/>
        <v>15009</v>
      </c>
      <c r="L327" s="467">
        <v>20000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19144</v>
      </c>
      <c r="E330" s="1692">
        <f t="shared" si="25"/>
        <v>41391</v>
      </c>
      <c r="F330" s="1692">
        <f t="shared" si="25"/>
        <v>0</v>
      </c>
      <c r="G330" s="1692">
        <f t="shared" si="25"/>
        <v>0</v>
      </c>
      <c r="H330" s="1692">
        <f t="shared" si="25"/>
        <v>0</v>
      </c>
      <c r="I330" s="1692">
        <f t="shared" si="25"/>
        <v>0</v>
      </c>
      <c r="J330" s="1692">
        <f t="shared" si="25"/>
        <v>0</v>
      </c>
      <c r="K330" s="1692">
        <f>SUM(K319:K329)</f>
        <v>60535</v>
      </c>
      <c r="L330" s="1692">
        <f>SUM(L319:L329)</f>
        <v>74669</v>
      </c>
      <c r="M330" s="666"/>
      <c r="N330" s="666"/>
    </row>
    <row r="331" spans="1:14" s="675" customFormat="1" ht="12.75" customHeight="1" thickTop="1" x14ac:dyDescent="0.2">
      <c r="A331" s="1854" t="s">
        <v>1961</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1955</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1957</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1962</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19144</v>
      </c>
      <c r="E342" s="1692">
        <f>SUM(E330)</f>
        <v>41391</v>
      </c>
      <c r="F342" s="1692">
        <f>SUM(F330)</f>
        <v>0</v>
      </c>
      <c r="G342" s="1692">
        <f>SUM(G330)</f>
        <v>0</v>
      </c>
      <c r="H342" s="1692">
        <f>SUM(H330,H334,H340)</f>
        <v>0</v>
      </c>
      <c r="I342" s="1692">
        <f>SUM(I330)</f>
        <v>0</v>
      </c>
      <c r="J342" s="1692">
        <f>SUM(J330)</f>
        <v>0</v>
      </c>
      <c r="K342" s="1692">
        <f>SUM(K330,K334,K340)</f>
        <v>60535</v>
      </c>
      <c r="L342" s="1699">
        <f>SUM(L330,L340,L341)</f>
        <v>74669</v>
      </c>
    </row>
    <row r="343" spans="1:14" ht="12.75" customHeight="1" thickTop="1" x14ac:dyDescent="0.2">
      <c r="A343" s="2183" t="s">
        <v>1053</v>
      </c>
      <c r="B343" s="2184"/>
      <c r="C343" s="617"/>
      <c r="D343" s="617"/>
      <c r="E343" s="617"/>
      <c r="F343" s="617"/>
      <c r="G343" s="617"/>
      <c r="H343" s="617"/>
      <c r="I343" s="617"/>
      <c r="J343" s="617"/>
      <c r="K343" s="1706">
        <f>'Revenues 9-14'!J275-'Expenditures 15-22'!K342</f>
        <v>-8903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1000</v>
      </c>
      <c r="F349" s="466"/>
      <c r="G349" s="466">
        <v>6250</v>
      </c>
      <c r="H349" s="466"/>
      <c r="I349" s="467"/>
      <c r="J349" s="467"/>
      <c r="K349" s="1693">
        <f>SUM(C349:J349)</f>
        <v>7250</v>
      </c>
      <c r="L349" s="466">
        <v>2105</v>
      </c>
    </row>
    <row r="350" spans="1:14" ht="12.75" customHeight="1" thickBot="1" x14ac:dyDescent="0.25">
      <c r="A350" s="1690" t="s">
        <v>743</v>
      </c>
      <c r="B350" s="1691" t="s">
        <v>35</v>
      </c>
      <c r="C350" s="1692">
        <f>SUM(C348:C349)</f>
        <v>0</v>
      </c>
      <c r="D350" s="1692">
        <f t="shared" ref="D350:L350" si="26">SUM(D348:D349)</f>
        <v>0</v>
      </c>
      <c r="E350" s="1692">
        <f t="shared" si="26"/>
        <v>1000</v>
      </c>
      <c r="F350" s="1692">
        <f t="shared" si="26"/>
        <v>0</v>
      </c>
      <c r="G350" s="1692">
        <f t="shared" si="26"/>
        <v>6250</v>
      </c>
      <c r="H350" s="1692">
        <f t="shared" si="26"/>
        <v>0</v>
      </c>
      <c r="I350" s="1692">
        <f t="shared" si="26"/>
        <v>0</v>
      </c>
      <c r="J350" s="1692">
        <f t="shared" si="26"/>
        <v>0</v>
      </c>
      <c r="K350" s="1692">
        <f t="shared" si="26"/>
        <v>7250</v>
      </c>
      <c r="L350" s="1692">
        <f t="shared" si="26"/>
        <v>2105</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1000</v>
      </c>
      <c r="F352" s="1692">
        <f t="shared" si="27"/>
        <v>0</v>
      </c>
      <c r="G352" s="1692">
        <f t="shared" si="27"/>
        <v>6250</v>
      </c>
      <c r="H352" s="1692">
        <f t="shared" si="27"/>
        <v>0</v>
      </c>
      <c r="I352" s="1692">
        <f t="shared" si="27"/>
        <v>0</v>
      </c>
      <c r="J352" s="1692">
        <f t="shared" si="27"/>
        <v>0</v>
      </c>
      <c r="K352" s="1692">
        <f t="shared" si="27"/>
        <v>7250</v>
      </c>
      <c r="L352" s="1692">
        <f t="shared" si="27"/>
        <v>2105</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1963</v>
      </c>
      <c r="B354" s="684" t="s">
        <v>1955</v>
      </c>
      <c r="C354" s="617"/>
      <c r="D354" s="617"/>
      <c r="E354" s="617"/>
      <c r="F354" s="617"/>
      <c r="G354" s="617"/>
      <c r="H354" s="474"/>
      <c r="I354" s="702"/>
      <c r="J354" s="617"/>
      <c r="K354" s="1721">
        <f>H354</f>
        <v>0</v>
      </c>
      <c r="L354" s="471"/>
    </row>
    <row r="355" spans="1:14" ht="12.75" customHeight="1" x14ac:dyDescent="0.2">
      <c r="A355" s="1535" t="s">
        <v>1964</v>
      </c>
      <c r="B355" s="691" t="s">
        <v>1957</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1000</v>
      </c>
      <c r="F367" s="1692">
        <f t="shared" si="28"/>
        <v>0</v>
      </c>
      <c r="G367" s="1692">
        <f t="shared" si="28"/>
        <v>6250</v>
      </c>
      <c r="H367" s="1692">
        <f t="shared" si="28"/>
        <v>0</v>
      </c>
      <c r="I367" s="1692">
        <f t="shared" si="28"/>
        <v>0</v>
      </c>
      <c r="J367" s="1692">
        <f t="shared" si="28"/>
        <v>0</v>
      </c>
      <c r="K367" s="1692">
        <f t="shared" si="28"/>
        <v>7250</v>
      </c>
      <c r="L367" s="1692">
        <f t="shared" si="28"/>
        <v>2105</v>
      </c>
    </row>
    <row r="368" spans="1:14" ht="13.5" thickTop="1" x14ac:dyDescent="0.2">
      <c r="A368" s="2197" t="s">
        <v>1053</v>
      </c>
      <c r="B368" s="2198"/>
      <c r="C368" s="655"/>
      <c r="D368" s="655"/>
      <c r="E368" s="627"/>
      <c r="F368" s="627"/>
      <c r="G368" s="627"/>
      <c r="H368" s="627"/>
      <c r="I368" s="627"/>
      <c r="J368" s="624"/>
      <c r="K368" s="1693">
        <f>'Revenues 9-14'!K275-'Expenditures 15-22'!K367</f>
        <v>-1904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25" sqref="C25"/>
    </sheetView>
  </sheetViews>
  <sheetFormatPr defaultColWidth="9.140625" defaultRowHeight="12.75" x14ac:dyDescent="0.2"/>
  <cols>
    <col min="1" max="1" width="41.42578125" style="252" customWidth="1"/>
    <col min="2" max="3" width="17.5703125" style="713" customWidth="1"/>
    <col min="4" max="5" width="17.5703125" style="714" customWidth="1"/>
    <col min="6" max="6" width="17.5703125" style="329" customWidth="1"/>
    <col min="7" max="7" width="4.42578125" style="329" customWidth="1"/>
    <col min="8" max="8" width="33.42578125" style="329" customWidth="1"/>
    <col min="9" max="16384" width="9.140625" style="329"/>
  </cols>
  <sheetData>
    <row r="1" spans="1:6" ht="33.75" customHeight="1" x14ac:dyDescent="0.2">
      <c r="A1" s="1908" t="s">
        <v>106</v>
      </c>
    </row>
    <row r="2" spans="1:6" ht="39.75" customHeight="1" x14ac:dyDescent="0.2">
      <c r="A2" s="2199" t="s">
        <v>1904</v>
      </c>
      <c r="B2" s="1550" t="s">
        <v>2034</v>
      </c>
      <c r="C2" s="715" t="s">
        <v>1909</v>
      </c>
      <c r="D2" s="715" t="s">
        <v>1910</v>
      </c>
      <c r="E2" s="715" t="s">
        <v>1911</v>
      </c>
      <c r="F2" s="715" t="s">
        <v>1912</v>
      </c>
    </row>
    <row r="3" spans="1:6" ht="12" customHeight="1" x14ac:dyDescent="0.2">
      <c r="A3" s="2200"/>
      <c r="B3" s="1547"/>
      <c r="C3" s="1548"/>
      <c r="D3" s="1549" t="s">
        <v>274</v>
      </c>
      <c r="E3" s="1548"/>
      <c r="F3" s="1549" t="s">
        <v>275</v>
      </c>
    </row>
    <row r="4" spans="1:6" ht="13.7" customHeight="1" x14ac:dyDescent="0.2">
      <c r="A4" s="716" t="s">
        <v>1217</v>
      </c>
      <c r="B4" s="1771">
        <f>'Revenues 9-14'!C5</f>
        <v>3118618</v>
      </c>
      <c r="C4" s="1546">
        <v>1710957</v>
      </c>
      <c r="D4" s="1774">
        <f>B4-C4</f>
        <v>1407661</v>
      </c>
      <c r="E4" s="1546">
        <v>3276329</v>
      </c>
      <c r="F4" s="1774">
        <f>E4-C4</f>
        <v>1565372</v>
      </c>
    </row>
    <row r="5" spans="1:6" ht="13.7" customHeight="1" x14ac:dyDescent="0.2">
      <c r="A5" s="716" t="s">
        <v>925</v>
      </c>
      <c r="B5" s="1772">
        <f>'Revenues 9-14'!D5</f>
        <v>551820</v>
      </c>
      <c r="C5" s="585">
        <v>301527</v>
      </c>
      <c r="D5" s="1775">
        <f t="shared" ref="D5:D18" si="0">B5-C5</f>
        <v>250293</v>
      </c>
      <c r="E5" s="585">
        <v>577191</v>
      </c>
      <c r="F5" s="1775">
        <f>E5-C5</f>
        <v>275664</v>
      </c>
    </row>
    <row r="6" spans="1:6" ht="13.7" customHeight="1" x14ac:dyDescent="0.2">
      <c r="A6" s="716" t="s">
        <v>431</v>
      </c>
      <c r="B6" s="1772">
        <f>'Revenues 9-14'!E5</f>
        <v>749913</v>
      </c>
      <c r="C6" s="585">
        <v>397331</v>
      </c>
      <c r="D6" s="1775">
        <f t="shared" si="0"/>
        <v>352582</v>
      </c>
      <c r="E6" s="585">
        <v>761030</v>
      </c>
      <c r="F6" s="1775">
        <f t="shared" ref="F6:F18" si="1">E6-C6</f>
        <v>363699</v>
      </c>
    </row>
    <row r="7" spans="1:6" ht="13.7" customHeight="1" x14ac:dyDescent="0.2">
      <c r="A7" s="716" t="s">
        <v>157</v>
      </c>
      <c r="B7" s="1772">
        <f>'Revenues 9-14'!F5</f>
        <v>770641</v>
      </c>
      <c r="C7" s="585">
        <v>403338</v>
      </c>
      <c r="D7" s="1775">
        <f t="shared" si="0"/>
        <v>367303</v>
      </c>
      <c r="E7" s="585">
        <v>772500</v>
      </c>
      <c r="F7" s="1775">
        <f t="shared" si="1"/>
        <v>369162</v>
      </c>
    </row>
    <row r="8" spans="1:6" ht="13.7" customHeight="1" x14ac:dyDescent="0.2">
      <c r="A8" s="716" t="s">
        <v>1241</v>
      </c>
      <c r="B8" s="1772">
        <f>'Revenues 9-14'!G5</f>
        <v>1124</v>
      </c>
      <c r="C8" s="585">
        <v>601</v>
      </c>
      <c r="D8" s="1775">
        <f t="shared" si="0"/>
        <v>523</v>
      </c>
      <c r="E8" s="585">
        <v>1030</v>
      </c>
      <c r="F8" s="1775">
        <f t="shared" si="1"/>
        <v>429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50875</v>
      </c>
      <c r="C10" s="585">
        <v>27330</v>
      </c>
      <c r="D10" s="1775">
        <f t="shared" si="0"/>
        <v>23545</v>
      </c>
      <c r="E10" s="585">
        <v>52472</v>
      </c>
      <c r="F10" s="1775">
        <f t="shared" si="1"/>
        <v>25142</v>
      </c>
    </row>
    <row r="11" spans="1:6" x14ac:dyDescent="0.2">
      <c r="A11" s="716" t="s">
        <v>429</v>
      </c>
      <c r="B11" s="1772">
        <f>'Revenues 9-14'!J5</f>
        <v>50828</v>
      </c>
      <c r="C11" s="585">
        <v>27029</v>
      </c>
      <c r="D11" s="1775">
        <f t="shared" si="0"/>
        <v>23799</v>
      </c>
      <c r="E11" s="585">
        <v>51500</v>
      </c>
      <c r="F11" s="1775">
        <f t="shared" si="1"/>
        <v>24471</v>
      </c>
    </row>
    <row r="12" spans="1:6" ht="13.7" customHeight="1" x14ac:dyDescent="0.2">
      <c r="A12" s="716" t="s">
        <v>159</v>
      </c>
      <c r="B12" s="1772">
        <f>'Revenues 9-14'!K5</f>
        <v>1124</v>
      </c>
      <c r="C12" s="585">
        <v>601</v>
      </c>
      <c r="D12" s="1775">
        <f t="shared" si="0"/>
        <v>523</v>
      </c>
      <c r="E12" s="585">
        <v>1030</v>
      </c>
      <c r="F12" s="1775">
        <f t="shared" si="1"/>
        <v>429</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274655</v>
      </c>
      <c r="C14" s="585">
        <v>107517</v>
      </c>
      <c r="D14" s="1775">
        <f t="shared" si="0"/>
        <v>167138</v>
      </c>
      <c r="E14" s="585">
        <v>206000</v>
      </c>
      <c r="F14" s="1775">
        <f t="shared" si="1"/>
        <v>98483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49793</v>
      </c>
      <c r="C16" s="585">
        <v>27029</v>
      </c>
      <c r="D16" s="1775">
        <f t="shared" si="0"/>
        <v>22764</v>
      </c>
      <c r="E16" s="585">
        <v>51500</v>
      </c>
      <c r="F16" s="1775">
        <f t="shared" si="1"/>
        <v>24471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5619391</v>
      </c>
      <c r="C19" s="1773">
        <f>SUM(C4:C18)</f>
        <v>3003260</v>
      </c>
      <c r="D19" s="1773">
        <f>SUM(D4:D18)</f>
        <v>2616131</v>
      </c>
      <c r="E19" s="1773">
        <f>SUM(E4:E18)</f>
        <v>5750582</v>
      </c>
      <c r="F19" s="1773">
        <f>SUM(F4:F18)</f>
        <v>2747322</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9"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5703125" style="723" customWidth="1"/>
    <col min="6" max="6" width="13.42578125" style="384" customWidth="1"/>
    <col min="7" max="7" width="14.5703125" style="384" customWidth="1"/>
    <col min="8" max="10" width="16.5703125" style="384" customWidth="1"/>
    <col min="11" max="16384" width="9.140625" style="384"/>
  </cols>
  <sheetData>
    <row r="1" spans="1:7" ht="27" customHeight="1" x14ac:dyDescent="0.2">
      <c r="A1" s="2205" t="s">
        <v>650</v>
      </c>
      <c r="B1" s="2206"/>
      <c r="C1" s="722"/>
    </row>
    <row r="2" spans="1:7" ht="33.75" x14ac:dyDescent="0.2">
      <c r="A2" s="2214" t="s">
        <v>1904</v>
      </c>
      <c r="B2" s="2215"/>
      <c r="C2" s="1909" t="s">
        <v>2035</v>
      </c>
      <c r="D2" s="724" t="s">
        <v>2042</v>
      </c>
      <c r="E2" s="724" t="s">
        <v>2043</v>
      </c>
      <c r="F2" s="1909" t="s">
        <v>2036</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1771</v>
      </c>
      <c r="E30" s="1910" t="s">
        <v>2037</v>
      </c>
      <c r="F30" s="1910" t="s">
        <v>2038</v>
      </c>
      <c r="G30" s="1910" t="s">
        <v>2041</v>
      </c>
      <c r="H30" s="1910" t="s">
        <v>2039</v>
      </c>
      <c r="I30" s="1910" t="s">
        <v>2040</v>
      </c>
      <c r="J30" s="1911" t="s">
        <v>2</v>
      </c>
      <c r="K30" s="732"/>
    </row>
    <row r="31" spans="1:11" ht="12" customHeight="1" x14ac:dyDescent="0.2">
      <c r="A31" s="733" t="s">
        <v>2109</v>
      </c>
      <c r="B31" s="734">
        <v>39290</v>
      </c>
      <c r="C31" s="735">
        <v>1998550</v>
      </c>
      <c r="D31" s="736">
        <v>1</v>
      </c>
      <c r="E31" s="735">
        <v>1595753</v>
      </c>
      <c r="F31" s="735"/>
      <c r="G31" s="735">
        <v>-191757</v>
      </c>
      <c r="H31" s="735">
        <v>425810</v>
      </c>
      <c r="I31" s="1778">
        <f>((E31+F31)-H31)+G31</f>
        <v>978186</v>
      </c>
      <c r="J31" s="735">
        <v>570911</v>
      </c>
      <c r="K31" s="737"/>
    </row>
    <row r="32" spans="1:11" ht="12" customHeight="1" x14ac:dyDescent="0.2">
      <c r="A32" s="733" t="s">
        <v>2110</v>
      </c>
      <c r="B32" s="734">
        <v>41102</v>
      </c>
      <c r="C32" s="735">
        <v>3340000</v>
      </c>
      <c r="D32" s="736">
        <v>3</v>
      </c>
      <c r="E32" s="735">
        <v>3340000</v>
      </c>
      <c r="F32" s="735"/>
      <c r="G32" s="735"/>
      <c r="H32" s="735"/>
      <c r="I32" s="1778">
        <f>((E32+F32)-H32)+G32</f>
        <v>3340000</v>
      </c>
      <c r="J32" s="735">
        <v>3340000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5338550</v>
      </c>
      <c r="D49" s="746"/>
      <c r="E49" s="1778">
        <f t="shared" ref="E49:J49" si="2">SUM(E31:E48)</f>
        <v>4935753</v>
      </c>
      <c r="F49" s="1778">
        <f t="shared" si="2"/>
        <v>0</v>
      </c>
      <c r="G49" s="1778">
        <f t="shared" si="2"/>
        <v>-191757</v>
      </c>
      <c r="H49" s="1778">
        <f t="shared" si="2"/>
        <v>425810</v>
      </c>
      <c r="I49" s="1778">
        <f t="shared" si="2"/>
        <v>4318186</v>
      </c>
      <c r="J49" s="1778">
        <f t="shared" si="2"/>
        <v>3910911</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6" sqref="G6"/>
    </sheetView>
  </sheetViews>
  <sheetFormatPr defaultColWidth="9.140625" defaultRowHeight="12.75" x14ac:dyDescent="0.2"/>
  <cols>
    <col min="1" max="1" width="4.5703125" style="384" customWidth="1"/>
    <col min="2" max="2" width="3.42578125" style="384" customWidth="1"/>
    <col min="3" max="3" width="4.5703125" style="384" customWidth="1"/>
    <col min="4" max="4" width="3.42578125" style="384" customWidth="1"/>
    <col min="5" max="5" width="44.5703125" style="408" customWidth="1"/>
    <col min="6" max="6" width="18.140625" style="384" customWidth="1"/>
    <col min="7" max="9" width="15.5703125" style="384" customWidth="1"/>
    <col min="10" max="10" width="16.5703125" style="384" customWidth="1"/>
    <col min="11" max="11" width="15.5703125" style="202" customWidth="1"/>
    <col min="12" max="12" width="4.5703125" style="384" customWidth="1"/>
    <col min="13" max="13" width="7.570312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1775</v>
      </c>
      <c r="B2" s="2234"/>
      <c r="C2" s="2234"/>
      <c r="D2" s="2234"/>
      <c r="E2" s="2235"/>
      <c r="F2" s="762" t="s">
        <v>960</v>
      </c>
      <c r="G2" s="763" t="s">
        <v>1772</v>
      </c>
      <c r="H2" s="763" t="s">
        <v>430</v>
      </c>
      <c r="I2" s="763" t="s">
        <v>1220</v>
      </c>
      <c r="J2" s="763" t="s">
        <v>1918</v>
      </c>
      <c r="K2" s="763" t="s">
        <v>140</v>
      </c>
    </row>
    <row r="3" spans="1:11" x14ac:dyDescent="0.2">
      <c r="A3" s="2236" t="s">
        <v>1697</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1919</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0</v>
      </c>
      <c r="I12" s="1780">
        <f>SUM(I5:I11)</f>
        <v>0</v>
      </c>
      <c r="J12" s="1780">
        <f>SUM(J5:J11)</f>
        <v>0</v>
      </c>
      <c r="K12" s="1780">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1915</v>
      </c>
      <c r="B19" s="2265"/>
      <c r="C19" s="2265"/>
      <c r="D19" s="2265"/>
      <c r="E19" s="2266"/>
      <c r="F19" s="790" t="s">
        <v>990</v>
      </c>
      <c r="G19" s="783"/>
      <c r="H19" s="783"/>
      <c r="I19" s="783"/>
      <c r="J19" s="766"/>
      <c r="K19" s="796"/>
    </row>
    <row r="20" spans="1:11" x14ac:dyDescent="0.2">
      <c r="A20" s="2244" t="s">
        <v>1920</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1921</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0</v>
      </c>
      <c r="I23" s="1780">
        <f>SUM(I14:I16,I21,I22)</f>
        <v>0</v>
      </c>
      <c r="J23" s="1780">
        <f>SUM(J14:J16,J21,J22)</f>
        <v>0</v>
      </c>
      <c r="K23" s="1780">
        <f>SUM(K14:K16,K21,K22)</f>
        <v>0</v>
      </c>
    </row>
    <row r="24" spans="1:11" ht="14.25" thickTop="1" thickBot="1" x14ac:dyDescent="0.25">
      <c r="A24" s="2251" t="s">
        <v>2023</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2033</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570312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2032</v>
      </c>
      <c r="B1" s="2270"/>
      <c r="C1" s="2271"/>
      <c r="D1" s="827"/>
      <c r="E1" s="828"/>
      <c r="F1" s="828"/>
      <c r="G1" s="829"/>
      <c r="H1" s="830"/>
      <c r="I1" s="831"/>
      <c r="J1" s="2267"/>
      <c r="K1" s="2268"/>
      <c r="L1" s="2268"/>
    </row>
    <row r="2" spans="1:14" ht="69.75" customHeight="1" x14ac:dyDescent="0.2">
      <c r="A2" s="832" t="s">
        <v>1776</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268486</v>
      </c>
      <c r="D5" s="842"/>
      <c r="E5" s="842"/>
      <c r="F5" s="1782">
        <f>(C5+D5)-E5</f>
        <v>268486</v>
      </c>
      <c r="G5" s="838"/>
      <c r="H5" s="843"/>
      <c r="I5" s="843"/>
      <c r="J5" s="843"/>
      <c r="K5" s="794"/>
      <c r="L5" s="1791">
        <f>F5-K5</f>
        <v>268486</v>
      </c>
    </row>
    <row r="6" spans="1:14" ht="14.25" thickTop="1" thickBot="1" x14ac:dyDescent="0.25">
      <c r="A6" s="779" t="s">
        <v>1179</v>
      </c>
      <c r="B6" s="841">
        <v>222</v>
      </c>
      <c r="C6" s="766">
        <v>135728</v>
      </c>
      <c r="D6" s="766"/>
      <c r="E6" s="766"/>
      <c r="F6" s="1782">
        <f>(C6+D6)-E6</f>
        <v>135728</v>
      </c>
      <c r="G6" s="838">
        <v>50</v>
      </c>
      <c r="H6" s="766">
        <v>135728</v>
      </c>
      <c r="I6" s="766"/>
      <c r="J6" s="766"/>
      <c r="K6" s="1791">
        <f>(H6+I6)-J6</f>
        <v>135728</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9021827</v>
      </c>
      <c r="D10" s="847">
        <v>35499</v>
      </c>
      <c r="E10" s="847"/>
      <c r="F10" s="1786">
        <f>(C10+D10)-E10</f>
        <v>9057326</v>
      </c>
      <c r="G10" s="844">
        <v>20</v>
      </c>
      <c r="H10" s="848">
        <v>3098752</v>
      </c>
      <c r="I10" s="848">
        <v>133206</v>
      </c>
      <c r="J10" s="848"/>
      <c r="K10" s="1791">
        <f>(H10+I10)-J10</f>
        <v>3231958</v>
      </c>
      <c r="L10" s="1791">
        <f>F10-K10</f>
        <v>5825368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c r="D12" s="845"/>
      <c r="E12" s="845"/>
      <c r="F12" s="1782">
        <f>(C12+D12)-E12</f>
        <v>0</v>
      </c>
      <c r="G12" s="844">
        <v>10</v>
      </c>
      <c r="H12" s="766"/>
      <c r="I12" s="766"/>
      <c r="J12" s="766"/>
      <c r="K12" s="1791">
        <f>(H12+I12)-J12</f>
        <v>0</v>
      </c>
      <c r="L12" s="1791">
        <f>F12-K12</f>
        <v>0</v>
      </c>
    </row>
    <row r="13" spans="1:14" ht="14.25" thickTop="1" thickBot="1" x14ac:dyDescent="0.25">
      <c r="A13" s="849" t="s">
        <v>1184</v>
      </c>
      <c r="B13" s="841">
        <v>252</v>
      </c>
      <c r="C13" s="845">
        <v>1466053</v>
      </c>
      <c r="D13" s="845">
        <v>42927</v>
      </c>
      <c r="E13" s="845"/>
      <c r="F13" s="1782">
        <f>(C13+D13)-E13</f>
        <v>1508980</v>
      </c>
      <c r="G13" s="844">
        <v>5</v>
      </c>
      <c r="H13" s="766">
        <v>1376171</v>
      </c>
      <c r="I13" s="766">
        <v>8585</v>
      </c>
      <c r="J13" s="766"/>
      <c r="K13" s="1791">
        <f>(H13+I13)-J13</f>
        <v>1384756</v>
      </c>
      <c r="L13" s="1791">
        <f>F13-K13</f>
        <v>124224</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10892094</v>
      </c>
      <c r="D16" s="1782">
        <f>SUM(D3,D5:D6,D8:D10,D12:D15)</f>
        <v>78426</v>
      </c>
      <c r="E16" s="1782">
        <f>SUM(E3,E5:E6,E8:E10,E12:E15)</f>
        <v>0</v>
      </c>
      <c r="F16" s="1782">
        <f>SUM(F3,F5:F6,F8:F10,F12:F15)</f>
        <v>10970520</v>
      </c>
      <c r="G16" s="844"/>
      <c r="H16" s="1782">
        <f>SUM(H3,H6,H8:H10,H12:H14,)</f>
        <v>4610651</v>
      </c>
      <c r="I16" s="1782">
        <f>SUM(I3,I6,I8:I10,I12:I14,)</f>
        <v>141791</v>
      </c>
      <c r="J16" s="1782">
        <f>SUM(J3,J6,J8:J10,J12:J14,)</f>
        <v>0</v>
      </c>
      <c r="K16" s="1782">
        <f>(H16+I16)-J16</f>
        <v>4752442</v>
      </c>
      <c r="L16" s="1782">
        <f>F16-K16</f>
        <v>6218078</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141791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1.1"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70" activePane="bottomLeft" state="frozen"/>
      <selection activeCell="A47" sqref="A47"/>
      <selection pane="bottomLeft" activeCell="F79" sqref="F79"/>
    </sheetView>
  </sheetViews>
  <sheetFormatPr defaultColWidth="8.5703125" defaultRowHeight="11.25" x14ac:dyDescent="0.2"/>
  <cols>
    <col min="1" max="1" width="22.140625" style="857" customWidth="1"/>
    <col min="2" max="2" width="31.85546875" style="857" customWidth="1"/>
    <col min="3" max="3" width="6.5703125" style="864" customWidth="1"/>
    <col min="4" max="4" width="55.5703125" style="857" customWidth="1"/>
    <col min="5" max="5" width="3.140625" style="864" customWidth="1"/>
    <col min="6" max="6" width="17.42578125" style="857" customWidth="1"/>
    <col min="7" max="7" width="0.85546875" style="857" customWidth="1"/>
    <col min="8" max="8" width="2.42578125" style="857" customWidth="1"/>
    <col min="9" max="16384" width="8.5703125" style="857"/>
  </cols>
  <sheetData>
    <row r="1" spans="1:7" ht="19.5" customHeight="1" thickTop="1" x14ac:dyDescent="0.2">
      <c r="A1" s="2275" t="s">
        <v>1698</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6782014</v>
      </c>
      <c r="G8" s="866"/>
    </row>
    <row r="9" spans="1:7" x14ac:dyDescent="0.2">
      <c r="A9" s="870" t="s">
        <v>480</v>
      </c>
      <c r="B9" s="871" t="s">
        <v>1987</v>
      </c>
      <c r="C9" s="872"/>
      <c r="D9" s="870" t="s">
        <v>522</v>
      </c>
      <c r="E9" s="869"/>
      <c r="F9" s="1935">
        <f>'Expenditures 15-22'!K151</f>
        <v>448612</v>
      </c>
      <c r="G9" s="873"/>
    </row>
    <row r="10" spans="1:7" x14ac:dyDescent="0.2">
      <c r="A10" s="870" t="s">
        <v>520</v>
      </c>
      <c r="B10" s="871" t="s">
        <v>1988</v>
      </c>
      <c r="C10" s="872"/>
      <c r="D10" s="870" t="s">
        <v>522</v>
      </c>
      <c r="E10" s="869"/>
      <c r="F10" s="1935">
        <f>'Expenditures 15-22'!K174</f>
        <v>776376</v>
      </c>
      <c r="G10" s="873"/>
    </row>
    <row r="11" spans="1:7" x14ac:dyDescent="0.2">
      <c r="A11" s="870" t="s">
        <v>481</v>
      </c>
      <c r="B11" s="871" t="s">
        <v>1989</v>
      </c>
      <c r="C11" s="872"/>
      <c r="D11" s="870" t="s">
        <v>522</v>
      </c>
      <c r="E11" s="869"/>
      <c r="F11" s="1935">
        <f>'Expenditures 15-22'!K210</f>
        <v>642285</v>
      </c>
      <c r="G11" s="873"/>
    </row>
    <row r="12" spans="1:7" x14ac:dyDescent="0.2">
      <c r="A12" s="870" t="s">
        <v>482</v>
      </c>
      <c r="B12" s="871" t="s">
        <v>1990</v>
      </c>
      <c r="C12" s="872"/>
      <c r="D12" s="870" t="s">
        <v>522</v>
      </c>
      <c r="E12" s="869"/>
      <c r="F12" s="1935">
        <f>'Expenditures 15-22'!K295</f>
        <v>184312</v>
      </c>
      <c r="G12" s="873"/>
    </row>
    <row r="13" spans="1:7" x14ac:dyDescent="0.2">
      <c r="A13" s="870" t="s">
        <v>108</v>
      </c>
      <c r="B13" s="871" t="s">
        <v>1991</v>
      </c>
      <c r="C13" s="872"/>
      <c r="D13" s="870" t="s">
        <v>522</v>
      </c>
      <c r="E13" s="869"/>
      <c r="F13" s="1935">
        <f>'Expenditures 15-22'!K342</f>
        <v>60535</v>
      </c>
      <c r="G13" s="874"/>
    </row>
    <row r="14" spans="1:7" ht="12" customHeight="1" thickBot="1" x14ac:dyDescent="0.25">
      <c r="A14" s="1792"/>
      <c r="B14" s="1793"/>
      <c r="C14" s="1794"/>
      <c r="D14" s="1795" t="s">
        <v>522</v>
      </c>
      <c r="E14" s="1796" t="s">
        <v>1015</v>
      </c>
      <c r="F14" s="1797">
        <f>SUM(F8:F13)</f>
        <v>8894134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9-14'!D148,F148)</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81269</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200865</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22408</v>
      </c>
      <c r="G52" s="866"/>
    </row>
    <row r="53" spans="1:7" x14ac:dyDescent="0.2">
      <c r="A53" s="870" t="s">
        <v>479</v>
      </c>
      <c r="B53" s="870" t="s">
        <v>1551</v>
      </c>
      <c r="C53" s="890">
        <f>'Expenditures 15-22'!B102</f>
        <v>4000</v>
      </c>
      <c r="D53" s="889" t="str">
        <f>'Expenditures 15-22'!A102</f>
        <v>Total Payments to Other Govt Units</v>
      </c>
      <c r="E53" s="869"/>
      <c r="F53" s="1939">
        <f>'Expenditures 15-22'!K102</f>
        <v>941417</v>
      </c>
      <c r="G53" s="866"/>
    </row>
    <row r="54" spans="1:7" x14ac:dyDescent="0.2">
      <c r="A54" s="870" t="s">
        <v>479</v>
      </c>
      <c r="B54" s="870" t="s">
        <v>1552</v>
      </c>
      <c r="C54" s="890" t="s">
        <v>1039</v>
      </c>
      <c r="D54" s="886" t="s">
        <v>1157</v>
      </c>
      <c r="E54" s="869"/>
      <c r="F54" s="1939">
        <f>'Expenditures 15-22'!G114</f>
        <v>54807</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9">
        <f>'Expenditures 15-22'!K139</f>
        <v>0</v>
      </c>
      <c r="G57" s="866"/>
    </row>
    <row r="58" spans="1:7" x14ac:dyDescent="0.2">
      <c r="A58" s="870" t="s">
        <v>480</v>
      </c>
      <c r="B58" s="870" t="s">
        <v>1993</v>
      </c>
      <c r="C58" s="887" t="s">
        <v>1039</v>
      </c>
      <c r="D58" s="886" t="s">
        <v>1157</v>
      </c>
      <c r="E58" s="869"/>
      <c r="F58" s="1941">
        <f>'Expenditures 15-22'!G151</f>
        <v>17369</v>
      </c>
      <c r="G58" s="866"/>
    </row>
    <row r="59" spans="1:7" x14ac:dyDescent="0.2">
      <c r="A59" s="894" t="s">
        <v>480</v>
      </c>
      <c r="B59" s="857" t="s">
        <v>1994</v>
      </c>
      <c r="C59" s="895" t="s">
        <v>1039</v>
      </c>
      <c r="D59" s="857" t="s">
        <v>309</v>
      </c>
      <c r="F59" s="1942">
        <f>'Expenditures 15-22'!I151</f>
        <v>0</v>
      </c>
      <c r="G59" s="866"/>
    </row>
    <row r="60" spans="1:7" x14ac:dyDescent="0.2">
      <c r="A60" s="894" t="s">
        <v>520</v>
      </c>
      <c r="B60" s="857" t="s">
        <v>1995</v>
      </c>
      <c r="C60" s="895">
        <v>4000</v>
      </c>
      <c r="D60" s="857" t="s">
        <v>330</v>
      </c>
      <c r="F60" s="1940">
        <f>'Expenditures 15-22'!K160</f>
        <v>0</v>
      </c>
      <c r="G60" s="866"/>
    </row>
    <row r="61" spans="1:7" x14ac:dyDescent="0.2">
      <c r="A61" s="896" t="s">
        <v>520</v>
      </c>
      <c r="B61" s="896" t="s">
        <v>1996</v>
      </c>
      <c r="C61" s="897" t="str">
        <f>'Expenditures 15-22'!B170</f>
        <v>5300</v>
      </c>
      <c r="D61" s="898" t="s">
        <v>329</v>
      </c>
      <c r="E61" s="880"/>
      <c r="F61" s="1939">
        <f>'Expenditures 15-22'!K170</f>
        <v>425810</v>
      </c>
      <c r="G61" s="866"/>
    </row>
    <row r="62" spans="1:7" x14ac:dyDescent="0.2">
      <c r="A62" s="870" t="s">
        <v>481</v>
      </c>
      <c r="B62" s="870" t="s">
        <v>1997</v>
      </c>
      <c r="C62" s="887">
        <f>'Expenditures 15-22'!B185</f>
        <v>3000</v>
      </c>
      <c r="D62" s="877" t="s">
        <v>469</v>
      </c>
      <c r="E62" s="869"/>
      <c r="F62" s="1939">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1999</v>
      </c>
      <c r="C64" s="897" t="str">
        <f>'Expenditures 15-22'!B206</f>
        <v>5300</v>
      </c>
      <c r="D64" s="893" t="s">
        <v>329</v>
      </c>
      <c r="E64" s="869"/>
      <c r="F64" s="1939">
        <f>'Expenditures 15-22'!K206</f>
        <v>0</v>
      </c>
      <c r="G64" s="866"/>
    </row>
    <row r="65" spans="1:8" x14ac:dyDescent="0.2">
      <c r="A65" s="870" t="s">
        <v>481</v>
      </c>
      <c r="B65" s="870" t="s">
        <v>2000</v>
      </c>
      <c r="C65" s="887" t="s">
        <v>1039</v>
      </c>
      <c r="D65" s="886" t="s">
        <v>1157</v>
      </c>
      <c r="E65" s="869"/>
      <c r="F65" s="1939">
        <f>'Expenditures 15-22'!G210</f>
        <v>0</v>
      </c>
      <c r="G65" s="866"/>
    </row>
    <row r="66" spans="1:8" x14ac:dyDescent="0.2">
      <c r="A66" s="870" t="s">
        <v>481</v>
      </c>
      <c r="B66" s="870" t="s">
        <v>2001</v>
      </c>
      <c r="C66" s="887" t="s">
        <v>1039</v>
      </c>
      <c r="D66" s="886" t="s">
        <v>309</v>
      </c>
      <c r="E66" s="869"/>
      <c r="F66" s="1939">
        <f>'Expenditures 15-22'!I210</f>
        <v>0</v>
      </c>
      <c r="G66" s="866"/>
    </row>
    <row r="67" spans="1:8" x14ac:dyDescent="0.2">
      <c r="A67" s="870" t="s">
        <v>482</v>
      </c>
      <c r="B67" s="870" t="s">
        <v>2002</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1875</v>
      </c>
      <c r="G68" s="866"/>
    </row>
    <row r="69" spans="1:8" x14ac:dyDescent="0.2">
      <c r="A69" s="870" t="s">
        <v>482</v>
      </c>
      <c r="B69" s="870" t="s">
        <v>2003</v>
      </c>
      <c r="C69" s="887" t="str">
        <f>'Expenditures 15-22'!B220</f>
        <v>1275</v>
      </c>
      <c r="D69" s="893" t="str">
        <f>'Expenditures 15-22'!A220</f>
        <v>Remedial and Supplemental Programs - Pre-K</v>
      </c>
      <c r="E69" s="869"/>
      <c r="F69" s="1939">
        <f>'Expenditures 15-22'!K220</f>
        <v>1581</v>
      </c>
      <c r="G69" s="866"/>
    </row>
    <row r="70" spans="1:8" x14ac:dyDescent="0.2">
      <c r="A70" s="870" t="s">
        <v>482</v>
      </c>
      <c r="B70" s="870" t="s">
        <v>2004</v>
      </c>
      <c r="C70" s="887">
        <f>'Expenditures 15-22'!B221</f>
        <v>1300</v>
      </c>
      <c r="D70" s="888" t="str">
        <f>'Expenditures 15-22'!A221</f>
        <v>Adult/Continuing Education Programs</v>
      </c>
      <c r="E70" s="869"/>
      <c r="F70" s="1939">
        <f>'Expenditures 15-22'!K221</f>
        <v>0</v>
      </c>
      <c r="G70" s="866"/>
    </row>
    <row r="71" spans="1:8" x14ac:dyDescent="0.2">
      <c r="A71" s="870" t="s">
        <v>482</v>
      </c>
      <c r="B71" s="870" t="s">
        <v>2005</v>
      </c>
      <c r="C71" s="887">
        <f>'Expenditures 15-22'!B224</f>
        <v>1600</v>
      </c>
      <c r="D71" s="888" t="str">
        <f>'Expenditures 15-22'!A224</f>
        <v>Summer School Programs</v>
      </c>
      <c r="E71" s="869"/>
      <c r="F71" s="1939">
        <f>'Expenditures 15-22'!K224</f>
        <v>0</v>
      </c>
      <c r="G71" s="866"/>
    </row>
    <row r="72" spans="1:8" x14ac:dyDescent="0.2">
      <c r="A72" s="870" t="s">
        <v>482</v>
      </c>
      <c r="B72" s="870" t="s">
        <v>2006</v>
      </c>
      <c r="C72" s="887">
        <f>'Expenditures 15-22'!B280</f>
        <v>3000</v>
      </c>
      <c r="D72" s="877" t="s">
        <v>469</v>
      </c>
      <c r="E72" s="869"/>
      <c r="F72" s="1939">
        <f>'Expenditures 15-22'!K280</f>
        <v>316</v>
      </c>
      <c r="G72" s="866"/>
    </row>
    <row r="73" spans="1:8" x14ac:dyDescent="0.2">
      <c r="A73" s="870" t="s">
        <v>482</v>
      </c>
      <c r="B73" s="870" t="s">
        <v>2007</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2008</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2009</v>
      </c>
      <c r="E76" s="1796" t="s">
        <v>1015</v>
      </c>
      <c r="F76" s="1800">
        <f>SUM(F18:F74)</f>
        <v>1747717</v>
      </c>
      <c r="G76" s="866"/>
    </row>
    <row r="77" spans="1:8" s="894" customFormat="1" ht="12" customHeight="1" thickTop="1" thickBot="1" x14ac:dyDescent="0.25">
      <c r="A77" s="1801"/>
      <c r="B77" s="1798"/>
      <c r="C77" s="1794"/>
      <c r="D77" s="1799" t="s">
        <v>2010</v>
      </c>
      <c r="E77" s="1796"/>
      <c r="F77" s="1802">
        <f>(F14-F76)</f>
        <v>7146417</v>
      </c>
      <c r="G77" s="870"/>
    </row>
    <row r="78" spans="1:8" s="894" customFormat="1" ht="12" customHeight="1" thickTop="1" x14ac:dyDescent="0.2">
      <c r="A78" s="1803"/>
      <c r="B78" s="1798"/>
      <c r="C78" s="1794"/>
      <c r="D78" s="1799" t="s">
        <v>2056</v>
      </c>
      <c r="E78" s="1796"/>
      <c r="F78" s="899">
        <v>606.26</v>
      </c>
      <c r="G78" s="900"/>
      <c r="H78" s="870"/>
    </row>
    <row r="79" spans="1:8" s="894" customFormat="1" ht="12" customHeight="1" thickBot="1" x14ac:dyDescent="0.25">
      <c r="A79" s="1804"/>
      <c r="B79" s="1798"/>
      <c r="C79" s="1794"/>
      <c r="D79" s="1799" t="s">
        <v>2011</v>
      </c>
      <c r="E79" s="1796" t="s">
        <v>1015</v>
      </c>
      <c r="F79" s="1805">
        <f>IF(F78&gt;0,F77/F78," Complete Line 78")</f>
        <v>11787.709893445057</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6864</v>
      </c>
      <c r="G94" s="913"/>
    </row>
    <row r="95" spans="1:7" x14ac:dyDescent="0.2">
      <c r="A95" s="909" t="s">
        <v>142</v>
      </c>
      <c r="B95" s="909" t="s">
        <v>177</v>
      </c>
      <c r="C95" s="911">
        <v>1700</v>
      </c>
      <c r="D95" s="919" t="str">
        <f>'Revenues 9-14'!A82</f>
        <v>Total District/School Activity Income</v>
      </c>
      <c r="E95" s="907"/>
      <c r="F95" s="1811">
        <f>SUM('Revenues 9-14'!C82,'Revenues 9-14'!D82)</f>
        <v>44337</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218452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8303</v>
      </c>
      <c r="G107" s="913"/>
    </row>
    <row r="108" spans="1:7" x14ac:dyDescent="0.2">
      <c r="A108" s="909" t="s">
        <v>479</v>
      </c>
      <c r="B108" s="909" t="s">
        <v>844</v>
      </c>
      <c r="C108" s="921">
        <f>'Revenues 9-14'!B145</f>
        <v>3360</v>
      </c>
      <c r="D108" s="912" t="str">
        <f>'Revenues 9-14'!A145</f>
        <v>State Free Lunch &amp; Breakfast</v>
      </c>
      <c r="E108" s="907"/>
      <c r="F108" s="1811">
        <f>'Revenues 9-14'!C145</f>
        <v>1344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437138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15302</v>
      </c>
      <c r="G129" s="931"/>
    </row>
    <row r="130" spans="1:7" x14ac:dyDescent="0.2">
      <c r="A130" s="928" t="s">
        <v>689</v>
      </c>
      <c r="B130" s="928" t="s">
        <v>804</v>
      </c>
      <c r="C130" s="933">
        <v>4300</v>
      </c>
      <c r="D130" s="934" t="str">
        <f>'Revenues 9-14'!A211</f>
        <v>Total Title I</v>
      </c>
      <c r="E130" s="907"/>
      <c r="F130" s="1811">
        <f>SUM('Revenues 9-14'!C211,'Revenues 9-14'!D211,'Revenues 9-14'!F211,'Revenues 9-14'!G211)</f>
        <v>208385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122320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12109</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13220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2055</v>
      </c>
      <c r="C175" s="1946">
        <v>3100</v>
      </c>
      <c r="D175" s="1947" t="s">
        <v>2058</v>
      </c>
      <c r="E175" s="907"/>
      <c r="F175" s="1931"/>
      <c r="G175" s="928"/>
    </row>
    <row r="176" spans="1:7" x14ac:dyDescent="0.2">
      <c r="A176" s="1944" t="s">
        <v>685</v>
      </c>
      <c r="B176" s="1945" t="s">
        <v>2055</v>
      </c>
      <c r="C176" s="1946">
        <v>3300</v>
      </c>
      <c r="D176" s="1947" t="s">
        <v>2059</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2012</v>
      </c>
      <c r="E178" s="1809" t="s">
        <v>1015</v>
      </c>
      <c r="F178" s="1810">
        <f>SUM(F84:F136,F161:F176)</f>
        <v>1087774</v>
      </c>
    </row>
    <row r="179" spans="1:7" ht="12" customHeight="1" x14ac:dyDescent="0.2">
      <c r="A179" s="1792"/>
      <c r="B179" s="1806"/>
      <c r="C179" s="1807"/>
      <c r="D179" s="1808" t="s">
        <v>2013</v>
      </c>
      <c r="E179" s="1809"/>
      <c r="F179" s="1811">
        <f>'PCTC-OEPP 27-28'!F77-F178</f>
        <v>6058643</v>
      </c>
    </row>
    <row r="180" spans="1:7" ht="12" customHeight="1" x14ac:dyDescent="0.2">
      <c r="A180" s="1792"/>
      <c r="B180" s="1806"/>
      <c r="C180" s="1807"/>
      <c r="D180" s="1808" t="s">
        <v>1923</v>
      </c>
      <c r="E180" s="1809"/>
      <c r="F180" s="1811">
        <f>'Cap Outlay Deprec 26'!I18</f>
        <v>141791</v>
      </c>
    </row>
    <row r="181" spans="1:7" ht="12" customHeight="1" x14ac:dyDescent="0.2">
      <c r="A181" s="1792"/>
      <c r="B181" s="1806"/>
      <c r="C181" s="1807"/>
      <c r="D181" s="1808" t="s">
        <v>2014</v>
      </c>
      <c r="E181" s="1809"/>
      <c r="F181" s="1811">
        <f>F179+F180</f>
        <v>6200434</v>
      </c>
    </row>
    <row r="182" spans="1:7" ht="12" customHeight="1" x14ac:dyDescent="0.2">
      <c r="A182" s="1792"/>
      <c r="B182" s="1812"/>
      <c r="C182" s="1807"/>
      <c r="D182" s="1808" t="str">
        <f>D78</f>
        <v>9 Month ADA from District Average Daily Attendance/Prior General State Aid Inquiry 2017-2018</v>
      </c>
      <c r="E182" s="1809"/>
      <c r="F182" s="1813">
        <f>'PCTC-OEPP 27-28'!F78</f>
        <v>606.26</v>
      </c>
      <c r="G182" s="931"/>
    </row>
    <row r="183" spans="1:7" ht="12" customHeight="1" thickBot="1" x14ac:dyDescent="0.25">
      <c r="A183" s="1792"/>
      <c r="B183" s="1812"/>
      <c r="C183" s="1807"/>
      <c r="D183" s="1808" t="s">
        <v>2015</v>
      </c>
      <c r="E183" s="1809" t="s">
        <v>1626</v>
      </c>
      <c r="F183" s="1814">
        <f>F181/F182</f>
        <v>10227.351301421832</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8" customFormat="1" ht="12.2" customHeight="1" x14ac:dyDescent="0.2">
      <c r="A186" s="1948" t="s">
        <v>2062</v>
      </c>
      <c r="B186" s="1949"/>
      <c r="C186" s="1950"/>
      <c r="D186" s="1949"/>
      <c r="E186" s="1950"/>
      <c r="F186" s="1949"/>
      <c r="G186" s="1949"/>
    </row>
    <row r="187" spans="1:7" s="1948" customFormat="1" ht="12.2" customHeight="1" x14ac:dyDescent="0.2">
      <c r="A187" s="1951" t="s">
        <v>2063</v>
      </c>
      <c r="C187" s="1950"/>
      <c r="D187" s="1949"/>
      <c r="E187" s="1950"/>
      <c r="F187" s="1949"/>
      <c r="G187" s="1949"/>
    </row>
    <row r="188" spans="1:7" ht="12" customHeight="1" x14ac:dyDescent="0.2">
      <c r="C188" s="950"/>
      <c r="D188" s="931"/>
      <c r="E188" s="950"/>
      <c r="F188" s="931"/>
      <c r="G188" s="931"/>
    </row>
    <row r="189" spans="1:7" x14ac:dyDescent="0.2">
      <c r="A189" s="1952" t="s">
        <v>2061</v>
      </c>
      <c r="B189" s="1953"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2" sqref="B22"/>
    </sheetView>
  </sheetViews>
  <sheetFormatPr defaultColWidth="9.140625" defaultRowHeight="15" x14ac:dyDescent="0.25"/>
  <cols>
    <col min="1" max="1" width="52" style="1564" customWidth="1"/>
    <col min="2" max="2" width="16.42578125" style="1565" bestFit="1" customWidth="1"/>
    <col min="3" max="3" width="33.5703125" style="1565" customWidth="1"/>
    <col min="4" max="4" width="16.42578125" style="1566" customWidth="1"/>
    <col min="5" max="5" width="0.140625" style="1566" hidden="1" customWidth="1"/>
    <col min="6" max="6" width="23.5703125" style="1566" customWidth="1"/>
    <col min="7" max="7" width="23.425781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1924</v>
      </c>
      <c r="B4" s="2287"/>
      <c r="C4" s="2287"/>
      <c r="D4" s="2287"/>
      <c r="E4" s="2287"/>
      <c r="F4" s="2287"/>
      <c r="G4" s="2288"/>
    </row>
    <row r="5" spans="1:7" x14ac:dyDescent="0.25">
      <c r="A5" s="2289"/>
      <c r="B5" s="2290"/>
      <c r="C5" s="2290"/>
      <c r="D5" s="2290"/>
      <c r="E5" s="2290"/>
      <c r="F5" s="2290"/>
      <c r="G5" s="2291"/>
    </row>
    <row r="6" spans="1:7" ht="18.75" x14ac:dyDescent="0.25">
      <c r="A6" s="1556" t="s">
        <v>1925</v>
      </c>
      <c r="B6" s="1557"/>
      <c r="C6" s="1557"/>
      <c r="D6" s="1557"/>
      <c r="E6" s="1557"/>
      <c r="F6" s="1557"/>
      <c r="G6" s="1558"/>
    </row>
    <row r="7" spans="1:7" ht="30.75" customHeight="1" x14ac:dyDescent="0.25">
      <c r="A7" s="2292" t="s">
        <v>2072</v>
      </c>
      <c r="B7" s="2293"/>
      <c r="C7" s="2293"/>
      <c r="D7" s="2293"/>
      <c r="E7" s="2293"/>
      <c r="F7" s="2293"/>
      <c r="G7" s="2294"/>
    </row>
    <row r="8" spans="1:7" ht="15.75" customHeight="1" x14ac:dyDescent="0.25">
      <c r="A8" s="2295" t="s">
        <v>2021</v>
      </c>
      <c r="B8" s="2296"/>
      <c r="C8" s="2296"/>
      <c r="D8" s="2296"/>
      <c r="E8" s="2296"/>
      <c r="F8" s="2296"/>
      <c r="G8" s="2297"/>
    </row>
    <row r="9" spans="1:7" ht="35.25" customHeight="1" x14ac:dyDescent="0.25">
      <c r="A9" s="2292" t="s">
        <v>2075</v>
      </c>
      <c r="B9" s="2293"/>
      <c r="C9" s="2293"/>
      <c r="D9" s="2293"/>
      <c r="E9" s="2293"/>
      <c r="F9" s="2293"/>
      <c r="G9" s="2294"/>
    </row>
    <row r="10" spans="1:7" ht="15" customHeight="1" x14ac:dyDescent="0.25">
      <c r="A10" s="1559" t="s">
        <v>1926</v>
      </c>
      <c r="B10" s="1560"/>
      <c r="C10" s="1560"/>
      <c r="D10" s="1560"/>
      <c r="E10" s="1560"/>
      <c r="F10" s="1560"/>
      <c r="G10" s="1561"/>
    </row>
    <row r="11" spans="1:7" ht="17.25" customHeight="1" x14ac:dyDescent="0.25">
      <c r="A11" s="2292" t="s">
        <v>2074</v>
      </c>
      <c r="B11" s="2293"/>
      <c r="C11" s="2293"/>
      <c r="D11" s="2293"/>
      <c r="E11" s="2293"/>
      <c r="F11" s="2293"/>
      <c r="G11" s="2294"/>
    </row>
    <row r="12" spans="1:7" ht="15" customHeight="1" x14ac:dyDescent="0.25">
      <c r="A12" s="1559" t="s">
        <v>1931</v>
      </c>
      <c r="B12" s="1560"/>
      <c r="C12" s="1560"/>
      <c r="D12" s="1560"/>
      <c r="E12" s="1560"/>
      <c r="F12" s="1560"/>
      <c r="G12" s="1561"/>
    </row>
    <row r="13" spans="1:7" ht="32.25" customHeight="1" x14ac:dyDescent="0.25">
      <c r="A13" s="2283" t="s">
        <v>1932</v>
      </c>
      <c r="B13" s="2284"/>
      <c r="C13" s="2284"/>
      <c r="D13" s="2284"/>
      <c r="E13" s="2284"/>
      <c r="F13" s="2284"/>
      <c r="G13" s="2285"/>
    </row>
    <row r="14" spans="1:7" x14ac:dyDescent="0.25">
      <c r="A14" s="1683" t="s">
        <v>1940</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1941</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2104</v>
      </c>
      <c r="B17" s="1868"/>
      <c r="C17" s="1678"/>
      <c r="D17" s="1867">
        <v>1</v>
      </c>
      <c r="E17" s="1562">
        <f t="shared" ref="E17:E141" si="1">IF(D17&lt;=25000,D17,IF(D17&gt;25000,25000,0))</f>
        <v>1</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v>
      </c>
      <c r="E141" s="1563">
        <f t="shared" si="1"/>
        <v>1</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8" sqref="E18"/>
    </sheetView>
  </sheetViews>
  <sheetFormatPr defaultColWidth="9.140625" defaultRowHeight="12.75" x14ac:dyDescent="0.2"/>
  <cols>
    <col min="1" max="1" width="8.140625" style="329" customWidth="1"/>
    <col min="2" max="2" width="46.85546875" style="329" customWidth="1"/>
    <col min="3" max="3" width="8" style="329" customWidth="1"/>
    <col min="4" max="6" width="16.5703125" style="329" customWidth="1"/>
    <col min="7" max="7" width="17.140625" style="329" customWidth="1"/>
    <col min="8" max="8" width="3.5703125" style="329" customWidth="1"/>
    <col min="9" max="9" width="3.425781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1777</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03" t="s">
        <v>1943</v>
      </c>
      <c r="B11" s="2304"/>
      <c r="C11" s="2304"/>
      <c r="D11" s="230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4127709</v>
      </c>
      <c r="F19" s="1822"/>
      <c r="G19" s="1824">
        <f>'Expenditures 15-22'!K33-SUM('Expenditures 15-22'!G33,'Expenditures 15-22'!I33)+'Expenditures 15-22'!D229</f>
        <v>4127709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383614</v>
      </c>
      <c r="F21" s="1825"/>
      <c r="G21" s="1828">
        <f>'Expenditures 15-22'!K42-SUM('Expenditures 15-22'!G42,'Expenditures 15-22'!I42)+'Expenditures 15-22'!K120-SUM('Expenditures 15-22'!G120,'Expenditures 15-22'!I120)+'Expenditures 15-22'!K180-SUM('Expenditures 15-22'!G180,'Expenditures 15-22'!I180)+'Expenditures 15-22'!D238</f>
        <v>383614</v>
      </c>
      <c r="H21" s="988"/>
      <c r="I21" s="162"/>
    </row>
    <row r="22" spans="1:9" s="669" customFormat="1" ht="12" customHeight="1" x14ac:dyDescent="0.2">
      <c r="A22" s="995" t="s">
        <v>585</v>
      </c>
      <c r="B22" s="996"/>
      <c r="C22" s="994">
        <v>2200</v>
      </c>
      <c r="D22" s="1825"/>
      <c r="E22" s="1827">
        <f>'Expenditures 15-22'!K47-SUM('Expenditures 15-22'!G47,'Expenditures 15-22'!I47)+'Expenditures 15-22'!D243</f>
        <v>97020</v>
      </c>
      <c r="F22" s="1825"/>
      <c r="G22" s="1828">
        <f>'Expenditures 15-22'!K47-SUM('Expenditures 15-22'!G47,'Expenditures 15-22'!I47)+'Expenditures 15-22'!D243</f>
        <v>97020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504146</v>
      </c>
      <c r="F23" s="1825"/>
      <c r="G23" s="1827">
        <f>'Expenditures 15-22'!K53-SUM('Expenditures 15-22'!G53,'Expenditures 15-22'!I53)+'Expenditures 15-22'!D257+'Expenditures 15-22'!K330-SUM('Expenditures 15-22'!G330,'Expenditures 15-22'!I330)</f>
        <v>504146</v>
      </c>
      <c r="H23" s="988"/>
      <c r="I23" s="162"/>
    </row>
    <row r="24" spans="1:9" s="669" customFormat="1" ht="12" customHeight="1" x14ac:dyDescent="0.2">
      <c r="A24" s="995" t="s">
        <v>587</v>
      </c>
      <c r="B24" s="996"/>
      <c r="C24" s="994">
        <v>2400</v>
      </c>
      <c r="D24" s="1825"/>
      <c r="E24" s="1827">
        <f>'Expenditures 15-22'!K57-SUM('Expenditures 15-22'!G57,'Expenditures 15-22'!I57)+'Expenditures 15-22'!D261</f>
        <v>493600</v>
      </c>
      <c r="F24" s="1825"/>
      <c r="G24" s="1828">
        <f>'Expenditures 15-22'!K57-SUM('Expenditures 15-22'!G57,'Expenditures 15-22'!I57)+'Expenditures 15-22'!D261</f>
        <v>493600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43314</v>
      </c>
      <c r="E27" s="1827">
        <f>E8</f>
        <v>0</v>
      </c>
      <c r="F27" s="1827">
        <f>'Expenditures 15-22'!K60-SUM('Expenditures 15-22'!G60,'Expenditures 15-22'!I60)+'Expenditures 15-22'!D264-E8</f>
        <v>43314</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464251</v>
      </c>
      <c r="F28" s="1829">
        <f>'Expenditures 15-22'!K61-SUM('Expenditures 15-22'!G61,'Expenditures 15-22'!I61)+'Expenditures 15-22'!K124-SUM('Expenditures 15-22'!G124,'Expenditures 15-22'!I124)+'Expenditures 15-22'!D266-E9</f>
        <v>464251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643137</v>
      </c>
      <c r="F29" s="1825"/>
      <c r="G29" s="1828">
        <f>'Expenditures 15-22'!K62-SUM('Expenditures 15-22'!G62,'Expenditures 15-22'!I62)+'Expenditures 15-22'!K125-SUM('Expenditures 15-22'!G125,'Expenditures 15-22'!I125)+'Expenditures 15-22'!K182-SUM('Expenditures 15-22'!G182,'Expenditures 15-22'!I182)+'Expenditures 15-22'!D267</f>
        <v>643137</v>
      </c>
      <c r="H29" s="986"/>
    </row>
    <row r="30" spans="1:9" ht="12" customHeight="1" x14ac:dyDescent="0.2">
      <c r="A30" s="995" t="s">
        <v>102</v>
      </c>
      <c r="B30" s="998"/>
      <c r="C30" s="994">
        <v>2560</v>
      </c>
      <c r="D30" s="1825"/>
      <c r="E30" s="1827">
        <f>'Expenditures 15-22'!K63-SUM('Expenditures 15-22'!G63,'Expenditures 15-22'!I63)+'Expenditures 15-22'!D268-E10</f>
        <v>87916</v>
      </c>
      <c r="F30" s="1825"/>
      <c r="G30" s="1827">
        <f>'Expenditures 15-22'!K63-SUM('Expenditures 15-22'!G63,'Expenditures 15-22'!I63)+'Expenditures 15-22'!D268-E10</f>
        <v>87916</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236179</v>
      </c>
      <c r="E37" s="1827">
        <f>E14</f>
        <v>0</v>
      </c>
      <c r="F37" s="1827">
        <f>'Expenditures 15-22'!K71-SUM('Expenditures 15-22'!G71,'Expenditures 15-22'!I71)+'Expenditures 15-22'!D276-E14</f>
        <v>236179</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555</v>
      </c>
      <c r="F38" s="1825"/>
      <c r="G38" s="1827">
        <f>'Expenditures 15-22'!K73-SUM('Expenditures 15-22'!G73,'Expenditures 15-22'!I73)+'Expenditures 15-22'!K128-SUM('Expenditures 15-22'!G128,'Expenditures 15-22'!I128)+'Expenditures 15-22'!K183-SUM('Expenditures 15-22'!G183,'Expenditures 15-22'!I183)+'Expenditures 15-22'!D278</f>
        <v>555</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22724</v>
      </c>
      <c r="F39" s="1825"/>
      <c r="G39" s="1827">
        <f>'Expenditures 15-22'!K75-SUM('Expenditures 15-22'!G75,'Expenditures 15-22'!I75)+'Expenditures 15-22'!K130-SUM('Expenditures 15-22'!G130,'Expenditures 15-22'!I130)+'Expenditures 15-22'!K185-SUM('Expenditures 15-22'!G185,'Expenditures 15-22'!I185)+'Expenditures 15-22'!D280</f>
        <v>22724</v>
      </c>
    </row>
    <row r="40" spans="1:7" ht="12" customHeight="1" x14ac:dyDescent="0.2">
      <c r="A40" s="991" t="s">
        <v>1929</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279493</v>
      </c>
      <c r="E41" s="1829">
        <f>SUM(E19:E40)</f>
        <v>6824672</v>
      </c>
      <c r="F41" s="1829">
        <f>SUM(F19:F39)</f>
        <v>743744</v>
      </c>
      <c r="G41" s="1829">
        <f>SUM(G19:G40)</f>
        <v>6360421</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279493</v>
      </c>
      <c r="F43" s="1830" t="s">
        <v>495</v>
      </c>
      <c r="G43" s="1831">
        <f>F41</f>
        <v>743744</v>
      </c>
    </row>
    <row r="44" spans="1:7" ht="12" customHeight="1" x14ac:dyDescent="0.2">
      <c r="A44" s="988"/>
      <c r="B44" s="162"/>
      <c r="C44" s="1002"/>
      <c r="D44" s="1830" t="s">
        <v>494</v>
      </c>
      <c r="E44" s="1831">
        <f>E41</f>
        <v>6824672</v>
      </c>
      <c r="F44" s="1830" t="s">
        <v>494</v>
      </c>
      <c r="G44" s="1831">
        <f>G41</f>
        <v>6360421</v>
      </c>
    </row>
    <row r="45" spans="1:7" ht="12" customHeight="1" x14ac:dyDescent="0.2">
      <c r="A45" s="988"/>
      <c r="B45" s="162"/>
      <c r="C45" s="162"/>
      <c r="D45" s="1832" t="s">
        <v>1063</v>
      </c>
      <c r="E45" s="1833">
        <f>(E43/E44)</f>
        <v>4.0953323471076705E-2</v>
      </c>
      <c r="F45" s="1832" t="s">
        <v>1063</v>
      </c>
      <c r="G45" s="1833">
        <f>(G43/G44)</f>
        <v>0.11693314011761172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E27" sqref="E2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2045</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Atwood Heights SD 125</v>
      </c>
      <c r="D6" s="2313"/>
      <c r="E6" s="2313"/>
      <c r="F6" s="1877"/>
    </row>
    <row r="7" spans="1:10" ht="11.25" customHeight="1" thickBot="1" x14ac:dyDescent="0.3">
      <c r="A7" s="1875"/>
      <c r="B7" s="1876"/>
      <c r="C7" s="2314" t="str">
        <f>COVER!A13</f>
        <v>07-016-1250-02</v>
      </c>
      <c r="D7" s="2314"/>
      <c r="E7" s="2314"/>
      <c r="F7" s="1877"/>
    </row>
    <row r="8" spans="1:10" ht="25.5" customHeight="1" thickBot="1" x14ac:dyDescent="0.25">
      <c r="A8" s="1918" t="s">
        <v>2022</v>
      </c>
      <c r="B8" s="1878"/>
      <c r="C8" s="1914" t="s">
        <v>1779</v>
      </c>
      <c r="D8" s="1913" t="s">
        <v>1780</v>
      </c>
      <c r="E8" s="1915" t="s">
        <v>1447</v>
      </c>
      <c r="F8" s="1913" t="s">
        <v>1781</v>
      </c>
      <c r="H8" s="1879" t="b">
        <v>0</v>
      </c>
    </row>
    <row r="9" spans="1:10" ht="15.75" customHeight="1" x14ac:dyDescent="0.2">
      <c r="A9" s="1880" t="s">
        <v>1623</v>
      </c>
      <c r="B9" s="1881"/>
      <c r="C9" s="1882"/>
      <c r="D9" s="1882"/>
      <c r="E9" s="1883"/>
      <c r="F9" s="1884"/>
    </row>
    <row r="10" spans="1:10" ht="27.75" customHeight="1" x14ac:dyDescent="0.2">
      <c r="A10" s="1885" t="s">
        <v>1778</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2082</v>
      </c>
      <c r="D19" s="1890" t="s">
        <v>2082</v>
      </c>
      <c r="E19" s="1893" t="s">
        <v>2082</v>
      </c>
      <c r="F19" s="1892" t="s">
        <v>2106</v>
      </c>
      <c r="H19" s="1903">
        <f t="shared" si="0"/>
        <v>5</v>
      </c>
      <c r="I19" s="1903">
        <f t="shared" si="1"/>
        <v>5</v>
      </c>
      <c r="J19" s="1903">
        <f t="shared" si="2"/>
        <v>5</v>
      </c>
    </row>
    <row r="20" spans="1:12" ht="12" customHeight="1" x14ac:dyDescent="0.2">
      <c r="A20" s="1888" t="s">
        <v>1609</v>
      </c>
      <c r="B20" s="1889"/>
      <c r="C20" s="1890" t="s">
        <v>2082</v>
      </c>
      <c r="D20" s="1890" t="s">
        <v>2082</v>
      </c>
      <c r="E20" s="1893" t="s">
        <v>2082</v>
      </c>
      <c r="F20" s="1892" t="s">
        <v>2107</v>
      </c>
      <c r="H20" s="1903">
        <f t="shared" si="0"/>
        <v>5</v>
      </c>
      <c r="I20" s="1903">
        <f t="shared" si="1"/>
        <v>5</v>
      </c>
      <c r="J20" s="1903">
        <f t="shared" si="2"/>
        <v>5</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2082</v>
      </c>
      <c r="D26" s="1890" t="s">
        <v>2082</v>
      </c>
      <c r="E26" s="1893" t="s">
        <v>2082</v>
      </c>
      <c r="F26" s="1892" t="s">
        <v>2108</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15</v>
      </c>
      <c r="I34" s="1903">
        <f>SUM(I11:I32)</f>
        <v>15</v>
      </c>
      <c r="J34" s="1903">
        <f>SUM(J11:J32)</f>
        <v>15</v>
      </c>
      <c r="K34" s="1903">
        <f>SUM(H34:J34)</f>
        <v>45</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11" customWidth="1"/>
    <col min="2" max="2" width="2.5703125" style="1011" customWidth="1"/>
    <col min="3" max="3" width="38.5703125" style="1011" customWidth="1"/>
    <col min="4" max="4" width="6.42578125" style="1011" customWidth="1"/>
    <col min="5" max="10" width="15.5703125" style="1011" customWidth="1"/>
    <col min="11" max="14" width="4.570312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Atwood Heights SD 125</v>
      </c>
      <c r="J6" s="2334"/>
      <c r="Q6" s="1686"/>
    </row>
    <row r="7" spans="1:17" x14ac:dyDescent="0.2">
      <c r="A7" s="2335" t="s">
        <v>924</v>
      </c>
      <c r="B7" s="2336"/>
      <c r="C7" s="2336"/>
      <c r="D7" s="2336"/>
      <c r="E7" s="2337"/>
      <c r="F7" s="1018"/>
      <c r="G7" s="1010"/>
      <c r="H7" s="1017" t="s">
        <v>390</v>
      </c>
      <c r="I7" s="2338" t="str">
        <f>COVER!A13</f>
        <v>07-016-1250-02</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369506</v>
      </c>
      <c r="F12" s="1040"/>
      <c r="G12" s="1834">
        <f t="shared" ref="G12:G18" si="0">SUM(E12:F12)</f>
        <v>369506</v>
      </c>
      <c r="H12" s="1041">
        <v>342998</v>
      </c>
      <c r="I12" s="1040"/>
      <c r="J12" s="1834">
        <f t="shared" ref="J12:J18" si="1">SUM(H12:I12)</f>
        <v>342998</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369506</v>
      </c>
      <c r="F19" s="1836">
        <f t="shared" si="2"/>
        <v>0</v>
      </c>
      <c r="G19" s="1836">
        <f t="shared" si="2"/>
        <v>369506</v>
      </c>
      <c r="H19" s="1836">
        <f t="shared" si="2"/>
        <v>342998</v>
      </c>
      <c r="I19" s="1836">
        <f t="shared" si="2"/>
        <v>0</v>
      </c>
      <c r="J19" s="1836">
        <f t="shared" si="2"/>
        <v>342998</v>
      </c>
    </row>
    <row r="20" spans="1:10" ht="13.5" thickTop="1" x14ac:dyDescent="0.2">
      <c r="A20" s="1036">
        <v>9</v>
      </c>
      <c r="B20" s="2345" t="s">
        <v>1702</v>
      </c>
      <c r="C20" s="2345"/>
      <c r="D20" s="2346"/>
      <c r="E20" s="1047"/>
      <c r="F20" s="1047"/>
      <c r="G20" s="1047"/>
      <c r="H20" s="1047"/>
      <c r="I20" s="1047"/>
      <c r="J20" s="1837">
        <f>IF(AND(G19&gt;0,J19&gt;0),(((J19-G19)/G19)),"Enter Budget Data")</f>
        <v>-7.1739024535460855E-2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1942</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Atwood Heights SD 125</v>
      </c>
    </row>
    <row r="65" spans="2:2" x14ac:dyDescent="0.2">
      <c r="B65" s="1071" t="str">
        <f>COVER!A13</f>
        <v>07-016-1250-02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2" sqref="C22"/>
    </sheetView>
  </sheetViews>
  <sheetFormatPr defaultRowHeight="14.25" x14ac:dyDescent="0.2"/>
  <cols>
    <col min="1" max="1" width="1.140625" customWidth="1"/>
    <col min="2" max="2" width="2.5703125" style="17" customWidth="1"/>
    <col min="3" max="3" width="107.42578125" style="2" customWidth="1"/>
    <col min="4" max="4" width="1.425781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570312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1782</v>
      </c>
    </row>
    <row r="17" spans="1:2" ht="6" customHeight="1" x14ac:dyDescent="0.2"/>
    <row r="18" spans="1:2" ht="24.75" customHeight="1" x14ac:dyDescent="0.2">
      <c r="A18" s="2352" t="s">
        <v>1783</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2</xdr:row>
                <xdr:rowOff>0</xdr:rowOff>
              </from>
              <to>
                <xdr:col>1</xdr:col>
                <xdr:colOff>914400</xdr:colOff>
                <xdr:row>6</xdr:row>
                <xdr:rowOff>28575</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9" sqref="C9"/>
    </sheetView>
  </sheetViews>
  <sheetFormatPr defaultColWidth="9.140625" defaultRowHeight="12.75" x14ac:dyDescent="0.2"/>
  <cols>
    <col min="1" max="1" width="33.85546875" style="316" customWidth="1"/>
    <col min="2" max="6" width="16.5703125" style="316" customWidth="1"/>
    <col min="7" max="16384" width="9.140625" style="316"/>
  </cols>
  <sheetData>
    <row r="1" spans="1:8" ht="48.75" customHeight="1" x14ac:dyDescent="0.2">
      <c r="A1" s="2353" t="s">
        <v>1789</v>
      </c>
      <c r="B1" s="2354"/>
      <c r="C1" s="2354"/>
      <c r="D1" s="2354"/>
      <c r="E1" s="2354"/>
      <c r="F1" s="2355"/>
    </row>
    <row r="2" spans="1:8" ht="45" customHeight="1" x14ac:dyDescent="0.2">
      <c r="A2" s="2363" t="s">
        <v>1790</v>
      </c>
      <c r="B2" s="2364"/>
      <c r="C2" s="2364"/>
      <c r="D2" s="2364"/>
      <c r="E2" s="2364"/>
      <c r="F2" s="2365"/>
      <c r="G2" s="1075"/>
      <c r="H2" s="1075"/>
    </row>
    <row r="3" spans="1:8" ht="57" customHeight="1" x14ac:dyDescent="0.2">
      <c r="A3" s="2366" t="s">
        <v>1785</v>
      </c>
      <c r="B3" s="2367"/>
      <c r="C3" s="2367"/>
      <c r="D3" s="2367"/>
      <c r="E3" s="2367"/>
      <c r="F3" s="2368"/>
      <c r="G3" s="1075"/>
      <c r="H3" s="1075"/>
    </row>
    <row r="4" spans="1:8" ht="14.25" customHeight="1" x14ac:dyDescent="0.2">
      <c r="A4" s="2372" t="s">
        <v>2053</v>
      </c>
      <c r="B4" s="2373"/>
      <c r="C4" s="2373"/>
      <c r="D4" s="2373"/>
      <c r="E4" s="2373"/>
      <c r="F4" s="2374"/>
      <c r="G4" s="1075"/>
      <c r="H4" s="1075"/>
    </row>
    <row r="5" spans="1:8" ht="14.25" customHeight="1" x14ac:dyDescent="0.2">
      <c r="A5" s="2375" t="s">
        <v>2054</v>
      </c>
      <c r="B5" s="2376"/>
      <c r="C5" s="2376"/>
      <c r="D5" s="2376"/>
      <c r="E5" s="2376"/>
      <c r="F5" s="2377"/>
      <c r="G5" s="1075"/>
      <c r="H5" s="1075"/>
    </row>
    <row r="6" spans="1:8" s="1076" customFormat="1" ht="41.25" customHeight="1" x14ac:dyDescent="0.2">
      <c r="A6" s="2369" t="s">
        <v>1791</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7206049</v>
      </c>
      <c r="C8" s="1838">
        <f>'Acct Summary 7-8'!D8</f>
        <v>552585</v>
      </c>
      <c r="D8" s="1838">
        <f>'Acct Summary 7-8'!F8</f>
        <v>1213198</v>
      </c>
      <c r="E8" s="1838">
        <f>'Acct Summary 7-8'!I8</f>
        <v>89082</v>
      </c>
      <c r="F8" s="1838">
        <f>SUM(B8:E8)</f>
        <v>9060914</v>
      </c>
    </row>
    <row r="9" spans="1:8" s="1080" customFormat="1" ht="14.25" customHeight="1" thickBot="1" x14ac:dyDescent="0.25">
      <c r="A9" s="1079" t="s">
        <v>1436</v>
      </c>
      <c r="B9" s="1839">
        <f>'Acct Summary 7-8'!C17</f>
        <v>6782014</v>
      </c>
      <c r="C9" s="1839">
        <f>'Acct Summary 7-8'!D17</f>
        <v>448612</v>
      </c>
      <c r="D9" s="1839">
        <f>'Acct Summary 7-8'!F17</f>
        <v>642285</v>
      </c>
      <c r="E9" s="1838"/>
      <c r="F9" s="1838">
        <f>SUM(B9:E9)</f>
        <v>7872911</v>
      </c>
    </row>
    <row r="10" spans="1:8" s="1080" customFormat="1" ht="14.25" thickTop="1" thickBot="1" x14ac:dyDescent="0.25">
      <c r="A10" s="1081" t="s">
        <v>1437</v>
      </c>
      <c r="B10" s="1840">
        <f>(B8-B9)</f>
        <v>424035</v>
      </c>
      <c r="C10" s="1840">
        <f>(C8-C9)</f>
        <v>103973</v>
      </c>
      <c r="D10" s="1840">
        <f>(D8-D9)</f>
        <v>570913</v>
      </c>
      <c r="E10" s="1839">
        <f>(E8-E9)</f>
        <v>89082</v>
      </c>
      <c r="F10" s="1841">
        <f>SUM(F8-F9)</f>
        <v>1188003</v>
      </c>
    </row>
    <row r="11" spans="1:8" s="1080" customFormat="1" ht="14.25" thickTop="1" thickBot="1" x14ac:dyDescent="0.25">
      <c r="A11" s="1082" t="s">
        <v>1784</v>
      </c>
      <c r="B11" s="1842">
        <f>'Acct Summary 7-8'!C81</f>
        <v>3325443</v>
      </c>
      <c r="C11" s="1842">
        <f>'Acct Summary 7-8'!D81</f>
        <v>80157</v>
      </c>
      <c r="D11" s="1842">
        <f>'Acct Summary 7-8'!F81</f>
        <v>681137</v>
      </c>
      <c r="E11" s="1842">
        <f>'Acct Summary 7-8'!I81</f>
        <v>2522527</v>
      </c>
      <c r="F11" s="1843">
        <f>SUM(B11:E11)</f>
        <v>6609264</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1786</v>
      </c>
      <c r="B16" s="2356"/>
      <c r="C16" s="2356"/>
      <c r="D16" s="2356"/>
      <c r="E16" s="2356"/>
      <c r="F16" s="310" t="s">
        <v>1438</v>
      </c>
    </row>
    <row r="17" spans="1:6" hidden="1" x14ac:dyDescent="0.2">
      <c r="A17" s="316" t="s">
        <v>1787</v>
      </c>
      <c r="F17" s="1087"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C56" colorId="8" zoomScale="110" zoomScaleNormal="110" workbookViewId="0">
      <selection activeCell="D80" sqref="D80"/>
    </sheetView>
  </sheetViews>
  <sheetFormatPr defaultColWidth="9.140625" defaultRowHeight="12" x14ac:dyDescent="0.2"/>
  <cols>
    <col min="1" max="1" width="2.5703125" style="1134" customWidth="1"/>
    <col min="2" max="2" width="3.140625" style="1134" customWidth="1"/>
    <col min="3" max="3" width="96.140625" style="1074" customWidth="1"/>
    <col min="4" max="4" width="42.140625" style="242" customWidth="1"/>
    <col min="5" max="5" width="2.570312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1792</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87" t="s">
        <v>1796</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570312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07-016-1250-02</v>
      </c>
    </row>
    <row r="3" spans="1:2" x14ac:dyDescent="0.2">
      <c r="A3" t="s">
        <v>1013</v>
      </c>
      <c r="B3" s="138" t="str">
        <f>COVER!A15</f>
        <v>Cook County</v>
      </c>
    </row>
    <row r="4" spans="1:2" x14ac:dyDescent="0.2">
      <c r="A4" t="s">
        <v>1064</v>
      </c>
      <c r="B4" s="138" t="str">
        <f>COVER!A17</f>
        <v>Atwood Heights SD 125</v>
      </c>
    </row>
    <row r="5" spans="1:2" x14ac:dyDescent="0.2">
      <c r="A5" t="s">
        <v>728</v>
      </c>
      <c r="B5" s="138" t="str">
        <f>COVER!A38</f>
        <v>Thomas Livingston</v>
      </c>
    </row>
    <row r="6" spans="1:2" x14ac:dyDescent="0.2">
      <c r="A6" t="s">
        <v>733</v>
      </c>
      <c r="B6" s="138" t="str">
        <f>COVER!P35</f>
        <v>Worth</v>
      </c>
    </row>
    <row r="7" spans="1:2" x14ac:dyDescent="0.2">
      <c r="A7" t="s">
        <v>729</v>
      </c>
      <c r="B7" s="138" t="str">
        <f>COVER!I38</f>
        <v>Terry La Bella</v>
      </c>
    </row>
    <row r="8" spans="1:2" x14ac:dyDescent="0.2">
      <c r="A8" t="s">
        <v>730</v>
      </c>
      <c r="B8" s="138" t="str">
        <f>COVER!T38</f>
        <v>Dr. Vanessa Kinder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06-5035081</v>
      </c>
    </row>
    <row r="16" spans="1:2" x14ac:dyDescent="0.2">
      <c r="A16" t="s">
        <v>442</v>
      </c>
      <c r="B16" s="138" t="str">
        <f>COVER!T13</f>
        <v>RSM US LLP</v>
      </c>
    </row>
    <row r="17" spans="1:2" x14ac:dyDescent="0.2">
      <c r="A17" t="s">
        <v>939</v>
      </c>
      <c r="B17" s="138" t="str">
        <f>COVER!T15</f>
        <v>Mandy Pittman</v>
      </c>
    </row>
    <row r="18" spans="1:2" x14ac:dyDescent="0.2">
      <c r="A18" t="s">
        <v>1212</v>
      </c>
      <c r="B18" s="138" t="str">
        <f>COVER!T17</f>
        <v>One South Wacker Drive, Suite 800</v>
      </c>
    </row>
    <row r="19" spans="1:2" x14ac:dyDescent="0.2">
      <c r="A19" t="s">
        <v>941</v>
      </c>
      <c r="B19" s="138" t="str">
        <f>COVER!T25</f>
        <v>mandy.pittman@rsmus.com</v>
      </c>
    </row>
    <row r="20" spans="1:2" x14ac:dyDescent="0.2">
      <c r="A20" t="s">
        <v>942</v>
      </c>
      <c r="B20" s="138" t="str">
        <f>COVER!T19</f>
        <v>Chicago</v>
      </c>
    </row>
    <row r="21" spans="1:2" x14ac:dyDescent="0.2">
      <c r="A21" t="s">
        <v>500</v>
      </c>
      <c r="B21" s="138" t="str">
        <f>COVER!X19</f>
        <v>Illinois</v>
      </c>
    </row>
    <row r="22" spans="1:2" x14ac:dyDescent="0.2">
      <c r="A22" t="s">
        <v>943</v>
      </c>
      <c r="B22" s="138">
        <f>COVER!Z19</f>
        <v>60606</v>
      </c>
    </row>
    <row r="23" spans="1:2" x14ac:dyDescent="0.2">
      <c r="A23" t="s">
        <v>1214</v>
      </c>
      <c r="B23" s="138" t="str">
        <f>COVER!T21</f>
        <v>312-634-4414</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3325443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3325443</v>
      </c>
      <c r="D92" s="2" t="str">
        <f t="shared" si="0"/>
        <v>Error?</v>
      </c>
    </row>
    <row r="93" spans="1:4" x14ac:dyDescent="0.2">
      <c r="A93" s="5">
        <v>32</v>
      </c>
      <c r="B93" s="138">
        <f>'Assets-Liab 5-6'!C41</f>
        <v>3325443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80157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80157</v>
      </c>
      <c r="D123" s="2" t="str">
        <f t="shared" si="0"/>
        <v>Error?</v>
      </c>
    </row>
    <row r="124" spans="1:4" x14ac:dyDescent="0.2">
      <c r="A124" s="5">
        <v>63</v>
      </c>
      <c r="B124" s="138">
        <f>'Assets-Liab 5-6'!D41</f>
        <v>80157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1090328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1090328</v>
      </c>
      <c r="D140" s="2" t="str">
        <f t="shared" si="1"/>
        <v>Error?</v>
      </c>
    </row>
    <row r="141" spans="1:4" x14ac:dyDescent="0.2">
      <c r="A141" s="5">
        <v>80</v>
      </c>
      <c r="B141" s="138">
        <f>'Assets-Liab 5-6'!E41</f>
        <v>1090328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681137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681137</v>
      </c>
      <c r="D170" s="2" t="str">
        <f t="shared" si="1"/>
        <v>Error?</v>
      </c>
    </row>
    <row r="171" spans="1:4" x14ac:dyDescent="0.2">
      <c r="A171" s="5">
        <v>110</v>
      </c>
      <c r="B171" s="138">
        <f>'Assets-Liab 5-6'!F41</f>
        <v>681137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89121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89121</v>
      </c>
      <c r="D189" s="2" t="str">
        <f t="shared" si="1"/>
        <v>Error?</v>
      </c>
    </row>
    <row r="190" spans="1:4" x14ac:dyDescent="0.2">
      <c r="A190" s="5">
        <v>129</v>
      </c>
      <c r="B190" s="138">
        <f>'Assets-Liab 5-6'!G41</f>
        <v>89121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25826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25826</v>
      </c>
      <c r="D212" s="2" t="str">
        <f t="shared" si="2"/>
        <v>Error?</v>
      </c>
    </row>
    <row r="213" spans="1:4" x14ac:dyDescent="0.2">
      <c r="A213" s="12">
        <v>152</v>
      </c>
      <c r="B213" s="138">
        <f>'Assets-Liab 5-6'!H41</f>
        <v>25826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268486</v>
      </c>
      <c r="D273" s="2" t="str">
        <f t="shared" si="3"/>
        <v>Error?</v>
      </c>
    </row>
    <row r="274" spans="1:4" x14ac:dyDescent="0.2">
      <c r="A274" s="5">
        <v>213</v>
      </c>
      <c r="B274" s="138">
        <f>'Assets-Liab 5-6'!M17</f>
        <v>5825368</v>
      </c>
      <c r="D274" s="2" t="str">
        <f t="shared" si="3"/>
        <v>Error?</v>
      </c>
    </row>
    <row r="275" spans="1:4" x14ac:dyDescent="0.2">
      <c r="A275" s="5">
        <v>214</v>
      </c>
      <c r="B275" s="138">
        <f>'Assets-Liab 5-6'!M18</f>
        <v>0</v>
      </c>
      <c r="D275" s="2" t="str">
        <f t="shared" si="3"/>
        <v>Error?</v>
      </c>
    </row>
    <row r="276" spans="1:4" x14ac:dyDescent="0.2">
      <c r="A276" s="5">
        <v>215</v>
      </c>
      <c r="B276" s="138">
        <f>'Assets-Liab 5-6'!M19</f>
        <v>124224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6218078</v>
      </c>
      <c r="C279" s="2" t="s">
        <v>594</v>
      </c>
      <c r="D279" s="2" t="str">
        <f t="shared" si="3"/>
        <v>Error?</v>
      </c>
    </row>
    <row r="280" spans="1:4" x14ac:dyDescent="0.2">
      <c r="A280" s="5">
        <v>219</v>
      </c>
      <c r="B280" s="138">
        <f>'Assets-Liab 5-6'!M40</f>
        <v>6218078</v>
      </c>
      <c r="D280" s="2" t="str">
        <f t="shared" si="3"/>
        <v>Error?</v>
      </c>
    </row>
    <row r="281" spans="1:4" x14ac:dyDescent="0.2">
      <c r="A281" s="5">
        <v>220</v>
      </c>
      <c r="B281" s="138">
        <f>'Assets-Liab 5-6'!M41</f>
        <v>6218078</v>
      </c>
      <c r="C281" s="2" t="s">
        <v>594</v>
      </c>
      <c r="D281" s="2" t="str">
        <f t="shared" si="3"/>
        <v>Error?</v>
      </c>
    </row>
    <row r="282" spans="1:4" x14ac:dyDescent="0.2">
      <c r="A282" s="5">
        <v>221</v>
      </c>
      <c r="B282" s="138">
        <f>'Assets-Liab 5-6'!N21</f>
        <v>407275</v>
      </c>
      <c r="D282" s="2" t="str">
        <f t="shared" si="3"/>
        <v>Error?</v>
      </c>
    </row>
    <row r="283" spans="1:4" x14ac:dyDescent="0.2">
      <c r="A283" s="5">
        <v>222</v>
      </c>
      <c r="B283" s="138">
        <f>'Assets-Liab 5-6'!N22</f>
        <v>3910911</v>
      </c>
      <c r="D283" s="2" t="str">
        <f t="shared" si="3"/>
        <v>Error?</v>
      </c>
    </row>
    <row r="284" spans="1:4" x14ac:dyDescent="0.2">
      <c r="A284" s="5">
        <v>223</v>
      </c>
      <c r="B284" s="138">
        <f>'Assets-Liab 5-6'!N23</f>
        <v>4318186</v>
      </c>
      <c r="C284" s="2" t="s">
        <v>594</v>
      </c>
      <c r="D284" s="2" t="str">
        <f t="shared" si="3"/>
        <v>Error?</v>
      </c>
    </row>
    <row r="285" spans="1:4" x14ac:dyDescent="0.2">
      <c r="A285" s="5">
        <v>224</v>
      </c>
      <c r="B285" s="138">
        <f>'Assets-Liab 5-6'!N36</f>
        <v>4318186</v>
      </c>
      <c r="D285" s="2" t="str">
        <f t="shared" si="3"/>
        <v>Error?</v>
      </c>
    </row>
    <row r="286" spans="1:4" x14ac:dyDescent="0.2">
      <c r="A286" s="10">
        <v>225</v>
      </c>
      <c r="D286" s="2" t="str">
        <f t="shared" si="3"/>
        <v>OK</v>
      </c>
    </row>
    <row r="287" spans="1:4" x14ac:dyDescent="0.2">
      <c r="A287" s="5">
        <v>226</v>
      </c>
      <c r="B287" s="138">
        <f>'Assets-Liab 5-6'!N37</f>
        <v>4318186</v>
      </c>
      <c r="C287" s="2" t="s">
        <v>594</v>
      </c>
      <c r="D287" s="2" t="str">
        <f t="shared" si="3"/>
        <v>Error?</v>
      </c>
    </row>
    <row r="288" spans="1:4" x14ac:dyDescent="0.2">
      <c r="A288" s="5">
        <v>227</v>
      </c>
      <c r="B288" s="138">
        <f>'Assets-Liab 5-6'!N41</f>
        <v>4318186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2044060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59149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79064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2999179</v>
      </c>
      <c r="C720" s="2" t="s">
        <v>594</v>
      </c>
      <c r="D720" s="2" t="str">
        <f t="shared" si="10"/>
        <v>Error?</v>
      </c>
    </row>
    <row r="721" spans="1:4" x14ac:dyDescent="0.2">
      <c r="A721" s="5">
        <v>660</v>
      </c>
      <c r="B721" s="138">
        <f>'Expenditures 15-22'!C36</f>
        <v>146888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52226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141797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340911</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74114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74114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296436</v>
      </c>
      <c r="D733" s="2" t="str">
        <f t="shared" si="10"/>
        <v>Error?</v>
      </c>
    </row>
    <row r="734" spans="1:4" x14ac:dyDescent="0.2">
      <c r="A734" s="5">
        <v>673</v>
      </c>
      <c r="B734" s="138">
        <f>'Expenditures 15-22'!C53</f>
        <v>296436</v>
      </c>
      <c r="C734" s="2" t="s">
        <v>594</v>
      </c>
      <c r="D734" s="2" t="str">
        <f t="shared" si="10"/>
        <v>Error?</v>
      </c>
    </row>
    <row r="735" spans="1:4" x14ac:dyDescent="0.2">
      <c r="A735" s="5">
        <v>674</v>
      </c>
      <c r="B735" s="138">
        <f>'Expenditures 15-22'!C55</f>
        <v>380853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380853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1092314</v>
      </c>
      <c r="C755" s="2" t="s">
        <v>594</v>
      </c>
      <c r="D755" s="2" t="str">
        <f t="shared" si="10"/>
        <v>Error?</v>
      </c>
    </row>
    <row r="756" spans="1:4" x14ac:dyDescent="0.2">
      <c r="A756" s="5">
        <v>695</v>
      </c>
      <c r="B756" s="138">
        <f>'Expenditures 15-22'!C75</f>
        <v>21867</v>
      </c>
      <c r="D756" s="2" t="str">
        <f t="shared" si="10"/>
        <v>Error?</v>
      </c>
    </row>
    <row r="757" spans="1:4" x14ac:dyDescent="0.2">
      <c r="A757" s="5">
        <v>696</v>
      </c>
      <c r="B757" s="138">
        <f>'Expenditures 15-22'!C114</f>
        <v>4113360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543811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19397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1465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731457</v>
      </c>
      <c r="C778" s="2" t="s">
        <v>594</v>
      </c>
      <c r="D778" s="2" t="str">
        <f t="shared" si="11"/>
        <v>Error?</v>
      </c>
    </row>
    <row r="779" spans="1:4" x14ac:dyDescent="0.2">
      <c r="A779" s="5">
        <v>718</v>
      </c>
      <c r="B779" s="138">
        <f>'Expenditures 15-22'!D36</f>
        <v>13081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5032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18113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859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859</v>
      </c>
      <c r="C789" s="2" t="s">
        <v>594</v>
      </c>
      <c r="D789" s="2" t="str">
        <f t="shared" si="11"/>
        <v>Error?</v>
      </c>
    </row>
    <row r="790" spans="1:4" x14ac:dyDescent="0.2">
      <c r="A790" s="5">
        <v>729</v>
      </c>
      <c r="B790" s="138">
        <f>'Expenditures 15-22'!D49</f>
        <v>8951</v>
      </c>
      <c r="D790" s="2" t="str">
        <f t="shared" si="11"/>
        <v>Error?</v>
      </c>
    </row>
    <row r="791" spans="1:4" x14ac:dyDescent="0.2">
      <c r="A791" s="5">
        <v>730</v>
      </c>
      <c r="B791" s="138">
        <f>'Expenditures 15-22'!D50</f>
        <v>62659</v>
      </c>
      <c r="D791" s="2" t="str">
        <f t="shared" si="11"/>
        <v>Error?</v>
      </c>
    </row>
    <row r="792" spans="1:4" x14ac:dyDescent="0.2">
      <c r="A792" s="5">
        <v>731</v>
      </c>
      <c r="B792" s="138">
        <f>'Expenditures 15-22'!D53</f>
        <v>71610</v>
      </c>
      <c r="C792" s="2" t="s">
        <v>594</v>
      </c>
      <c r="D792" s="2" t="str">
        <f t="shared" si="11"/>
        <v>Error?</v>
      </c>
    </row>
    <row r="793" spans="1:4" x14ac:dyDescent="0.2">
      <c r="A793" s="5">
        <v>732</v>
      </c>
      <c r="B793" s="138">
        <f>'Expenditures 15-22'!D55</f>
        <v>93485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93485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184067</v>
      </c>
      <c r="C813" s="2" t="s">
        <v>594</v>
      </c>
      <c r="D813" s="2" t="str">
        <f t="shared" si="11"/>
        <v>Error?</v>
      </c>
    </row>
    <row r="814" spans="1:4" x14ac:dyDescent="0.2">
      <c r="A814" s="5">
        <v>753</v>
      </c>
      <c r="B814" s="138">
        <f>'Expenditures 15-22'!D75</f>
        <v>319</v>
      </c>
      <c r="D814" s="2" t="str">
        <f t="shared" si="11"/>
        <v>Error?</v>
      </c>
    </row>
    <row r="815" spans="1:4" x14ac:dyDescent="0.2">
      <c r="A815" s="5">
        <v>754</v>
      </c>
      <c r="B815" s="138">
        <f>'Expenditures 15-22'!D114</f>
        <v>915843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378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8002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11540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11540</v>
      </c>
      <c r="C843" s="2" t="s">
        <v>594</v>
      </c>
      <c r="D843" s="2" t="str">
        <f t="shared" si="12"/>
        <v>Error?</v>
      </c>
    </row>
    <row r="844" spans="1:4" x14ac:dyDescent="0.2">
      <c r="A844" s="5">
        <v>783</v>
      </c>
      <c r="B844" s="138">
        <f>'Expenditures 15-22'!E44</f>
        <v>16528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16528</v>
      </c>
      <c r="C847" s="2" t="s">
        <v>594</v>
      </c>
      <c r="D847" s="2" t="str">
        <f t="shared" si="12"/>
        <v>Error?</v>
      </c>
    </row>
    <row r="848" spans="1:4" x14ac:dyDescent="0.2">
      <c r="A848" s="5">
        <v>787</v>
      </c>
      <c r="B848" s="138">
        <f>'Expenditures 15-22'!E49</f>
        <v>38458</v>
      </c>
      <c r="D848" s="2" t="str">
        <f t="shared" si="12"/>
        <v>Error?</v>
      </c>
    </row>
    <row r="849" spans="1:4" x14ac:dyDescent="0.2">
      <c r="A849" s="5">
        <v>788</v>
      </c>
      <c r="B849" s="138">
        <f>'Expenditures 15-22'!E50</f>
        <v>200</v>
      </c>
      <c r="D849" s="2" t="str">
        <f t="shared" si="12"/>
        <v>Error?</v>
      </c>
    </row>
    <row r="850" spans="1:4" x14ac:dyDescent="0.2">
      <c r="A850" s="5">
        <v>789</v>
      </c>
      <c r="B850" s="138">
        <f>'Expenditures 15-22'!E53</f>
        <v>38658</v>
      </c>
      <c r="C850" s="2" t="s">
        <v>594</v>
      </c>
      <c r="D850" s="2" t="str">
        <f t="shared" si="12"/>
        <v>Error?</v>
      </c>
    </row>
    <row r="851" spans="1:4" x14ac:dyDescent="0.2">
      <c r="A851" s="5">
        <v>790</v>
      </c>
      <c r="B851" s="138">
        <f>'Expenditures 15-22'!E55</f>
        <v>617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617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43314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43314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190835</v>
      </c>
      <c r="D867" s="2" t="str">
        <f t="shared" si="12"/>
        <v>Error?</v>
      </c>
    </row>
    <row r="868" spans="1:4" x14ac:dyDescent="0.2">
      <c r="A868" s="10">
        <v>807</v>
      </c>
      <c r="D868" s="2" t="str">
        <f t="shared" si="12"/>
        <v>OK</v>
      </c>
    </row>
    <row r="869" spans="1:4" x14ac:dyDescent="0.2">
      <c r="A869" s="5">
        <v>808</v>
      </c>
      <c r="B869" s="138">
        <f>'Expenditures 15-22'!E72</f>
        <v>190835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301492</v>
      </c>
      <c r="C871" s="2" t="s">
        <v>594</v>
      </c>
      <c r="D871" s="2" t="str">
        <f t="shared" si="12"/>
        <v>Error?</v>
      </c>
    </row>
    <row r="872" spans="1:4" x14ac:dyDescent="0.2">
      <c r="A872" s="5">
        <v>811</v>
      </c>
      <c r="B872" s="138">
        <f>'Expenditures 15-22'!E75</f>
        <v>81</v>
      </c>
      <c r="D872" s="2" t="str">
        <f t="shared" si="12"/>
        <v>Error?</v>
      </c>
    </row>
    <row r="873" spans="1:4" x14ac:dyDescent="0.2">
      <c r="A873" s="5">
        <v>812</v>
      </c>
      <c r="B873" s="138">
        <f>'Expenditures 15-22'!E114</f>
        <v>309575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110880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999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1248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289827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228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228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1525</v>
      </c>
      <c r="D903" s="2" t="str">
        <f t="shared" si="13"/>
        <v>Error?</v>
      </c>
    </row>
    <row r="904" spans="1:4" x14ac:dyDescent="0.2">
      <c r="A904" s="5">
        <v>843</v>
      </c>
      <c r="B904" s="138">
        <f>'Expenditures 15-22'!F46</f>
        <v>607</v>
      </c>
      <c r="D904" s="2" t="str">
        <f t="shared" si="13"/>
        <v>Error?</v>
      </c>
    </row>
    <row r="905" spans="1:4" x14ac:dyDescent="0.2">
      <c r="A905" s="5">
        <v>844</v>
      </c>
      <c r="B905" s="138">
        <f>'Expenditures 15-22'!F47</f>
        <v>2132</v>
      </c>
      <c r="C905" s="2" t="s">
        <v>594</v>
      </c>
      <c r="D905" s="2" t="str">
        <f t="shared" si="13"/>
        <v>Error?</v>
      </c>
    </row>
    <row r="906" spans="1:4" x14ac:dyDescent="0.2">
      <c r="A906" s="5">
        <v>845</v>
      </c>
      <c r="B906" s="138">
        <f>'Expenditures 15-22'!F49</f>
        <v>4781</v>
      </c>
      <c r="D906" s="2" t="str">
        <f t="shared" si="13"/>
        <v>Error?</v>
      </c>
    </row>
    <row r="907" spans="1:4" x14ac:dyDescent="0.2">
      <c r="A907" s="5">
        <v>846</v>
      </c>
      <c r="B907" s="138">
        <f>'Expenditures 15-22'!F50</f>
        <v>125</v>
      </c>
      <c r="D907" s="2" t="str">
        <f t="shared" si="13"/>
        <v>Error?</v>
      </c>
    </row>
    <row r="908" spans="1:4" x14ac:dyDescent="0.2">
      <c r="A908" s="5">
        <v>847</v>
      </c>
      <c r="B908" s="138">
        <f>'Expenditures 15-22'!F53</f>
        <v>4906</v>
      </c>
      <c r="C908" s="2" t="s">
        <v>594</v>
      </c>
      <c r="D908" s="2" t="str">
        <f t="shared" si="13"/>
        <v>Error?</v>
      </c>
    </row>
    <row r="909" spans="1:4" x14ac:dyDescent="0.2">
      <c r="A909" s="5">
        <v>848</v>
      </c>
      <c r="B909" s="138">
        <f>'Expenditures 15-22'!F55</f>
        <v>24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87916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87916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45344</v>
      </c>
      <c r="D925" s="2" t="str">
        <f t="shared" si="13"/>
        <v>Error?</v>
      </c>
    </row>
    <row r="926" spans="1:4" x14ac:dyDescent="0.2">
      <c r="A926" s="10">
        <v>865</v>
      </c>
      <c r="D926" s="2" t="str">
        <f t="shared" si="13"/>
        <v>OK</v>
      </c>
    </row>
    <row r="927" spans="1:4" x14ac:dyDescent="0.2">
      <c r="A927" s="5">
        <v>866</v>
      </c>
      <c r="B927" s="138">
        <f>'Expenditures 15-22'!F72</f>
        <v>45344</v>
      </c>
      <c r="C927" s="2" t="s">
        <v>594</v>
      </c>
      <c r="D927" s="2" t="str">
        <f t="shared" si="13"/>
        <v>Error?</v>
      </c>
    </row>
    <row r="928" spans="1:4" x14ac:dyDescent="0.2">
      <c r="A928" s="5">
        <v>867</v>
      </c>
      <c r="B928" s="138">
        <f>'Expenditures 15-22'!F73</f>
        <v>555</v>
      </c>
      <c r="D928" s="2" t="str">
        <f t="shared" si="13"/>
        <v>Error?</v>
      </c>
    </row>
    <row r="929" spans="1:4" x14ac:dyDescent="0.2">
      <c r="A929" s="5">
        <v>868</v>
      </c>
      <c r="B929" s="138">
        <f>'Expenditures 15-22'!F74</f>
        <v>141105</v>
      </c>
      <c r="C929" s="2" t="s">
        <v>594</v>
      </c>
      <c r="D929" s="2" t="str">
        <f t="shared" si="13"/>
        <v>Error?</v>
      </c>
    </row>
    <row r="930" spans="1:4" x14ac:dyDescent="0.2">
      <c r="A930" s="5">
        <v>869</v>
      </c>
      <c r="B930" s="138">
        <f>'Expenditures 15-22'!F75</f>
        <v>141</v>
      </c>
      <c r="D930" s="2" t="str">
        <f t="shared" si="13"/>
        <v>Error?</v>
      </c>
    </row>
    <row r="931" spans="1:4" x14ac:dyDescent="0.2">
      <c r="A931" s="5">
        <v>870</v>
      </c>
      <c r="B931" s="138">
        <f>'Expenditures 15-22'!F114</f>
        <v>431073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54807</v>
      </c>
      <c r="D983" s="2" t="str">
        <f t="shared" si="14"/>
        <v>Error?</v>
      </c>
    </row>
    <row r="984" spans="1:4" x14ac:dyDescent="0.2">
      <c r="A984" s="10">
        <v>923</v>
      </c>
      <c r="D984" s="2" t="str">
        <f t="shared" si="14"/>
        <v>OK</v>
      </c>
    </row>
    <row r="985" spans="1:4" x14ac:dyDescent="0.2">
      <c r="A985" s="5">
        <v>924</v>
      </c>
      <c r="B985" s="138">
        <f>'Expenditures 15-22'!G72</f>
        <v>54807</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54807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54807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5074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10086</v>
      </c>
      <c r="D1023" s="2" t="str">
        <f t="shared" ref="D1023:D1086" si="15">IF(ISBLANK(B1023),"OK",IF(A1023-B1023=0,"OK","Error?"))</f>
        <v>Error?</v>
      </c>
    </row>
    <row r="1024" spans="1:4" x14ac:dyDescent="0.2">
      <c r="A1024" s="5">
        <v>963</v>
      </c>
      <c r="B1024" s="138">
        <f>'Expenditures 15-22'!H53</f>
        <v>10086</v>
      </c>
      <c r="C1024" s="2" t="s">
        <v>594</v>
      </c>
      <c r="D1024" s="2" t="str">
        <f t="shared" si="15"/>
        <v>Error?</v>
      </c>
    </row>
    <row r="1025" spans="1:4" x14ac:dyDescent="0.2">
      <c r="A1025" s="5">
        <v>964</v>
      </c>
      <c r="B1025" s="138">
        <f>'Expenditures 15-22'!H55</f>
        <v>779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10865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941417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957356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2699005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79923</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86851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4033539</v>
      </c>
      <c r="C1108" s="2" t="s">
        <v>594</v>
      </c>
      <c r="D1108" s="2" t="str">
        <f t="shared" si="16"/>
        <v>Error?</v>
      </c>
    </row>
    <row r="1109" spans="1:4" x14ac:dyDescent="0.2">
      <c r="A1109" s="5">
        <v>1048</v>
      </c>
      <c r="B1109" s="138">
        <f>'Expenditures 15-22'!K36</f>
        <v>159969</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52454</v>
      </c>
      <c r="C1111" s="2" t="s">
        <v>594</v>
      </c>
      <c r="D1111" s="2" t="str">
        <f t="shared" si="16"/>
        <v>Error?</v>
      </c>
    </row>
    <row r="1112" spans="1:4" x14ac:dyDescent="0.2">
      <c r="A1112" s="5">
        <v>1051</v>
      </c>
      <c r="B1112" s="138">
        <f>'Expenditures 15-22'!K39</f>
        <v>11540</v>
      </c>
      <c r="C1112" s="2" t="s">
        <v>594</v>
      </c>
      <c r="D1112" s="2" t="str">
        <f t="shared" si="16"/>
        <v>Error?</v>
      </c>
    </row>
    <row r="1113" spans="1:4" x14ac:dyDescent="0.2">
      <c r="A1113" s="5">
        <v>1052</v>
      </c>
      <c r="B1113" s="138">
        <f>'Expenditures 15-22'!K40</f>
        <v>146829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370792</v>
      </c>
      <c r="C1115" s="2" t="s">
        <v>594</v>
      </c>
      <c r="D1115" s="2" t="str">
        <f t="shared" si="16"/>
        <v>Error?</v>
      </c>
    </row>
    <row r="1116" spans="1:4" x14ac:dyDescent="0.2">
      <c r="A1116" s="5">
        <v>1055</v>
      </c>
      <c r="B1116" s="138">
        <f>'Expenditures 15-22'!K44</f>
        <v>16528</v>
      </c>
      <c r="C1116" s="2" t="s">
        <v>594</v>
      </c>
      <c r="D1116" s="2" t="str">
        <f t="shared" si="16"/>
        <v>Error?</v>
      </c>
    </row>
    <row r="1117" spans="1:4" x14ac:dyDescent="0.2">
      <c r="A1117" s="5">
        <v>1056</v>
      </c>
      <c r="B1117" s="138">
        <f>'Expenditures 15-22'!K45</f>
        <v>76498</v>
      </c>
      <c r="C1117" s="2" t="s">
        <v>594</v>
      </c>
      <c r="D1117" s="2" t="str">
        <f t="shared" si="16"/>
        <v>Error?</v>
      </c>
    </row>
    <row r="1118" spans="1:4" x14ac:dyDescent="0.2">
      <c r="A1118" s="5">
        <v>1057</v>
      </c>
      <c r="B1118" s="138">
        <f>'Expenditures 15-22'!K46</f>
        <v>607</v>
      </c>
      <c r="C1118" s="2" t="s">
        <v>594</v>
      </c>
      <c r="D1118" s="2" t="str">
        <f t="shared" si="16"/>
        <v>Error?</v>
      </c>
    </row>
    <row r="1119" spans="1:4" x14ac:dyDescent="0.2">
      <c r="A1119" s="5">
        <v>1058</v>
      </c>
      <c r="B1119" s="138">
        <f>'Expenditures 15-22'!K47</f>
        <v>93633</v>
      </c>
      <c r="C1119" s="2" t="s">
        <v>594</v>
      </c>
      <c r="D1119" s="2" t="str">
        <f t="shared" si="16"/>
        <v>Error?</v>
      </c>
    </row>
    <row r="1120" spans="1:4" x14ac:dyDescent="0.2">
      <c r="A1120" s="5">
        <v>1059</v>
      </c>
      <c r="B1120" s="138">
        <f>'Expenditures 15-22'!K49</f>
        <v>52190</v>
      </c>
      <c r="C1120" s="2" t="s">
        <v>594</v>
      </c>
      <c r="D1120" s="2" t="str">
        <f t="shared" si="16"/>
        <v>Error?</v>
      </c>
    </row>
    <row r="1121" spans="1:4" x14ac:dyDescent="0.2">
      <c r="A1121" s="5">
        <v>1060</v>
      </c>
      <c r="B1121" s="138">
        <f>'Expenditures 15-22'!K50</f>
        <v>369506</v>
      </c>
      <c r="C1121" s="2" t="s">
        <v>594</v>
      </c>
      <c r="D1121" s="2" t="str">
        <f t="shared" si="16"/>
        <v>Error?</v>
      </c>
    </row>
    <row r="1122" spans="1:4" x14ac:dyDescent="0.2">
      <c r="A1122" s="5">
        <v>1061</v>
      </c>
      <c r="B1122" s="138">
        <f>'Expenditures 15-22'!K53</f>
        <v>421696</v>
      </c>
      <c r="C1122" s="2" t="s">
        <v>594</v>
      </c>
      <c r="D1122" s="2" t="str">
        <f t="shared" si="16"/>
        <v>Error?</v>
      </c>
    </row>
    <row r="1123" spans="1:4" x14ac:dyDescent="0.2">
      <c r="A1123" s="5">
        <v>1062</v>
      </c>
      <c r="B1123" s="138">
        <f>'Expenditures 15-22'!K55</f>
        <v>475758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475758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43314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87916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131230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290986</v>
      </c>
      <c r="C1139" s="2" t="s">
        <v>594</v>
      </c>
      <c r="D1139" s="2" t="str">
        <f t="shared" si="16"/>
        <v>Error?</v>
      </c>
    </row>
    <row r="1140" spans="1:4" x14ac:dyDescent="0.2">
      <c r="A1140" s="10">
        <v>1079</v>
      </c>
      <c r="D1140" s="2" t="str">
        <f t="shared" si="16"/>
        <v>OK</v>
      </c>
    </row>
    <row r="1141" spans="1:4" x14ac:dyDescent="0.2">
      <c r="A1141" s="5">
        <v>1080</v>
      </c>
      <c r="B1141" s="138">
        <f>'Expenditures 15-22'!K72</f>
        <v>290986</v>
      </c>
      <c r="C1141" s="2" t="s">
        <v>594</v>
      </c>
      <c r="D1141" s="2" t="str">
        <f t="shared" si="16"/>
        <v>Error?</v>
      </c>
    </row>
    <row r="1142" spans="1:4" x14ac:dyDescent="0.2">
      <c r="A1142" s="5">
        <v>1081</v>
      </c>
      <c r="B1142" s="138">
        <f>'Expenditures 15-22'!K73</f>
        <v>555</v>
      </c>
      <c r="C1142" s="2" t="s">
        <v>594</v>
      </c>
      <c r="D1142" s="2" t="str">
        <f t="shared" si="16"/>
        <v>Error?</v>
      </c>
    </row>
    <row r="1143" spans="1:4" x14ac:dyDescent="0.2">
      <c r="A1143" s="5">
        <v>1082</v>
      </c>
      <c r="B1143" s="138">
        <f>'Expenditures 15-22'!K74</f>
        <v>1784650</v>
      </c>
      <c r="C1143" s="2" t="s">
        <v>594</v>
      </c>
      <c r="D1143" s="2" t="str">
        <f t="shared" si="16"/>
        <v>Error?</v>
      </c>
    </row>
    <row r="1144" spans="1:4" x14ac:dyDescent="0.2">
      <c r="A1144" s="5">
        <v>1083</v>
      </c>
      <c r="B1144" s="138">
        <f>'Expenditures 15-22'!K75</f>
        <v>22408</v>
      </c>
      <c r="C1144" s="2" t="s">
        <v>594</v>
      </c>
      <c r="D1144" s="2" t="str">
        <f t="shared" si="16"/>
        <v>Error?</v>
      </c>
    </row>
    <row r="1145" spans="1:4" x14ac:dyDescent="0.2">
      <c r="A1145" s="5">
        <v>1084</v>
      </c>
      <c r="B1145" s="138">
        <f>'Expenditures 15-22'!K102</f>
        <v>941417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6782014</v>
      </c>
      <c r="C1152" s="2" t="s">
        <v>594</v>
      </c>
      <c r="D1152" s="2" t="str">
        <f t="shared" si="17"/>
        <v>Error?</v>
      </c>
    </row>
    <row r="1153" spans="1:4" x14ac:dyDescent="0.2">
      <c r="A1153" s="5">
        <v>1092</v>
      </c>
      <c r="B1153" s="138">
        <f>'Expenditures 15-22'!K115</f>
        <v>424035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201622</v>
      </c>
      <c r="D1221" s="2" t="str">
        <f t="shared" si="18"/>
        <v>Error?</v>
      </c>
    </row>
    <row r="1222" spans="1:4" x14ac:dyDescent="0.2">
      <c r="A1222" s="10">
        <v>1161</v>
      </c>
      <c r="D1222" s="2" t="str">
        <f t="shared" si="18"/>
        <v>OK</v>
      </c>
    </row>
    <row r="1223" spans="1:4" x14ac:dyDescent="0.2">
      <c r="A1223" s="5">
        <v>1162</v>
      </c>
      <c r="B1223" s="138">
        <f>'Expenditures 15-22'!C127</f>
        <v>201622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201622</v>
      </c>
      <c r="C1225" s="2" t="s">
        <v>594</v>
      </c>
      <c r="D1225" s="2" t="str">
        <f t="shared" si="18"/>
        <v>Error?</v>
      </c>
    </row>
    <row r="1226" spans="1:4" x14ac:dyDescent="0.2">
      <c r="A1226" s="5">
        <v>1165</v>
      </c>
      <c r="B1226" s="138">
        <f>'Expenditures 15-22'!C151</f>
        <v>201622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-4880</v>
      </c>
      <c r="D1229" s="2" t="str">
        <f t="shared" si="18"/>
        <v>Error?</v>
      </c>
    </row>
    <row r="1230" spans="1:4" x14ac:dyDescent="0.2">
      <c r="A1230" s="10">
        <v>1169</v>
      </c>
      <c r="D1230" s="2" t="str">
        <f t="shared" si="18"/>
        <v>OK</v>
      </c>
    </row>
    <row r="1231" spans="1:4" x14ac:dyDescent="0.2">
      <c r="A1231" s="5">
        <v>1170</v>
      </c>
      <c r="B1231" s="138">
        <f>'Expenditures 15-22'!D127</f>
        <v>-4880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-4880</v>
      </c>
      <c r="C1233" s="2" t="s">
        <v>594</v>
      </c>
      <c r="D1233" s="2" t="str">
        <f t="shared" si="18"/>
        <v>Error?</v>
      </c>
    </row>
    <row r="1234" spans="1:4" x14ac:dyDescent="0.2">
      <c r="A1234" s="5">
        <v>1173</v>
      </c>
      <c r="B1234" s="138">
        <f>'Expenditures 15-22'!D151</f>
        <v>-4880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92245</v>
      </c>
      <c r="D1237" s="2" t="str">
        <f t="shared" si="18"/>
        <v>Error?</v>
      </c>
    </row>
    <row r="1238" spans="1:4" x14ac:dyDescent="0.2">
      <c r="A1238" s="10">
        <v>1177</v>
      </c>
      <c r="D1238" s="2" t="str">
        <f t="shared" si="18"/>
        <v>OK</v>
      </c>
    </row>
    <row r="1239" spans="1:4" x14ac:dyDescent="0.2">
      <c r="A1239" s="5">
        <v>1178</v>
      </c>
      <c r="B1239" s="138">
        <f>'Expenditures 15-22'!E127</f>
        <v>92245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92245</v>
      </c>
      <c r="C1241" s="2" t="s">
        <v>594</v>
      </c>
      <c r="D1241" s="2" t="str">
        <f t="shared" si="18"/>
        <v>Error?</v>
      </c>
    </row>
    <row r="1242" spans="1:4" x14ac:dyDescent="0.2">
      <c r="A1242" s="5">
        <v>1181</v>
      </c>
      <c r="B1242" s="138">
        <f>'Expenditures 15-22'!E151</f>
        <v>92245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142256</v>
      </c>
      <c r="D1245" s="2" t="str">
        <f t="shared" si="18"/>
        <v>Error?</v>
      </c>
    </row>
    <row r="1246" spans="1:4" x14ac:dyDescent="0.2">
      <c r="A1246" s="10">
        <v>1185</v>
      </c>
      <c r="D1246" s="2" t="str">
        <f t="shared" si="18"/>
        <v>OK</v>
      </c>
    </row>
    <row r="1247" spans="1:4" x14ac:dyDescent="0.2">
      <c r="A1247" s="5">
        <v>1186</v>
      </c>
      <c r="B1247" s="138">
        <f>'Expenditures 15-22'!F127</f>
        <v>142256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142256</v>
      </c>
      <c r="C1249" s="2" t="s">
        <v>594</v>
      </c>
      <c r="D1249" s="2" t="str">
        <f t="shared" si="18"/>
        <v>Error?</v>
      </c>
    </row>
    <row r="1250" spans="1:4" x14ac:dyDescent="0.2">
      <c r="A1250" s="5">
        <v>1189</v>
      </c>
      <c r="B1250" s="138">
        <f>'Expenditures 15-22'!F151</f>
        <v>142256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2700</v>
      </c>
      <c r="D1252" s="2" t="str">
        <f t="shared" si="18"/>
        <v>Error?</v>
      </c>
    </row>
    <row r="1253" spans="1:4" x14ac:dyDescent="0.2">
      <c r="A1253" s="5">
        <v>1192</v>
      </c>
      <c r="B1253" s="138">
        <f>'Expenditures 15-22'!G124</f>
        <v>14669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17369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17369</v>
      </c>
      <c r="C1258" s="2" t="s">
        <v>594</v>
      </c>
      <c r="D1258" s="2" t="str">
        <f t="shared" si="18"/>
        <v>Error?</v>
      </c>
    </row>
    <row r="1259" spans="1:4" x14ac:dyDescent="0.2">
      <c r="A1259" s="5">
        <v>1198</v>
      </c>
      <c r="B1259" s="138">
        <f>'Expenditures 15-22'!G151</f>
        <v>17369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2700</v>
      </c>
      <c r="C1275" s="2" t="s">
        <v>594</v>
      </c>
      <c r="D1275" s="2" t="str">
        <f t="shared" si="18"/>
        <v>Error?</v>
      </c>
    </row>
    <row r="1276" spans="1:4" x14ac:dyDescent="0.2">
      <c r="A1276" s="5">
        <v>1215</v>
      </c>
      <c r="B1276" s="138">
        <f>'Expenditures 15-22'!K124</f>
        <v>445912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448612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448612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448612</v>
      </c>
      <c r="C1288" s="2" t="s">
        <v>594</v>
      </c>
      <c r="D1288" s="2" t="str">
        <f t="shared" si="19"/>
        <v>Error?</v>
      </c>
    </row>
    <row r="1289" spans="1:4" x14ac:dyDescent="0.2">
      <c r="A1289" s="5">
        <v>1228</v>
      </c>
      <c r="B1289" s="138">
        <f>'Expenditures 15-22'!K152</f>
        <v>103973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11586</v>
      </c>
      <c r="D1307" s="2" t="str">
        <f t="shared" si="19"/>
        <v>Error?</v>
      </c>
    </row>
    <row r="1308" spans="1:4" x14ac:dyDescent="0.2">
      <c r="A1308" s="5">
        <v>1247</v>
      </c>
      <c r="B1308" s="138">
        <f>'Expenditures 15-22'!E172</f>
        <v>11586</v>
      </c>
      <c r="C1308" s="2" t="s">
        <v>594</v>
      </c>
      <c r="D1308" s="2" t="str">
        <f t="shared" si="19"/>
        <v>Error?</v>
      </c>
    </row>
    <row r="1309" spans="1:4" x14ac:dyDescent="0.2">
      <c r="A1309" s="5">
        <v>1248</v>
      </c>
      <c r="B1309" s="138">
        <f>'Expenditures 15-22'!E174</f>
        <v>11586</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338980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425810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764790</v>
      </c>
      <c r="C1317" s="2" t="s">
        <v>594</v>
      </c>
      <c r="D1317" s="2" t="str">
        <f t="shared" si="19"/>
        <v>Error?</v>
      </c>
    </row>
    <row r="1318" spans="1:4" x14ac:dyDescent="0.2">
      <c r="A1318" s="5">
        <v>1257</v>
      </c>
      <c r="B1318" s="138">
        <f>'Expenditures 15-22'!H174</f>
        <v>764790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338980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425810</v>
      </c>
      <c r="C1329" s="2" t="s">
        <v>594</v>
      </c>
      <c r="D1329" s="2" t="str">
        <f t="shared" si="19"/>
        <v>Error?</v>
      </c>
    </row>
    <row r="1330" spans="1:4" x14ac:dyDescent="0.2">
      <c r="A1330" s="5">
        <v>1269</v>
      </c>
      <c r="B1330" s="138">
        <f>'Expenditures 15-22'!K171</f>
        <v>11586</v>
      </c>
      <c r="C1330" s="2" t="s">
        <v>594</v>
      </c>
      <c r="D1330" s="2" t="str">
        <f t="shared" si="19"/>
        <v>Error?</v>
      </c>
    </row>
    <row r="1331" spans="1:4" x14ac:dyDescent="0.2">
      <c r="A1331" s="5">
        <v>1270</v>
      </c>
      <c r="B1331" s="138">
        <f>'Expenditures 15-22'!K172</f>
        <v>776376</v>
      </c>
      <c r="C1331" s="2" t="s">
        <v>594</v>
      </c>
      <c r="D1331" s="2" t="str">
        <f t="shared" si="19"/>
        <v>Error?</v>
      </c>
    </row>
    <row r="1332" spans="1:4" x14ac:dyDescent="0.2">
      <c r="A1332" s="5">
        <v>1271</v>
      </c>
      <c r="B1332" s="138">
        <f>'Expenditures 15-22'!K174</f>
        <v>776376</v>
      </c>
      <c r="C1332" s="2" t="s">
        <v>594</v>
      </c>
      <c r="D1332" s="2" t="str">
        <f t="shared" si="19"/>
        <v>Error?</v>
      </c>
    </row>
    <row r="1333" spans="1:4" x14ac:dyDescent="0.2">
      <c r="A1333" s="5">
        <v>1272</v>
      </c>
      <c r="B1333" s="138">
        <f>'Expenditures 15-22'!K175</f>
        <v>31078</v>
      </c>
      <c r="C1333" s="2" t="s">
        <v>594</v>
      </c>
      <c r="D1333" s="2" t="str">
        <f t="shared" si="19"/>
        <v>Error?</v>
      </c>
    </row>
    <row r="1334" spans="1:4" x14ac:dyDescent="0.2">
      <c r="A1334" s="10">
        <v>1273</v>
      </c>
      <c r="D1334" s="2" t="str">
        <f t="shared" si="19"/>
        <v>OK</v>
      </c>
    </row>
    <row r="1335" spans="1:4" x14ac:dyDescent="0.2">
      <c r="A1335" s="5">
        <v>1274</v>
      </c>
      <c r="B1335" s="138">
        <f>'Expenditures 15-22'!C182</f>
        <v>17915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17915</v>
      </c>
      <c r="C1339" s="2" t="s">
        <v>594</v>
      </c>
      <c r="D1339" s="2" t="str">
        <f t="shared" si="19"/>
        <v>Error?</v>
      </c>
    </row>
    <row r="1340" spans="1:4" x14ac:dyDescent="0.2">
      <c r="A1340" s="5">
        <v>1279</v>
      </c>
      <c r="B1340" s="138">
        <f>'Expenditures 15-22'!C210</f>
        <v>17915</v>
      </c>
      <c r="C1340" s="2" t="s">
        <v>594</v>
      </c>
      <c r="D1340" s="2" t="str">
        <f t="shared" si="19"/>
        <v>Error?</v>
      </c>
    </row>
    <row r="1341" spans="1:4" x14ac:dyDescent="0.2">
      <c r="A1341" s="5">
        <v>1280</v>
      </c>
      <c r="B1341" s="138">
        <f>'Expenditures 15-22'!D182</f>
        <v>1682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1682</v>
      </c>
      <c r="C1345" s="2" t="s">
        <v>594</v>
      </c>
      <c r="D1345" s="2" t="str">
        <f t="shared" si="20"/>
        <v>Error?</v>
      </c>
    </row>
    <row r="1346" spans="1:4" x14ac:dyDescent="0.2">
      <c r="A1346" s="5">
        <v>1285</v>
      </c>
      <c r="B1346" s="138">
        <f>'Expenditures 15-22'!D210</f>
        <v>1682</v>
      </c>
      <c r="C1346" s="2" t="s">
        <v>594</v>
      </c>
      <c r="D1346" s="2" t="str">
        <f t="shared" si="20"/>
        <v>Error?</v>
      </c>
    </row>
    <row r="1347" spans="1:4" x14ac:dyDescent="0.2">
      <c r="A1347" s="5">
        <v>1286</v>
      </c>
      <c r="B1347" s="138">
        <f>'Expenditures 15-22'!E182</f>
        <v>622688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622688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622688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642285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642285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642285</v>
      </c>
      <c r="C1388" s="2" t="s">
        <v>594</v>
      </c>
      <c r="D1388" s="2" t="str">
        <f t="shared" si="20"/>
        <v>Error?</v>
      </c>
    </row>
    <row r="1389" spans="1:4" x14ac:dyDescent="0.2">
      <c r="A1389" s="5">
        <v>1328</v>
      </c>
      <c r="B1389" s="138">
        <f>'Expenditures 15-22'!K211</f>
        <v>570913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815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3005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94170</v>
      </c>
      <c r="C1410" s="2" t="s">
        <v>594</v>
      </c>
      <c r="D1410" s="2" t="str">
        <f t="shared" si="21"/>
        <v>Error?</v>
      </c>
    </row>
    <row r="1411" spans="1:4" x14ac:dyDescent="0.2">
      <c r="A1411" s="5">
        <v>1350</v>
      </c>
      <c r="B1411" s="138">
        <f>'Expenditures 15-22'!D232</f>
        <v>2110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8662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2050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12822</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3387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3387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21915</v>
      </c>
      <c r="D1423" s="2" t="str">
        <f t="shared" si="21"/>
        <v>Error?</v>
      </c>
    </row>
    <row r="1424" spans="1:4" x14ac:dyDescent="0.2">
      <c r="A1424" s="5">
        <v>1363</v>
      </c>
      <c r="B1424" s="138">
        <f>'Expenditures 15-22'!D257</f>
        <v>21915</v>
      </c>
      <c r="C1424" s="2" t="s">
        <v>594</v>
      </c>
      <c r="D1424" s="2" t="str">
        <f t="shared" si="21"/>
        <v>Error?</v>
      </c>
    </row>
    <row r="1425" spans="1:4" x14ac:dyDescent="0.2">
      <c r="A1425" s="5">
        <v>1364</v>
      </c>
      <c r="B1425" s="138">
        <f>'Expenditures 15-22'!D259</f>
        <v>17842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17842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33008</v>
      </c>
      <c r="D1431" s="2" t="str">
        <f t="shared" si="21"/>
        <v>Error?</v>
      </c>
    </row>
    <row r="1432" spans="1:4" x14ac:dyDescent="0.2">
      <c r="A1432" s="5">
        <v>1371</v>
      </c>
      <c r="B1432" s="138">
        <f>'Expenditures 15-22'!D267</f>
        <v>852</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33860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89826</v>
      </c>
      <c r="C1446" s="2" t="s">
        <v>594</v>
      </c>
      <c r="D1446" s="2" t="str">
        <f t="shared" si="21"/>
        <v>Error?</v>
      </c>
    </row>
    <row r="1447" spans="1:4" x14ac:dyDescent="0.2">
      <c r="A1447" s="5">
        <v>1386</v>
      </c>
      <c r="B1447" s="138">
        <f>'Expenditures 15-22'!D280</f>
        <v>316</v>
      </c>
      <c r="D1447" s="2" t="str">
        <f t="shared" si="21"/>
        <v>Error?</v>
      </c>
    </row>
    <row r="1448" spans="1:4" x14ac:dyDescent="0.2">
      <c r="A1448" s="5">
        <v>1387</v>
      </c>
      <c r="B1448" s="138">
        <f>'Expenditures 15-22'!D295</f>
        <v>184312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815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3005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94170</v>
      </c>
      <c r="C1474" s="2" t="s">
        <v>594</v>
      </c>
      <c r="D1474" s="2" t="str">
        <f t="shared" si="22"/>
        <v>Error?</v>
      </c>
    </row>
    <row r="1475" spans="1:4" x14ac:dyDescent="0.2">
      <c r="A1475" s="5">
        <v>1414</v>
      </c>
      <c r="B1475" s="138">
        <f>'Expenditures 15-22'!K232</f>
        <v>2110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8662</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2050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12822</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3387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3387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21915</v>
      </c>
      <c r="C1487" s="2" t="s">
        <v>594</v>
      </c>
      <c r="D1487" s="2" t="str">
        <f t="shared" si="22"/>
        <v>Error?</v>
      </c>
    </row>
    <row r="1488" spans="1:4" x14ac:dyDescent="0.2">
      <c r="A1488" s="5">
        <v>1427</v>
      </c>
      <c r="B1488" s="138">
        <f>'Expenditures 15-22'!K257</f>
        <v>21915</v>
      </c>
      <c r="C1488" s="2" t="s">
        <v>594</v>
      </c>
      <c r="D1488" s="2" t="str">
        <f t="shared" si="22"/>
        <v>Error?</v>
      </c>
    </row>
    <row r="1489" spans="1:4" x14ac:dyDescent="0.2">
      <c r="A1489" s="5">
        <v>1428</v>
      </c>
      <c r="B1489" s="138">
        <f>'Expenditures 15-22'!K259</f>
        <v>17842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17842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33008</v>
      </c>
      <c r="C1495" s="2" t="s">
        <v>594</v>
      </c>
      <c r="D1495" s="2" t="str">
        <f t="shared" si="22"/>
        <v>Error?</v>
      </c>
    </row>
    <row r="1496" spans="1:4" x14ac:dyDescent="0.2">
      <c r="A1496" s="5">
        <v>1435</v>
      </c>
      <c r="B1496" s="138">
        <f>'Expenditures 15-22'!K267</f>
        <v>852</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33860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89826</v>
      </c>
      <c r="C1510" s="2" t="s">
        <v>594</v>
      </c>
      <c r="D1510" s="2" t="str">
        <f t="shared" si="22"/>
        <v>Error?</v>
      </c>
    </row>
    <row r="1511" spans="1:4" x14ac:dyDescent="0.2">
      <c r="A1511" s="5">
        <v>1450</v>
      </c>
      <c r="B1511" s="138">
        <f>'Expenditures 15-22'!K280</f>
        <v>316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184312</v>
      </c>
      <c r="C1517" s="2" t="s">
        <v>594</v>
      </c>
      <c r="D1517" s="2" t="str">
        <f t="shared" si="22"/>
        <v>Error?</v>
      </c>
    </row>
    <row r="1518" spans="1:4" x14ac:dyDescent="0.2">
      <c r="A1518" s="5">
        <v>1457</v>
      </c>
      <c r="B1518" s="138">
        <f>'Expenditures 15-22'!K296</f>
        <v>-129382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396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2901408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3325443</v>
      </c>
      <c r="C1630" s="2" t="s">
        <v>594</v>
      </c>
      <c r="D1630" s="2" t="str">
        <f t="shared" si="24"/>
        <v>Error?</v>
      </c>
    </row>
    <row r="1631" spans="1:4" x14ac:dyDescent="0.2">
      <c r="A1631" s="5">
        <v>1570</v>
      </c>
      <c r="B1631" s="138">
        <f>'Acct Summary 7-8'!D79</f>
        <v>-23816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80157</v>
      </c>
      <c r="C1644" s="2" t="s">
        <v>594</v>
      </c>
      <c r="D1644" s="2" t="str">
        <f t="shared" si="24"/>
        <v>Error?</v>
      </c>
    </row>
    <row r="1645" spans="1:4" x14ac:dyDescent="0.2">
      <c r="A1645" s="5">
        <v>1584</v>
      </c>
      <c r="B1645" s="138">
        <f>'Acct Summary 7-8'!E79</f>
        <v>1059250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1090328</v>
      </c>
      <c r="C1658" s="2" t="s">
        <v>594</v>
      </c>
      <c r="D1658" s="2" t="str">
        <f t="shared" si="24"/>
        <v>Error?</v>
      </c>
    </row>
    <row r="1659" spans="1:4" x14ac:dyDescent="0.2">
      <c r="A1659" s="5">
        <v>1598</v>
      </c>
      <c r="B1659" s="138">
        <f>'Acct Summary 7-8'!F79</f>
        <v>110224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681137</v>
      </c>
      <c r="C1672" s="2" t="s">
        <v>594</v>
      </c>
      <c r="D1672" s="2" t="str">
        <f t="shared" si="25"/>
        <v>Error?</v>
      </c>
    </row>
    <row r="1673" spans="1:4" x14ac:dyDescent="0.2">
      <c r="A1673" s="5">
        <v>1612</v>
      </c>
      <c r="B1673" s="138">
        <f>'Acct Summary 7-8'!G79</f>
        <v>218503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89121</v>
      </c>
      <c r="C1686" s="2" t="s">
        <v>594</v>
      </c>
      <c r="D1686" s="2" t="str">
        <f t="shared" si="25"/>
        <v>Error?</v>
      </c>
    </row>
    <row r="1687" spans="1:4" x14ac:dyDescent="0.2">
      <c r="A1687" s="5">
        <v>1626</v>
      </c>
      <c r="B1687" s="138">
        <f>'Acct Summary 7-8'!H79</f>
        <v>25430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25826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3118618</v>
      </c>
      <c r="C1744" s="2" t="s">
        <v>594</v>
      </c>
      <c r="D1744" s="2" t="str">
        <f t="shared" si="26"/>
        <v>Error?</v>
      </c>
    </row>
    <row r="1745" spans="1:5" x14ac:dyDescent="0.2">
      <c r="A1745" s="5">
        <v>1684</v>
      </c>
      <c r="B1745" s="138">
        <f>'Tax Sched 23'!B5</f>
        <v>551820</v>
      </c>
      <c r="C1745" s="2" t="s">
        <v>594</v>
      </c>
      <c r="D1745" s="2" t="str">
        <f t="shared" si="26"/>
        <v>Error?</v>
      </c>
    </row>
    <row r="1746" spans="1:5" x14ac:dyDescent="0.2">
      <c r="A1746" s="5">
        <v>1685</v>
      </c>
      <c r="B1746" s="138">
        <f>'Tax Sched 23'!B6</f>
        <v>749913</v>
      </c>
      <c r="C1746" s="2" t="s">
        <v>594</v>
      </c>
      <c r="D1746" s="2" t="str">
        <f t="shared" si="26"/>
        <v>Error?</v>
      </c>
    </row>
    <row r="1747" spans="1:5" x14ac:dyDescent="0.2">
      <c r="A1747" s="5">
        <v>1686</v>
      </c>
      <c r="B1747" s="138">
        <f>'Tax Sched 23'!B7</f>
        <v>770641</v>
      </c>
      <c r="C1747" s="2" t="s">
        <v>594</v>
      </c>
      <c r="D1747" s="2" t="str">
        <f t="shared" si="26"/>
        <v>Error?</v>
      </c>
    </row>
    <row r="1748" spans="1:5" x14ac:dyDescent="0.2">
      <c r="A1748" s="5">
        <v>1687</v>
      </c>
      <c r="B1748" s="138">
        <f>'Tax Sched 23'!B8</f>
        <v>1124</v>
      </c>
      <c r="C1748" s="2" t="s">
        <v>594</v>
      </c>
      <c r="D1748" s="2" t="str">
        <f t="shared" si="26"/>
        <v>Error?</v>
      </c>
    </row>
    <row r="1749" spans="1:5" x14ac:dyDescent="0.2">
      <c r="A1749" s="5">
        <v>1688</v>
      </c>
      <c r="B1749" s="138">
        <f>'Tax Sched 23'!B10</f>
        <v>50875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50828</v>
      </c>
      <c r="C1752" s="2" t="s">
        <v>594</v>
      </c>
      <c r="D1752" s="2" t="str">
        <f t="shared" si="26"/>
        <v>Error?</v>
      </c>
    </row>
    <row r="1753" spans="1:5" x14ac:dyDescent="0.2">
      <c r="A1753" s="5">
        <v>1692</v>
      </c>
      <c r="B1753" s="138">
        <f>'Tax Sched 23'!B12</f>
        <v>1124</v>
      </c>
      <c r="C1753" s="2" t="s">
        <v>594</v>
      </c>
      <c r="D1753" s="2" t="str">
        <f t="shared" si="26"/>
        <v>Error?</v>
      </c>
    </row>
    <row r="1754" spans="1:5" x14ac:dyDescent="0.2">
      <c r="A1754" s="5">
        <v>1693</v>
      </c>
      <c r="B1754" s="138">
        <f>'Tax Sched 23'!B14</f>
        <v>274655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5619391</v>
      </c>
      <c r="C1759" s="2" t="s">
        <v>594</v>
      </c>
      <c r="D1759" s="2" t="str">
        <f t="shared" si="26"/>
        <v>Error?</v>
      </c>
    </row>
    <row r="1760" spans="1:5" x14ac:dyDescent="0.2">
      <c r="A1760" s="5">
        <v>1699</v>
      </c>
      <c r="B1760" s="138">
        <f>'Tax Sched 23'!D4</f>
        <v>1407661</v>
      </c>
      <c r="C1760" s="2" t="s">
        <v>594</v>
      </c>
      <c r="D1760" s="2" t="str">
        <f t="shared" si="26"/>
        <v>Error?</v>
      </c>
    </row>
    <row r="1761" spans="1:5" x14ac:dyDescent="0.2">
      <c r="A1761" s="5">
        <v>1700</v>
      </c>
      <c r="B1761" s="138">
        <f>'Tax Sched 23'!D5</f>
        <v>250293</v>
      </c>
      <c r="C1761" s="2" t="s">
        <v>594</v>
      </c>
      <c r="D1761" s="2" t="str">
        <f t="shared" si="26"/>
        <v>Error?</v>
      </c>
    </row>
    <row r="1762" spans="1:5" s="8" customFormat="1" x14ac:dyDescent="0.2">
      <c r="A1762" s="5">
        <v>1701</v>
      </c>
      <c r="B1762" s="138">
        <f>'Tax Sched 23'!D6</f>
        <v>352582</v>
      </c>
      <c r="C1762" s="2" t="s">
        <v>594</v>
      </c>
      <c r="D1762" s="2" t="str">
        <f t="shared" si="26"/>
        <v>Error?</v>
      </c>
      <c r="E1762" s="9"/>
    </row>
    <row r="1763" spans="1:5" x14ac:dyDescent="0.2">
      <c r="A1763" s="5">
        <v>1702</v>
      </c>
      <c r="B1763" s="138">
        <f>'Tax Sched 23'!D7</f>
        <v>367303</v>
      </c>
      <c r="C1763" s="2" t="s">
        <v>594</v>
      </c>
      <c r="D1763" s="2" t="str">
        <f t="shared" si="26"/>
        <v>Error?</v>
      </c>
    </row>
    <row r="1764" spans="1:5" x14ac:dyDescent="0.2">
      <c r="A1764" s="5">
        <v>1703</v>
      </c>
      <c r="B1764" s="138">
        <f>'Tax Sched 23'!D8</f>
        <v>523</v>
      </c>
      <c r="C1764" s="2" t="s">
        <v>594</v>
      </c>
      <c r="D1764" s="2" t="str">
        <f t="shared" si="26"/>
        <v>Error?</v>
      </c>
    </row>
    <row r="1765" spans="1:5" x14ac:dyDescent="0.2">
      <c r="A1765" s="5">
        <v>1704</v>
      </c>
      <c r="B1765" s="138">
        <f>'Tax Sched 23'!D10</f>
        <v>23545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23799</v>
      </c>
      <c r="C1768" s="2" t="s">
        <v>594</v>
      </c>
      <c r="D1768" s="2" t="str">
        <f t="shared" si="26"/>
        <v>Error?</v>
      </c>
    </row>
    <row r="1769" spans="1:5" x14ac:dyDescent="0.2">
      <c r="A1769" s="5">
        <v>1708</v>
      </c>
      <c r="B1769" s="138">
        <f>'Tax Sched 23'!D12</f>
        <v>523</v>
      </c>
      <c r="C1769" s="2" t="s">
        <v>594</v>
      </c>
      <c r="D1769" s="2" t="str">
        <f t="shared" si="26"/>
        <v>Error?</v>
      </c>
    </row>
    <row r="1770" spans="1:5" x14ac:dyDescent="0.2">
      <c r="A1770" s="5">
        <v>1709</v>
      </c>
      <c r="B1770" s="138">
        <f>'Tax Sched 23'!D14</f>
        <v>167138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2616131</v>
      </c>
      <c r="C1775" s="2" t="s">
        <v>594</v>
      </c>
      <c r="D1775" s="2" t="str">
        <f t="shared" si="26"/>
        <v>Error?</v>
      </c>
    </row>
    <row r="1776" spans="1:5" x14ac:dyDescent="0.2">
      <c r="A1776" s="5">
        <v>1715</v>
      </c>
      <c r="B1776" s="138">
        <f>'Tax Sched 23'!C4</f>
        <v>1710957</v>
      </c>
      <c r="D1776" s="2" t="str">
        <f t="shared" si="26"/>
        <v>Error?</v>
      </c>
    </row>
    <row r="1777" spans="1:4" x14ac:dyDescent="0.2">
      <c r="A1777" s="5">
        <v>1716</v>
      </c>
      <c r="B1777" s="138">
        <f>'Tax Sched 23'!C5</f>
        <v>301527</v>
      </c>
      <c r="D1777" s="2" t="str">
        <f t="shared" si="26"/>
        <v>Error?</v>
      </c>
    </row>
    <row r="1778" spans="1:4" x14ac:dyDescent="0.2">
      <c r="A1778" s="5">
        <v>1717</v>
      </c>
      <c r="B1778" s="138">
        <f>'Tax Sched 23'!C6</f>
        <v>397331</v>
      </c>
      <c r="D1778" s="2" t="str">
        <f t="shared" si="26"/>
        <v>Error?</v>
      </c>
    </row>
    <row r="1779" spans="1:4" x14ac:dyDescent="0.2">
      <c r="A1779" s="5">
        <v>1718</v>
      </c>
      <c r="B1779" s="138">
        <f>'Tax Sched 23'!C7</f>
        <v>403338</v>
      </c>
      <c r="D1779" s="2" t="str">
        <f t="shared" si="26"/>
        <v>Error?</v>
      </c>
    </row>
    <row r="1780" spans="1:4" x14ac:dyDescent="0.2">
      <c r="A1780" s="5">
        <v>1719</v>
      </c>
      <c r="B1780" s="138">
        <f>'Tax Sched 23'!C8</f>
        <v>601</v>
      </c>
      <c r="D1780" s="2" t="str">
        <f t="shared" si="26"/>
        <v>Error?</v>
      </c>
    </row>
    <row r="1781" spans="1:4" x14ac:dyDescent="0.2">
      <c r="A1781" s="5">
        <v>1720</v>
      </c>
      <c r="B1781" s="138">
        <f>'Tax Sched 23'!C10</f>
        <v>27330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27029</v>
      </c>
      <c r="D1784" s="2" t="str">
        <f t="shared" si="26"/>
        <v>Error?</v>
      </c>
    </row>
    <row r="1785" spans="1:4" x14ac:dyDescent="0.2">
      <c r="A1785" s="5">
        <v>1724</v>
      </c>
      <c r="B1785" s="138">
        <f>'Tax Sched 23'!C12</f>
        <v>601</v>
      </c>
      <c r="D1785" s="2" t="str">
        <f t="shared" si="26"/>
        <v>Error?</v>
      </c>
    </row>
    <row r="1786" spans="1:4" x14ac:dyDescent="0.2">
      <c r="A1786" s="5">
        <v>1725</v>
      </c>
      <c r="B1786" s="138">
        <f>'Tax Sched 23'!C14</f>
        <v>107517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3003260</v>
      </c>
      <c r="C1791" s="2" t="s">
        <v>594</v>
      </c>
      <c r="D1791" s="2" t="str">
        <f t="shared" ref="D1791:D1854" si="27">IF(ISBLANK(B1791),"OK",IF(A1791-B1791=0,"OK","Error?"))</f>
        <v>Error?</v>
      </c>
    </row>
    <row r="1792" spans="1:4" x14ac:dyDescent="0.2">
      <c r="A1792" s="5">
        <v>1731</v>
      </c>
      <c r="B1792" s="138">
        <f>'Tax Sched 23'!F4</f>
        <v>1565372</v>
      </c>
      <c r="C1792" s="2" t="s">
        <v>594</v>
      </c>
      <c r="D1792" s="2" t="str">
        <f t="shared" si="27"/>
        <v>Error?</v>
      </c>
    </row>
    <row r="1793" spans="1:4" x14ac:dyDescent="0.2">
      <c r="A1793" s="5">
        <v>1732</v>
      </c>
      <c r="B1793" s="138">
        <f>'Tax Sched 23'!F5</f>
        <v>275664</v>
      </c>
      <c r="C1793" s="2" t="s">
        <v>594</v>
      </c>
      <c r="D1793" s="2" t="str">
        <f t="shared" si="27"/>
        <v>Error?</v>
      </c>
    </row>
    <row r="1794" spans="1:4" x14ac:dyDescent="0.2">
      <c r="A1794" s="5">
        <v>1733</v>
      </c>
      <c r="B1794" s="138">
        <f>'Tax Sched 23'!F6</f>
        <v>363699</v>
      </c>
      <c r="C1794" s="2" t="s">
        <v>594</v>
      </c>
      <c r="D1794" s="2" t="str">
        <f t="shared" si="27"/>
        <v>Error?</v>
      </c>
    </row>
    <row r="1795" spans="1:4" x14ac:dyDescent="0.2">
      <c r="A1795" s="5">
        <v>1734</v>
      </c>
      <c r="B1795" s="138">
        <f>'Tax Sched 23'!F7</f>
        <v>369162</v>
      </c>
      <c r="C1795" s="2" t="s">
        <v>594</v>
      </c>
      <c r="D1795" s="2" t="str">
        <f t="shared" si="27"/>
        <v>Error?</v>
      </c>
    </row>
    <row r="1796" spans="1:4" x14ac:dyDescent="0.2">
      <c r="A1796" s="5">
        <v>1735</v>
      </c>
      <c r="B1796" s="138">
        <f>'Tax Sched 23'!F8</f>
        <v>429</v>
      </c>
      <c r="C1796" s="2" t="s">
        <v>594</v>
      </c>
      <c r="D1796" s="2" t="str">
        <f t="shared" si="27"/>
        <v>Error?</v>
      </c>
    </row>
    <row r="1797" spans="1:4" x14ac:dyDescent="0.2">
      <c r="A1797" s="5">
        <v>1736</v>
      </c>
      <c r="B1797" s="138">
        <f>'Tax Sched 23'!F10</f>
        <v>25142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24471</v>
      </c>
      <c r="C1800" s="2" t="s">
        <v>594</v>
      </c>
      <c r="D1800" s="2" t="str">
        <f t="shared" si="27"/>
        <v>Error?</v>
      </c>
    </row>
    <row r="1801" spans="1:4" x14ac:dyDescent="0.2">
      <c r="A1801" s="5">
        <v>1740</v>
      </c>
      <c r="B1801" s="138">
        <f>'Tax Sched 23'!F12</f>
        <v>429</v>
      </c>
      <c r="C1801" s="2" t="s">
        <v>594</v>
      </c>
      <c r="D1801" s="2" t="str">
        <f t="shared" si="27"/>
        <v>Error?</v>
      </c>
    </row>
    <row r="1802" spans="1:4" x14ac:dyDescent="0.2">
      <c r="A1802" s="5">
        <v>1741</v>
      </c>
      <c r="B1802" s="138">
        <f>'Tax Sched 23'!F14</f>
        <v>98483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2747322</v>
      </c>
      <c r="C1807" s="2" t="s">
        <v>594</v>
      </c>
      <c r="D1807" s="2" t="str">
        <f t="shared" si="27"/>
        <v>Error?</v>
      </c>
    </row>
    <row r="1808" spans="1:4" x14ac:dyDescent="0.2">
      <c r="A1808" s="5">
        <v>1747</v>
      </c>
      <c r="B1808" s="138">
        <f>'Tax Sched 23'!E4</f>
        <v>3276329</v>
      </c>
      <c r="D1808" s="2" t="str">
        <f t="shared" si="27"/>
        <v>Error?</v>
      </c>
    </row>
    <row r="1809" spans="1:4" x14ac:dyDescent="0.2">
      <c r="A1809" s="5">
        <v>1748</v>
      </c>
      <c r="B1809" s="138">
        <f>'Tax Sched 23'!E5</f>
        <v>577191</v>
      </c>
      <c r="D1809" s="2" t="str">
        <f t="shared" si="27"/>
        <v>Error?</v>
      </c>
    </row>
    <row r="1810" spans="1:4" x14ac:dyDescent="0.2">
      <c r="A1810" s="5">
        <v>1749</v>
      </c>
      <c r="B1810" s="138">
        <f>'Tax Sched 23'!E6</f>
        <v>761030</v>
      </c>
      <c r="D1810" s="2" t="str">
        <f t="shared" si="27"/>
        <v>Error?</v>
      </c>
    </row>
    <row r="1811" spans="1:4" x14ac:dyDescent="0.2">
      <c r="A1811" s="5">
        <v>1750</v>
      </c>
      <c r="B1811" s="138">
        <f>'Tax Sched 23'!E7</f>
        <v>772500</v>
      </c>
      <c r="D1811" s="2" t="str">
        <f t="shared" si="27"/>
        <v>Error?</v>
      </c>
    </row>
    <row r="1812" spans="1:4" x14ac:dyDescent="0.2">
      <c r="A1812" s="5">
        <v>1751</v>
      </c>
      <c r="B1812" s="138">
        <f>'Tax Sched 23'!E8</f>
        <v>1030</v>
      </c>
      <c r="D1812" s="2" t="str">
        <f t="shared" si="27"/>
        <v>Error?</v>
      </c>
    </row>
    <row r="1813" spans="1:4" x14ac:dyDescent="0.2">
      <c r="A1813" s="5">
        <v>1752</v>
      </c>
      <c r="B1813" s="138">
        <f>'Tax Sched 23'!E10</f>
        <v>52472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51500</v>
      </c>
      <c r="D1816" s="2" t="str">
        <f t="shared" si="27"/>
        <v>Error?</v>
      </c>
    </row>
    <row r="1817" spans="1:4" x14ac:dyDescent="0.2">
      <c r="A1817" s="5">
        <v>1756</v>
      </c>
      <c r="B1817" s="138">
        <f>'Tax Sched 23'!E12</f>
        <v>1030</v>
      </c>
      <c r="D1817" s="2" t="str">
        <f t="shared" si="27"/>
        <v>Error?</v>
      </c>
    </row>
    <row r="1818" spans="1:4" x14ac:dyDescent="0.2">
      <c r="A1818" s="5">
        <v>1757</v>
      </c>
      <c r="B1818" s="138">
        <f>'Tax Sched 23'!E14</f>
        <v>206000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5750582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4935753</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268486</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9021827</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1466053</v>
      </c>
      <c r="D2012" s="2" t="str">
        <f t="shared" si="30"/>
        <v>Error?</v>
      </c>
    </row>
    <row r="2013" spans="1:4" x14ac:dyDescent="0.2">
      <c r="A2013" s="5">
        <v>1952</v>
      </c>
      <c r="B2013" s="138">
        <f>'Cap Outlay Deprec 26'!C16</f>
        <v>10892094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35499</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42927</v>
      </c>
      <c r="D2018" s="2" t="str">
        <f t="shared" si="30"/>
        <v>Error?</v>
      </c>
    </row>
    <row r="2019" spans="1:4" x14ac:dyDescent="0.2">
      <c r="A2019" s="5">
        <v>1958</v>
      </c>
      <c r="B2019" s="138">
        <f>'Cap Outlay Deprec 26'!D16</f>
        <v>78426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268486</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9057326</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1508980</v>
      </c>
      <c r="C2030" s="2" t="s">
        <v>594</v>
      </c>
      <c r="D2030" s="2" t="str">
        <f t="shared" si="30"/>
        <v>Error?</v>
      </c>
    </row>
    <row r="2031" spans="1:4" x14ac:dyDescent="0.2">
      <c r="A2031" s="5">
        <v>1970</v>
      </c>
      <c r="B2031" s="138">
        <f>'Cap Outlay Deprec 26'!F16</f>
        <v>10970520</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3098752</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1376171</v>
      </c>
      <c r="D2036" s="2" t="str">
        <f t="shared" si="30"/>
        <v>Error?</v>
      </c>
    </row>
    <row r="2037" spans="1:4" x14ac:dyDescent="0.2">
      <c r="A2037" s="5">
        <v>1976</v>
      </c>
      <c r="B2037" s="138">
        <f>'Cap Outlay Deprec 26'!H16</f>
        <v>4610651</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133206</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8585</v>
      </c>
      <c r="D2042" s="2" t="str">
        <f t="shared" si="30"/>
        <v>Error?</v>
      </c>
    </row>
    <row r="2043" spans="1:4" x14ac:dyDescent="0.2">
      <c r="A2043" s="5">
        <v>1982</v>
      </c>
      <c r="B2043" s="138">
        <f>'Cap Outlay Deprec 26'!I16</f>
        <v>141791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3231958</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1384756</v>
      </c>
      <c r="C2054" s="2" t="s">
        <v>594</v>
      </c>
      <c r="D2054" s="2" t="str">
        <f t="shared" si="31"/>
        <v>Error?</v>
      </c>
    </row>
    <row r="2055" spans="1:4" x14ac:dyDescent="0.2">
      <c r="A2055" s="5">
        <v>1994</v>
      </c>
      <c r="B2055" s="138">
        <f>'Cap Outlay Deprec 26'!K16</f>
        <v>4752442</v>
      </c>
      <c r="C2055" s="2" t="s">
        <v>594</v>
      </c>
      <c r="D2055" s="2" t="str">
        <f t="shared" si="31"/>
        <v>Error?</v>
      </c>
    </row>
    <row r="2056" spans="1:4" x14ac:dyDescent="0.2">
      <c r="A2056" s="5">
        <v>1995</v>
      </c>
      <c r="B2056" s="138">
        <f>'Cap Outlay Deprec 26'!L5</f>
        <v>268486</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5825368</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124224</v>
      </c>
      <c r="C2060" s="2" t="s">
        <v>594</v>
      </c>
      <c r="D2060" s="2" t="str">
        <f t="shared" si="31"/>
        <v>Error?</v>
      </c>
    </row>
    <row r="2061" spans="1:4" x14ac:dyDescent="0.2">
      <c r="A2061" s="5">
        <v>2000</v>
      </c>
      <c r="B2061" s="138">
        <f>'Cap Outlay Deprec 26'!L16</f>
        <v>6218078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15432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15432</v>
      </c>
      <c r="C2088" s="2" t="s">
        <v>594</v>
      </c>
      <c r="D2088" s="2" t="str">
        <f t="shared" si="31"/>
        <v>Error?</v>
      </c>
    </row>
    <row r="2089" spans="1:4" x14ac:dyDescent="0.2">
      <c r="A2089" s="5">
        <v>2028</v>
      </c>
      <c r="B2089" s="138">
        <f>'Expenditures 15-22'!K92</f>
        <v>925985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3603985</v>
      </c>
      <c r="C2551" s="2" t="s">
        <v>594</v>
      </c>
      <c r="D2551" s="2" t="str">
        <f t="shared" si="38"/>
        <v>Error?</v>
      </c>
    </row>
    <row r="2552" spans="1:4" x14ac:dyDescent="0.2">
      <c r="A2552" s="10">
        <v>2491</v>
      </c>
      <c r="D2552" s="2" t="str">
        <f t="shared" si="38"/>
        <v>OK</v>
      </c>
    </row>
    <row r="2553" spans="1:4" x14ac:dyDescent="0.2">
      <c r="A2553" s="5">
        <v>2492</v>
      </c>
      <c r="B2553" s="138">
        <f>'Acct Summary 7-8'!C6</f>
        <v>3225058</v>
      </c>
      <c r="C2553" s="2" t="s">
        <v>594</v>
      </c>
      <c r="D2553" s="2" t="str">
        <f t="shared" si="38"/>
        <v>Error?</v>
      </c>
    </row>
    <row r="2554" spans="1:4" x14ac:dyDescent="0.2">
      <c r="A2554" s="5">
        <v>2493</v>
      </c>
      <c r="B2554" s="138">
        <f>'Acct Summary 7-8'!C7</f>
        <v>377006</v>
      </c>
      <c r="C2554" s="2" t="s">
        <v>594</v>
      </c>
      <c r="D2554" s="2" t="str">
        <f t="shared" si="38"/>
        <v>Error?</v>
      </c>
    </row>
    <row r="2555" spans="1:4" x14ac:dyDescent="0.2">
      <c r="A2555" s="5">
        <v>2494</v>
      </c>
      <c r="B2555" s="138">
        <f>'Acct Summary 7-8'!C8</f>
        <v>7206049</v>
      </c>
      <c r="C2555" s="2" t="s">
        <v>594</v>
      </c>
      <c r="D2555" s="2" t="str">
        <f t="shared" si="38"/>
        <v>Error?</v>
      </c>
    </row>
    <row r="2556" spans="1:4" x14ac:dyDescent="0.2">
      <c r="A2556" s="5">
        <v>2495</v>
      </c>
      <c r="B2556" s="138">
        <f>'Acct Summary 7-8'!C12</f>
        <v>4033539</v>
      </c>
      <c r="C2556" s="2" t="s">
        <v>594</v>
      </c>
      <c r="D2556" s="2" t="str">
        <f t="shared" si="38"/>
        <v>Error?</v>
      </c>
    </row>
    <row r="2557" spans="1:4" x14ac:dyDescent="0.2">
      <c r="A2557" s="5">
        <v>2496</v>
      </c>
      <c r="B2557" s="138">
        <f>'Acct Summary 7-8'!C13</f>
        <v>1784650</v>
      </c>
      <c r="C2557" s="2" t="s">
        <v>594</v>
      </c>
      <c r="D2557" s="2" t="str">
        <f t="shared" si="38"/>
        <v>Error?</v>
      </c>
    </row>
    <row r="2558" spans="1:4" x14ac:dyDescent="0.2">
      <c r="A2558" s="5">
        <v>2497</v>
      </c>
      <c r="B2558" s="138">
        <f>'Acct Summary 7-8'!C14</f>
        <v>22408</v>
      </c>
      <c r="C2558" s="2" t="s">
        <v>594</v>
      </c>
      <c r="D2558" s="2" t="str">
        <f t="shared" si="38"/>
        <v>Error?</v>
      </c>
    </row>
    <row r="2559" spans="1:4" x14ac:dyDescent="0.2">
      <c r="A2559" s="5">
        <v>2498</v>
      </c>
      <c r="B2559" s="138">
        <f>'Acct Summary 7-8'!C15</f>
        <v>941417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6782014</v>
      </c>
      <c r="C2561" s="2" t="s">
        <v>594</v>
      </c>
      <c r="D2561" s="2" t="str">
        <f t="shared" si="39"/>
        <v>Error?</v>
      </c>
    </row>
    <row r="2562" spans="1:4" x14ac:dyDescent="0.2">
      <c r="A2562" s="5">
        <v>2501</v>
      </c>
      <c r="B2562" s="138">
        <f>'Acct Summary 7-8'!C20</f>
        <v>424035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552585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552585</v>
      </c>
      <c r="C2568" s="2" t="s">
        <v>594</v>
      </c>
      <c r="D2568" s="2" t="str">
        <f t="shared" si="39"/>
        <v>Error?</v>
      </c>
    </row>
    <row r="2569" spans="1:4" x14ac:dyDescent="0.2">
      <c r="A2569" s="5">
        <v>2508</v>
      </c>
      <c r="B2569" s="138">
        <f>'Acct Summary 7-8'!D13</f>
        <v>448612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448612</v>
      </c>
      <c r="C2573" s="2" t="s">
        <v>594</v>
      </c>
      <c r="D2573" s="2" t="str">
        <f t="shared" si="39"/>
        <v>Error?</v>
      </c>
    </row>
    <row r="2574" spans="1:4" x14ac:dyDescent="0.2">
      <c r="A2574" s="5">
        <v>2513</v>
      </c>
      <c r="B2574" s="138">
        <f>'Acct Summary 7-8'!D20</f>
        <v>103973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776060</v>
      </c>
      <c r="C2591" s="2" t="s">
        <v>594</v>
      </c>
      <c r="D2591" s="2" t="str">
        <f t="shared" si="39"/>
        <v>Error?</v>
      </c>
    </row>
    <row r="2592" spans="1:4" x14ac:dyDescent="0.2">
      <c r="A2592" s="10">
        <v>2531</v>
      </c>
      <c r="D2592" s="2" t="str">
        <f t="shared" si="39"/>
        <v>OK</v>
      </c>
    </row>
    <row r="2593" spans="1:4" x14ac:dyDescent="0.2">
      <c r="A2593" s="5">
        <v>2532</v>
      </c>
      <c r="B2593" s="138">
        <f>'Acct Summary 7-8'!F6</f>
        <v>437138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1213198</v>
      </c>
      <c r="C2595" s="2" t="s">
        <v>594</v>
      </c>
      <c r="D2595" s="2" t="str">
        <f t="shared" si="39"/>
        <v>Error?</v>
      </c>
    </row>
    <row r="2596" spans="1:4" x14ac:dyDescent="0.2">
      <c r="A2596" s="5">
        <v>2535</v>
      </c>
      <c r="B2596" s="138">
        <f>'Acct Summary 7-8'!F13</f>
        <v>642285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642285</v>
      </c>
      <c r="C2600" s="2" t="s">
        <v>594</v>
      </c>
      <c r="D2600" s="2" t="str">
        <f t="shared" si="39"/>
        <v>Error?</v>
      </c>
    </row>
    <row r="2601" spans="1:4" x14ac:dyDescent="0.2">
      <c r="A2601" s="5">
        <v>2540</v>
      </c>
      <c r="B2601" s="138">
        <f>'Acct Summary 7-8'!F20</f>
        <v>570913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54930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54930</v>
      </c>
      <c r="C2606" s="2" t="s">
        <v>594</v>
      </c>
      <c r="D2606" s="2" t="str">
        <f t="shared" si="39"/>
        <v>Error?</v>
      </c>
    </row>
    <row r="2607" spans="1:4" x14ac:dyDescent="0.2">
      <c r="A2607" s="5">
        <v>2546</v>
      </c>
      <c r="B2607" s="138">
        <f>'Acct Summary 7-8'!G12</f>
        <v>94170</v>
      </c>
      <c r="C2607" s="2" t="s">
        <v>594</v>
      </c>
      <c r="D2607" s="2" t="str">
        <f t="shared" si="39"/>
        <v>Error?</v>
      </c>
    </row>
    <row r="2608" spans="1:4" x14ac:dyDescent="0.2">
      <c r="A2608" s="5">
        <v>2547</v>
      </c>
      <c r="B2608" s="138">
        <f>'Acct Summary 7-8'!G13</f>
        <v>89826</v>
      </c>
      <c r="C2608" s="2" t="s">
        <v>594</v>
      </c>
      <c r="D2608" s="2" t="str">
        <f t="shared" si="39"/>
        <v>Error?</v>
      </c>
    </row>
    <row r="2609" spans="1:4" x14ac:dyDescent="0.2">
      <c r="A2609" s="5">
        <v>2548</v>
      </c>
      <c r="B2609" s="138">
        <f>'Acct Summary 7-8'!G14</f>
        <v>316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184312</v>
      </c>
      <c r="C2612" s="2" t="s">
        <v>594</v>
      </c>
      <c r="D2612" s="2" t="str">
        <f t="shared" si="39"/>
        <v>Error?</v>
      </c>
    </row>
    <row r="2613" spans="1:4" x14ac:dyDescent="0.2">
      <c r="A2613" s="5">
        <v>2552</v>
      </c>
      <c r="B2613" s="138">
        <f>'Acct Summary 7-8'!G20</f>
        <v>-129382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807454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807454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776376</v>
      </c>
      <c r="C2634" s="2" t="s">
        <v>594</v>
      </c>
      <c r="D2634" s="2" t="str">
        <f t="shared" si="40"/>
        <v>Error?</v>
      </c>
    </row>
    <row r="2635" spans="1:4" x14ac:dyDescent="0.2">
      <c r="A2635" s="5">
        <v>2574</v>
      </c>
      <c r="B2635" s="138">
        <f>'Acct Summary 7-8'!E17</f>
        <v>776376</v>
      </c>
      <c r="C2635" s="2" t="s">
        <v>594</v>
      </c>
      <c r="D2635" s="2" t="str">
        <f t="shared" si="40"/>
        <v>Error?</v>
      </c>
    </row>
    <row r="2636" spans="1:4" x14ac:dyDescent="0.2">
      <c r="A2636" s="5">
        <v>2575</v>
      </c>
      <c r="B2636" s="138">
        <f>'Acct Summary 7-8'!E20</f>
        <v>31078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396</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396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2522527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22691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2522527</v>
      </c>
      <c r="D2912" s="2" t="str">
        <f t="shared" si="44"/>
        <v>Error?</v>
      </c>
    </row>
    <row r="2913" spans="1:4" x14ac:dyDescent="0.2">
      <c r="A2913" s="5">
        <v>2852</v>
      </c>
      <c r="B2913" s="138">
        <f>'Assets-Liab 5-6'!I41</f>
        <v>2522527</v>
      </c>
      <c r="C2913" s="2" t="s">
        <v>594</v>
      </c>
      <c r="D2913" s="2" t="str">
        <f t="shared" si="44"/>
        <v>Error?</v>
      </c>
    </row>
    <row r="2914" spans="1:4" x14ac:dyDescent="0.2">
      <c r="A2914" s="5">
        <v>2853</v>
      </c>
      <c r="B2914" s="138">
        <f>'Assets-Liab 5-6'!L33</f>
        <v>22691</v>
      </c>
      <c r="D2914" s="2" t="str">
        <f t="shared" si="44"/>
        <v>Error?</v>
      </c>
    </row>
    <row r="2915" spans="1:4" x14ac:dyDescent="0.2">
      <c r="A2915" s="10">
        <v>2854</v>
      </c>
      <c r="D2915" s="2" t="str">
        <f t="shared" si="44"/>
        <v>OK</v>
      </c>
    </row>
    <row r="2916" spans="1:4" x14ac:dyDescent="0.2">
      <c r="A2916" s="5">
        <v>2855</v>
      </c>
      <c r="B2916" s="138">
        <f>'Assets-Liab 5-6'!L34</f>
        <v>22691</v>
      </c>
      <c r="C2916" s="2" t="s">
        <v>594</v>
      </c>
      <c r="D2916" s="2" t="str">
        <f t="shared" si="44"/>
        <v>Error?</v>
      </c>
    </row>
    <row r="2917" spans="1:4" x14ac:dyDescent="0.2">
      <c r="A2917" s="5">
        <v>2856</v>
      </c>
      <c r="B2917" s="138">
        <f>'Assets-Liab 5-6'!L41</f>
        <v>22691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15432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15432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129043</v>
      </c>
      <c r="D3055" s="2" t="str">
        <f t="shared" si="46"/>
        <v>Error?</v>
      </c>
    </row>
    <row r="3056" spans="1:4" x14ac:dyDescent="0.2">
      <c r="A3056" s="5">
        <v>2995</v>
      </c>
      <c r="B3056" s="138">
        <f>'Expenditures 15-22'!D10</f>
        <v>40909</v>
      </c>
      <c r="D3056" s="2" t="str">
        <f t="shared" si="46"/>
        <v>Error?</v>
      </c>
    </row>
    <row r="3057" spans="1:4" x14ac:dyDescent="0.2">
      <c r="A3057" s="5">
        <v>2996</v>
      </c>
      <c r="B3057" s="138">
        <f>'Expenditures 15-22'!E10</f>
        <v>4109</v>
      </c>
      <c r="D3057" s="2" t="str">
        <f t="shared" si="46"/>
        <v>Error?</v>
      </c>
    </row>
    <row r="3058" spans="1:4" x14ac:dyDescent="0.2">
      <c r="A3058" s="5">
        <v>2997</v>
      </c>
      <c r="B3058" s="138">
        <f>'Expenditures 15-22'!F10</f>
        <v>21967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196028</v>
      </c>
      <c r="C3062" s="2" t="s">
        <v>594</v>
      </c>
      <c r="D3062" s="2" t="str">
        <f t="shared" si="46"/>
        <v>Error?</v>
      </c>
    </row>
    <row r="3063" spans="1:4" x14ac:dyDescent="0.2">
      <c r="A3063" s="10">
        <v>3002</v>
      </c>
      <c r="D3063" s="2" t="str">
        <f t="shared" si="46"/>
        <v>OK</v>
      </c>
    </row>
    <row r="3064" spans="1:4" x14ac:dyDescent="0.2">
      <c r="A3064" s="5">
        <v>3003</v>
      </c>
      <c r="B3064" s="138">
        <f>'Expenditures 15-22'!D219</f>
        <v>4092</v>
      </c>
      <c r="D3064" s="2" t="str">
        <f t="shared" si="46"/>
        <v>Error?</v>
      </c>
    </row>
    <row r="3065" spans="1:4" x14ac:dyDescent="0.2">
      <c r="A3065" s="5">
        <v>3004</v>
      </c>
      <c r="B3065" s="138">
        <f>'Expenditures 15-22'!K219</f>
        <v>4092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89082</v>
      </c>
      <c r="C3225" s="2" t="s">
        <v>594</v>
      </c>
      <c r="D3225" s="2" t="str">
        <f t="shared" si="49"/>
        <v>Error?</v>
      </c>
    </row>
    <row r="3226" spans="1:4" x14ac:dyDescent="0.2">
      <c r="A3226" s="5">
        <v>3165</v>
      </c>
      <c r="B3226" s="138">
        <f>'Acct Summary 7-8'!I8</f>
        <v>89082</v>
      </c>
      <c r="C3226" s="2" t="s">
        <v>594</v>
      </c>
      <c r="D3226" s="2" t="str">
        <f t="shared" si="49"/>
        <v>Error?</v>
      </c>
    </row>
    <row r="3227" spans="1:4" x14ac:dyDescent="0.2">
      <c r="A3227" s="5">
        <v>3166</v>
      </c>
      <c r="B3227" s="138">
        <f>'Acct Summary 7-8'!I20</f>
        <v>89082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424035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103973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570913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-129382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31078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396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89082</v>
      </c>
      <c r="C3320" s="2" t="s">
        <v>594</v>
      </c>
      <c r="D3320" s="2" t="str">
        <f t="shared" si="50"/>
        <v>Error?</v>
      </c>
    </row>
    <row r="3321" spans="1:4" x14ac:dyDescent="0.2">
      <c r="A3321" s="5">
        <v>3260</v>
      </c>
      <c r="B3321" s="138">
        <f>'Acct Summary 7-8'!I79</f>
        <v>2433445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2522527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580100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93008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470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16020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689598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57903</v>
      </c>
      <c r="D3387" s="2" t="str">
        <f t="shared" si="51"/>
        <v>Error?</v>
      </c>
    </row>
    <row r="3388" spans="1:4" x14ac:dyDescent="0.2">
      <c r="A3388" s="5">
        <v>3327</v>
      </c>
      <c r="B3388" s="138">
        <f>'Expenditures 15-22'!D217</f>
        <v>24899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57903</v>
      </c>
      <c r="C3390" s="2" t="s">
        <v>594</v>
      </c>
      <c r="D3390" s="2" t="str">
        <f t="shared" si="51"/>
        <v>Error?</v>
      </c>
    </row>
    <row r="3391" spans="1:4" x14ac:dyDescent="0.2">
      <c r="A3391" s="5">
        <v>3330</v>
      </c>
      <c r="B3391" s="138">
        <f>'Expenditures 15-22'!K217</f>
        <v>24899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3325443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80157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1090328</v>
      </c>
      <c r="D3417" s="2" t="str">
        <f t="shared" si="52"/>
        <v>Error?</v>
      </c>
    </row>
    <row r="3418" spans="1:4" x14ac:dyDescent="0.2">
      <c r="A3418" s="10">
        <v>3357</v>
      </c>
      <c r="D3418" s="2" t="str">
        <f t="shared" si="52"/>
        <v>OK</v>
      </c>
    </row>
    <row r="3419" spans="1:4" x14ac:dyDescent="0.2">
      <c r="A3419" s="5">
        <v>3358</v>
      </c>
      <c r="B3419" s="138">
        <f>'Assets-Liab 5-6'!F4</f>
        <v>681137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89121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25826</v>
      </c>
      <c r="D3425" s="2" t="str">
        <f t="shared" si="52"/>
        <v>Error?</v>
      </c>
    </row>
    <row r="3426" spans="1:4" x14ac:dyDescent="0.2">
      <c r="A3426" s="10">
        <v>3365</v>
      </c>
      <c r="D3426" s="2" t="str">
        <f t="shared" si="52"/>
        <v>OK</v>
      </c>
    </row>
    <row r="3427" spans="1:4" x14ac:dyDescent="0.2">
      <c r="A3427" s="5">
        <v>3366</v>
      </c>
      <c r="B3427" s="138">
        <f>'Assets-Liab 5-6'!I4</f>
        <v>2522527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22691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49793</v>
      </c>
      <c r="C3446" s="2" t="s">
        <v>594</v>
      </c>
      <c r="D3446" s="2" t="str">
        <f t="shared" si="52"/>
        <v>Error?</v>
      </c>
    </row>
    <row r="3447" spans="1:4" x14ac:dyDescent="0.2">
      <c r="A3447" s="5">
        <v>3386</v>
      </c>
      <c r="B3447" s="138">
        <f>'Tax Sched 23'!D16</f>
        <v>22764</v>
      </c>
      <c r="C3447" s="2" t="s">
        <v>594</v>
      </c>
      <c r="D3447" s="2" t="str">
        <f t="shared" si="52"/>
        <v>Error?</v>
      </c>
    </row>
    <row r="3448" spans="1:4" x14ac:dyDescent="0.2">
      <c r="A3448" s="5">
        <v>3387</v>
      </c>
      <c r="B3448" s="138">
        <f>'Tax Sched 23'!C16</f>
        <v>27029</v>
      </c>
      <c r="D3448" s="2" t="str">
        <f t="shared" si="52"/>
        <v>Error?</v>
      </c>
    </row>
    <row r="3449" spans="1:4" x14ac:dyDescent="0.2">
      <c r="A3449" s="5">
        <v>3388</v>
      </c>
      <c r="B3449" s="138">
        <f>'Tax Sched 23'!F16</f>
        <v>24471</v>
      </c>
      <c r="C3449" s="2" t="s">
        <v>594</v>
      </c>
      <c r="D3449" s="2" t="str">
        <f t="shared" si="52"/>
        <v>Error?</v>
      </c>
    </row>
    <row r="3450" spans="1:4" x14ac:dyDescent="0.2">
      <c r="A3450" s="5">
        <v>3389</v>
      </c>
      <c r="B3450" s="138">
        <f>'Tax Sched 23'!E16</f>
        <v>51500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273261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273261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273261</v>
      </c>
      <c r="D3567" s="2" t="str">
        <f t="shared" si="54"/>
        <v>Error?</v>
      </c>
    </row>
    <row r="3568" spans="1:4" x14ac:dyDescent="0.2">
      <c r="A3568" s="5">
        <v>3507</v>
      </c>
      <c r="B3568" s="138">
        <f>'Assets-Liab 5-6'!K41</f>
        <v>273261</v>
      </c>
      <c r="C3568" s="2" t="s">
        <v>594</v>
      </c>
      <c r="D3568" s="2" t="str">
        <f t="shared" si="54"/>
        <v>Error?</v>
      </c>
    </row>
    <row r="3569" spans="1:4" x14ac:dyDescent="0.2">
      <c r="A3569" s="5">
        <v>3508</v>
      </c>
      <c r="B3569" s="138">
        <f>'Acct Summary 7-8'!K4</f>
        <v>5346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5346</v>
      </c>
      <c r="C3571" s="2" t="s">
        <v>594</v>
      </c>
      <c r="D3571" s="2" t="str">
        <f t="shared" si="54"/>
        <v>Error?</v>
      </c>
    </row>
    <row r="3572" spans="1:4" x14ac:dyDescent="0.2">
      <c r="A3572" s="5">
        <v>3511</v>
      </c>
      <c r="B3572" s="138">
        <f>'Acct Summary 7-8'!K13</f>
        <v>7250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7250</v>
      </c>
      <c r="C3575" s="2" t="s">
        <v>594</v>
      </c>
      <c r="D3575" s="2" t="str">
        <f t="shared" si="54"/>
        <v>Error?</v>
      </c>
    </row>
    <row r="3576" spans="1:4" x14ac:dyDescent="0.2">
      <c r="A3576" s="5">
        <v>3515</v>
      </c>
      <c r="B3576" s="138">
        <f>'Acct Summary 7-8'!K20</f>
        <v>-1904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-1904</v>
      </c>
      <c r="C3588" s="2" t="s">
        <v>594</v>
      </c>
      <c r="D3588" s="2" t="str">
        <f t="shared" si="55"/>
        <v>Error?</v>
      </c>
    </row>
    <row r="3589" spans="1:4" x14ac:dyDescent="0.2">
      <c r="A3589" s="5">
        <v>3528</v>
      </c>
      <c r="B3589" s="138">
        <f>'Acct Summary 7-8'!K79</f>
        <v>275165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273261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1000</v>
      </c>
      <c r="D3632" s="2" t="str">
        <f t="shared" si="55"/>
        <v>Error?</v>
      </c>
    </row>
    <row r="3633" spans="1:4" x14ac:dyDescent="0.2">
      <c r="A3633" s="5">
        <v>3572</v>
      </c>
      <c r="B3633" s="138">
        <f>'Expenditures 15-22'!E350</f>
        <v>1000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1000</v>
      </c>
      <c r="C3635" s="2" t="s">
        <v>594</v>
      </c>
      <c r="D3635" s="2" t="str">
        <f t="shared" si="55"/>
        <v>Error?</v>
      </c>
    </row>
    <row r="3636" spans="1:4" x14ac:dyDescent="0.2">
      <c r="A3636" s="5">
        <v>3575</v>
      </c>
      <c r="B3636" s="138">
        <f>'Expenditures 15-22'!E367</f>
        <v>1000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6250</v>
      </c>
      <c r="D3646" s="2" t="str">
        <f t="shared" si="55"/>
        <v>Error?</v>
      </c>
    </row>
    <row r="3647" spans="1:4" x14ac:dyDescent="0.2">
      <c r="A3647" s="5">
        <v>3586</v>
      </c>
      <c r="B3647" s="138">
        <f>'Expenditures 15-22'!G350</f>
        <v>6250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6250</v>
      </c>
      <c r="C3649" s="2" t="s">
        <v>594</v>
      </c>
      <c r="D3649" s="2" t="str">
        <f t="shared" si="56"/>
        <v>Error?</v>
      </c>
    </row>
    <row r="3650" spans="1:4" x14ac:dyDescent="0.2">
      <c r="A3650" s="5">
        <v>3589</v>
      </c>
      <c r="B3650" s="138">
        <f>'Expenditures 15-22'!G367</f>
        <v>6250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7250</v>
      </c>
      <c r="C3669" s="2" t="s">
        <v>594</v>
      </c>
      <c r="D3669" s="2" t="str">
        <f t="shared" si="56"/>
        <v>Error?</v>
      </c>
    </row>
    <row r="3670" spans="1:4" x14ac:dyDescent="0.2">
      <c r="A3670" s="5">
        <v>3609</v>
      </c>
      <c r="B3670" s="138">
        <f>'Expenditures 15-22'!K350</f>
        <v>7250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7250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7250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-1904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2485386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9691435</v>
      </c>
      <c r="C4122" s="2" t="s">
        <v>594</v>
      </c>
      <c r="D4122" s="2" t="str">
        <f t="shared" si="63"/>
        <v>Error?</v>
      </c>
    </row>
    <row r="4123" spans="1:4" x14ac:dyDescent="0.2">
      <c r="A4123" s="5">
        <v>4062</v>
      </c>
      <c r="B4123" s="138">
        <f>'Acct Summary 7-8'!D10</f>
        <v>552585</v>
      </c>
      <c r="C4123" s="2" t="s">
        <v>594</v>
      </c>
      <c r="D4123" s="2" t="str">
        <f t="shared" si="63"/>
        <v>Error?</v>
      </c>
    </row>
    <row r="4124" spans="1:4" x14ac:dyDescent="0.2">
      <c r="A4124" s="5">
        <v>4063</v>
      </c>
      <c r="B4124" s="138">
        <f>'Acct Summary 7-8'!E10</f>
        <v>807454</v>
      </c>
      <c r="C4124" s="2" t="s">
        <v>594</v>
      </c>
      <c r="D4124" s="2" t="str">
        <f t="shared" si="63"/>
        <v>Error?</v>
      </c>
    </row>
    <row r="4125" spans="1:4" x14ac:dyDescent="0.2">
      <c r="A4125" s="5">
        <v>4064</v>
      </c>
      <c r="B4125" s="138">
        <f>'Acct Summary 7-8'!F10</f>
        <v>1213198</v>
      </c>
      <c r="C4125" s="2" t="s">
        <v>594</v>
      </c>
      <c r="D4125" s="2" t="str">
        <f t="shared" si="63"/>
        <v>Error?</v>
      </c>
    </row>
    <row r="4126" spans="1:4" x14ac:dyDescent="0.2">
      <c r="A4126" s="5">
        <v>4065</v>
      </c>
      <c r="B4126" s="138">
        <f>'Acct Summary 7-8'!G10</f>
        <v>54930</v>
      </c>
      <c r="C4126" s="2" t="s">
        <v>594</v>
      </c>
      <c r="D4126" s="2" t="str">
        <f t="shared" si="63"/>
        <v>Error?</v>
      </c>
    </row>
    <row r="4127" spans="1:4" x14ac:dyDescent="0.2">
      <c r="A4127" s="5">
        <v>4066</v>
      </c>
      <c r="B4127" s="138">
        <f>'Acct Summary 7-8'!H10</f>
        <v>396</v>
      </c>
      <c r="C4127" s="2" t="s">
        <v>594</v>
      </c>
      <c r="D4127" s="2" t="str">
        <f t="shared" si="63"/>
        <v>Error?</v>
      </c>
    </row>
    <row r="4128" spans="1:4" x14ac:dyDescent="0.2">
      <c r="A4128" s="5">
        <v>4067</v>
      </c>
      <c r="B4128" s="138">
        <f>'Acct Summary 7-8'!I10</f>
        <v>89082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5346</v>
      </c>
      <c r="C4130" s="2" t="s">
        <v>594</v>
      </c>
      <c r="D4130" s="2" t="str">
        <f t="shared" si="63"/>
        <v>Error?</v>
      </c>
    </row>
    <row r="4131" spans="1:4" x14ac:dyDescent="0.2">
      <c r="A4131" s="5">
        <v>4070</v>
      </c>
      <c r="B4131" s="138">
        <f>'Acct Summary 7-8'!C18</f>
        <v>2485386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9267400</v>
      </c>
      <c r="C4136" s="2" t="s">
        <v>594</v>
      </c>
      <c r="D4136" s="2" t="str">
        <f t="shared" si="63"/>
        <v>Error?</v>
      </c>
    </row>
    <row r="4137" spans="1:4" x14ac:dyDescent="0.2">
      <c r="A4137" s="5">
        <v>4076</v>
      </c>
      <c r="B4137" s="138">
        <f>'Acct Summary 7-8'!D19</f>
        <v>448612</v>
      </c>
      <c r="C4137" s="2" t="s">
        <v>594</v>
      </c>
      <c r="D4137" s="2" t="str">
        <f t="shared" si="63"/>
        <v>Error?</v>
      </c>
    </row>
    <row r="4138" spans="1:4" x14ac:dyDescent="0.2">
      <c r="A4138" s="5">
        <v>4077</v>
      </c>
      <c r="B4138" s="138">
        <f>'Acct Summary 7-8'!E19</f>
        <v>776376</v>
      </c>
      <c r="C4138" s="2" t="s">
        <v>594</v>
      </c>
      <c r="D4138" s="2" t="str">
        <f t="shared" si="63"/>
        <v>Error?</v>
      </c>
    </row>
    <row r="4139" spans="1:4" x14ac:dyDescent="0.2">
      <c r="A4139" s="5">
        <v>4078</v>
      </c>
      <c r="B4139" s="138">
        <f>'Acct Summary 7-8'!F19</f>
        <v>642285</v>
      </c>
      <c r="C4139" s="2" t="s">
        <v>594</v>
      </c>
      <c r="D4139" s="2" t="str">
        <f t="shared" si="63"/>
        <v>Error?</v>
      </c>
    </row>
    <row r="4140" spans="1:4" x14ac:dyDescent="0.2">
      <c r="A4140" s="5">
        <v>4079</v>
      </c>
      <c r="B4140" s="138">
        <f>'Acct Summary 7-8'!G19</f>
        <v>184312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7250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4318186</v>
      </c>
      <c r="C4171" s="2" t="s">
        <v>594</v>
      </c>
      <c r="D4171" s="2" t="str">
        <f t="shared" si="64"/>
        <v>Error?</v>
      </c>
    </row>
    <row r="4172" spans="1:4" x14ac:dyDescent="0.2">
      <c r="A4172" s="5">
        <v>4111</v>
      </c>
      <c r="B4172" s="138">
        <f>'Short-Term Long-Term Debt 24'!J49</f>
        <v>3910911</v>
      </c>
      <c r="C4172" s="2" t="s">
        <v>594</v>
      </c>
      <c r="D4172" s="2" t="str">
        <f t="shared" si="64"/>
        <v>Error?</v>
      </c>
    </row>
    <row r="4173" spans="1:4" x14ac:dyDescent="0.2">
      <c r="A4173" s="5">
        <v>4112</v>
      </c>
      <c r="B4173" s="138">
        <f>'Short-Term Long-Term Debt 24'!H49</f>
        <v>425810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-191757</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2631.6</v>
      </c>
      <c r="C4265" s="2" t="s">
        <v>594</v>
      </c>
      <c r="D4265" s="2" t="str">
        <f t="shared" si="65"/>
        <v>Error?</v>
      </c>
      <c r="E4265" s="128"/>
    </row>
    <row r="4266" spans="1:5" x14ac:dyDescent="0.2">
      <c r="A4266" s="12">
        <v>4205</v>
      </c>
      <c r="B4266" s="138">
        <f>('FP Info 3'!F10)*100000</f>
        <v>463.6</v>
      </c>
      <c r="C4266" s="2" t="s">
        <v>594</v>
      </c>
      <c r="D4266" s="2" t="str">
        <f t="shared" si="65"/>
        <v>Error?</v>
      </c>
      <c r="E4266" s="128"/>
    </row>
    <row r="4267" spans="1:5" x14ac:dyDescent="0.2">
      <c r="A4267" s="12">
        <v>4206</v>
      </c>
      <c r="B4267" s="138">
        <f>('FP Info 3'!H10)*100000</f>
        <v>620.5</v>
      </c>
      <c r="C4267" s="2" t="s">
        <v>594</v>
      </c>
      <c r="D4267" s="2" t="str">
        <f t="shared" si="65"/>
        <v>Error?</v>
      </c>
      <c r="E4267" s="128"/>
    </row>
    <row r="4268" spans="1:5" x14ac:dyDescent="0.2">
      <c r="A4268" s="12">
        <v>4207</v>
      </c>
      <c r="B4268" s="138">
        <f>('FP Info 3'!J10)*100000</f>
        <v>3716</v>
      </c>
      <c r="C4268" s="2" t="s">
        <v>594</v>
      </c>
      <c r="D4268" s="2" t="str">
        <f t="shared" si="65"/>
        <v>Error?</v>
      </c>
    </row>
    <row r="4269" spans="1:5" x14ac:dyDescent="0.2">
      <c r="A4269" s="12">
        <v>4208</v>
      </c>
      <c r="B4269" s="138">
        <f>'FP Info 3'!J16</f>
        <v>6609264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13220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42.1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124498030</v>
      </c>
      <c r="D4995" s="2" t="str">
        <f t="shared" si="77"/>
        <v>Error?</v>
      </c>
    </row>
    <row r="4996" spans="1:4" x14ac:dyDescent="0.2">
      <c r="A4996" s="12">
        <v>4935</v>
      </c>
      <c r="B4996" s="138">
        <f>'FP Info 3'!H31</f>
        <v>8590364.0700000003</v>
      </c>
      <c r="D4996" s="2" t="str">
        <f t="shared" si="77"/>
        <v>Error?</v>
      </c>
    </row>
    <row r="4997" spans="1:4" x14ac:dyDescent="0.2">
      <c r="A4997" s="12">
        <v>4936</v>
      </c>
      <c r="B4997" s="138">
        <f>'FP Info 3'!H37</f>
        <v>4318186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3118618</v>
      </c>
      <c r="D5061" s="2" t="str">
        <f t="shared" si="78"/>
        <v>Error?</v>
      </c>
    </row>
    <row r="5062" spans="1:4" x14ac:dyDescent="0.2">
      <c r="A5062" s="10">
        <v>5001</v>
      </c>
      <c r="D5062" s="2" t="str">
        <f t="shared" si="78"/>
        <v>OK</v>
      </c>
    </row>
    <row r="5063" spans="1:4" x14ac:dyDescent="0.2">
      <c r="A5063" s="5">
        <v>5002</v>
      </c>
      <c r="B5063" s="138">
        <f>'Revenues 9-14'!C7</f>
        <v>274655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3393273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46857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46857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55119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55119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6864</v>
      </c>
      <c r="D5095" s="2" t="str">
        <f t="shared" si="78"/>
        <v>Error?</v>
      </c>
    </row>
    <row r="5096" spans="1:4" x14ac:dyDescent="0.2">
      <c r="A5096" s="5">
        <v>5035</v>
      </c>
      <c r="B5096" s="138">
        <f>'Revenues 9-14'!C75</f>
        <v>6864</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44337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44337</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14528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43007</v>
      </c>
      <c r="D5119" s="2" t="str">
        <f t="shared" ref="D5119:D5182" si="79">IF(ISBLANK(B5119),"OK",IF(A5119-B5119=0,"OK","Error?"))</f>
        <v>Error?</v>
      </c>
    </row>
    <row r="5120" spans="1:4" x14ac:dyDescent="0.2">
      <c r="A5120" s="5">
        <v>5059</v>
      </c>
      <c r="B5120" s="138">
        <f>'Revenues 9-14'!C108</f>
        <v>57535</v>
      </c>
      <c r="C5120" s="2" t="s">
        <v>594</v>
      </c>
      <c r="D5120" s="2" t="str">
        <f t="shared" si="79"/>
        <v>Error?</v>
      </c>
    </row>
    <row r="5121" spans="1:4" x14ac:dyDescent="0.2">
      <c r="A5121" s="5">
        <v>5060</v>
      </c>
      <c r="B5121" s="138">
        <f>'Revenues 9-14'!C109</f>
        <v>3603985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2836875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2836875</v>
      </c>
      <c r="C5132" s="2" t="s">
        <v>594</v>
      </c>
      <c r="D5132" s="2" t="str">
        <f t="shared" si="79"/>
        <v>Error?</v>
      </c>
    </row>
    <row r="5133" spans="1:4" x14ac:dyDescent="0.2">
      <c r="A5133" s="5">
        <v>5072</v>
      </c>
      <c r="B5133" s="138">
        <f>'Revenues 9-14'!C124</f>
        <v>91832</v>
      </c>
      <c r="D5133" s="2" t="str">
        <f t="shared" si="79"/>
        <v>Error?</v>
      </c>
    </row>
    <row r="5134" spans="1:4" x14ac:dyDescent="0.2">
      <c r="A5134" s="5">
        <v>5073</v>
      </c>
      <c r="B5134" s="138">
        <f>'Revenues 9-14'!C125</f>
        <v>53820</v>
      </c>
      <c r="D5134" s="2" t="str">
        <f t="shared" si="79"/>
        <v>Error?</v>
      </c>
    </row>
    <row r="5135" spans="1:4" x14ac:dyDescent="0.2">
      <c r="A5135" s="5">
        <v>5074</v>
      </c>
      <c r="B5135" s="138">
        <f>'Revenues 9-14'!C126</f>
        <v>72800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218452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8303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8303</v>
      </c>
      <c r="C5165" s="2" t="s">
        <v>594</v>
      </c>
      <c r="D5165" s="2" t="str">
        <f t="shared" si="79"/>
        <v>Error?</v>
      </c>
    </row>
    <row r="5166" spans="1:4" x14ac:dyDescent="0.2">
      <c r="A5166" s="10">
        <v>5105</v>
      </c>
      <c r="D5166" s="2" t="str">
        <f t="shared" si="79"/>
        <v>OK</v>
      </c>
    </row>
    <row r="5167" spans="1:4" x14ac:dyDescent="0.2">
      <c r="A5167" s="5">
        <v>5106</v>
      </c>
      <c r="B5167" s="138">
        <f>'Revenues 9-14'!C145</f>
        <v>1344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160084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388183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3225058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15302</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15302</v>
      </c>
      <c r="C5246" s="2" t="s">
        <v>594</v>
      </c>
      <c r="D5246" s="2" t="str">
        <f t="shared" si="80"/>
        <v>Error?</v>
      </c>
    </row>
    <row r="5247" spans="1:4" x14ac:dyDescent="0.2">
      <c r="A5247" s="5">
        <v>5186</v>
      </c>
      <c r="B5247" s="138">
        <f>'Revenues 9-14'!C203</f>
        <v>208385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208385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5670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122320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127990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12109</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377006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377006</v>
      </c>
      <c r="C5326" s="2" t="s">
        <v>594</v>
      </c>
      <c r="D5326" s="2" t="str">
        <f t="shared" si="82"/>
        <v>Error?</v>
      </c>
    </row>
    <row r="5327" spans="1:4" x14ac:dyDescent="0.2">
      <c r="A5327" s="5">
        <v>5266</v>
      </c>
      <c r="B5327" s="138">
        <f>'Revenues 9-14'!C275</f>
        <v>7206049</v>
      </c>
      <c r="C5327" s="2" t="s">
        <v>594</v>
      </c>
      <c r="D5327" s="2" t="str">
        <f t="shared" si="82"/>
        <v>Error?</v>
      </c>
    </row>
    <row r="5328" spans="1:4" x14ac:dyDescent="0.2">
      <c r="A5328" s="5">
        <v>5267</v>
      </c>
      <c r="B5328" s="138">
        <f>'Revenues 9-14'!D5</f>
        <v>551820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551820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765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765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552585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552585</v>
      </c>
      <c r="C5508" s="2" t="s">
        <v>594</v>
      </c>
      <c r="D5508" s="2" t="str">
        <f t="shared" si="85"/>
        <v>Error?</v>
      </c>
    </row>
    <row r="5509" spans="1:4" x14ac:dyDescent="0.2">
      <c r="A5509" s="5">
        <v>5448</v>
      </c>
      <c r="B5509" s="138">
        <f>'Revenues 9-14'!E5</f>
        <v>749913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749913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57541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57541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807454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807454</v>
      </c>
      <c r="C5552" s="2" t="s">
        <v>594</v>
      </c>
      <c r="D5552" s="2" t="str">
        <f t="shared" si="85"/>
        <v>Error?</v>
      </c>
    </row>
    <row r="5553" spans="1:4" x14ac:dyDescent="0.2">
      <c r="A5553" s="5">
        <v>5492</v>
      </c>
      <c r="B5553" s="138">
        <f>'Revenues 9-14'!F5</f>
        <v>770641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770641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5419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5419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776060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234722</v>
      </c>
      <c r="D5615" s="2" t="str">
        <f t="shared" si="86"/>
        <v>Error?</v>
      </c>
    </row>
    <row r="5616" spans="1:4" x14ac:dyDescent="0.2">
      <c r="A5616" s="10">
        <v>5555</v>
      </c>
      <c r="D5616" s="2" t="str">
        <f t="shared" si="86"/>
        <v>OK</v>
      </c>
    </row>
    <row r="5617" spans="1:4" x14ac:dyDescent="0.2">
      <c r="A5617" s="5">
        <v>5556</v>
      </c>
      <c r="B5617" s="138">
        <f>'Revenues 9-14'!F152</f>
        <v>202416</v>
      </c>
      <c r="D5617" s="2" t="str">
        <f t="shared" si="86"/>
        <v>Error?</v>
      </c>
    </row>
    <row r="5618" spans="1:4" x14ac:dyDescent="0.2">
      <c r="A5618" s="5">
        <v>5557</v>
      </c>
      <c r="B5618" s="138">
        <f>'Revenues 9-14'!F154</f>
        <v>437138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437138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437138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1213198</v>
      </c>
      <c r="C5720" s="2" t="s">
        <v>594</v>
      </c>
      <c r="D5720" s="2" t="str">
        <f t="shared" si="88"/>
        <v>Error?</v>
      </c>
    </row>
    <row r="5721" spans="1:4" x14ac:dyDescent="0.2">
      <c r="A5721" s="5">
        <v>5660</v>
      </c>
      <c r="B5721" s="138">
        <f>'Revenues 9-14'!G5</f>
        <v>1124</v>
      </c>
      <c r="D5721" s="2" t="str">
        <f t="shared" si="88"/>
        <v>Error?</v>
      </c>
    </row>
    <row r="5722" spans="1:4" x14ac:dyDescent="0.2">
      <c r="A5722" s="5">
        <v>5661</v>
      </c>
      <c r="B5722" s="138">
        <f>'Revenues 9-14'!G7</f>
        <v>0</v>
      </c>
      <c r="D5722" s="2" t="str">
        <f t="shared" si="88"/>
        <v>Error?</v>
      </c>
    </row>
    <row r="5723" spans="1:4" x14ac:dyDescent="0.2">
      <c r="A5723" s="5">
        <v>5662</v>
      </c>
      <c r="B5723" s="138">
        <f>'Revenues 9-14'!G8</f>
        <v>49793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50917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1005</v>
      </c>
      <c r="C5730" s="2" t="s">
        <v>594</v>
      </c>
      <c r="D5730" s="2" t="str">
        <f t="shared" si="88"/>
        <v>Error?</v>
      </c>
    </row>
    <row r="5731" spans="1:4" x14ac:dyDescent="0.2">
      <c r="A5731" s="5">
        <v>5670</v>
      </c>
      <c r="B5731" s="138">
        <f>'Revenues 9-14'!G65</f>
        <v>3008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3008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54930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396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396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396</v>
      </c>
      <c r="C5915" s="2" t="s">
        <v>594</v>
      </c>
      <c r="D5915" s="2" t="str">
        <f t="shared" si="91"/>
        <v>Error?</v>
      </c>
    </row>
    <row r="5916" spans="1:4" x14ac:dyDescent="0.2">
      <c r="A5916" s="5">
        <v>5855</v>
      </c>
      <c r="B5916" s="138">
        <f>'Revenues 9-14'!I5</f>
        <v>50875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50875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38207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38207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89082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1124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1124</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4222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4222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5346</v>
      </c>
      <c r="C6023" s="2" t="s">
        <v>594</v>
      </c>
      <c r="D6023" s="2" t="str">
        <f t="shared" si="93"/>
        <v>Error?</v>
      </c>
    </row>
    <row r="6024" spans="1:5" x14ac:dyDescent="0.2">
      <c r="A6024" s="5">
        <v>5963</v>
      </c>
      <c r="B6024" s="138">
        <f>'Revenues 9-14'!G109</f>
        <v>54930</v>
      </c>
      <c r="C6024" s="2" t="s">
        <v>594</v>
      </c>
      <c r="D6024" s="2" t="str">
        <f t="shared" si="93"/>
        <v>Error?</v>
      </c>
    </row>
    <row r="6025" spans="1:5" x14ac:dyDescent="0.2">
      <c r="A6025" s="5">
        <v>5964</v>
      </c>
      <c r="B6025" s="138">
        <f>'Revenues 9-14'!H109</f>
        <v>396</v>
      </c>
      <c r="C6025" s="2" t="s">
        <v>594</v>
      </c>
      <c r="D6025" s="2" t="str">
        <f t="shared" si="93"/>
        <v>Error?</v>
      </c>
    </row>
    <row r="6026" spans="1:5" x14ac:dyDescent="0.2">
      <c r="A6026" s="5">
        <v>5965</v>
      </c>
      <c r="B6026" s="138">
        <f>'Revenues 9-14'!I109</f>
        <v>89082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5346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606.26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40813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40813</v>
      </c>
      <c r="D6215" s="2" t="str">
        <f t="shared" si="96"/>
        <v>Error?</v>
      </c>
      <c r="E6215" s="2" t="s">
        <v>199</v>
      </c>
    </row>
    <row r="6216" spans="1:5" x14ac:dyDescent="0.2">
      <c r="A6216">
        <v>6155</v>
      </c>
      <c r="B6216" s="138">
        <f>'Assets-Liab 5-6'!J41</f>
        <v>40813</v>
      </c>
      <c r="D6216" s="2" t="str">
        <f t="shared" si="96"/>
        <v>Error?</v>
      </c>
      <c r="E6216" s="2" t="s">
        <v>199</v>
      </c>
    </row>
    <row r="6217" spans="1:5" x14ac:dyDescent="0.2">
      <c r="A6217">
        <v>6156</v>
      </c>
      <c r="B6217" s="138">
        <f>'Assets-Liab 5-6'!J4</f>
        <v>40813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51632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51632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51632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60535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60535</v>
      </c>
      <c r="D6229" s="2" t="str">
        <f t="shared" si="96"/>
        <v>Error?</v>
      </c>
      <c r="E6229" s="2" t="s">
        <v>199</v>
      </c>
    </row>
    <row r="6230" spans="1:5" x14ac:dyDescent="0.2">
      <c r="A6230">
        <v>6169</v>
      </c>
      <c r="B6230" s="138">
        <f>'Acct Summary 7-8'!J20</f>
        <v>-8903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-8903</v>
      </c>
      <c r="D6263" s="2" t="str">
        <f t="shared" si="96"/>
        <v>Error?</v>
      </c>
      <c r="E6263" s="2" t="s">
        <v>199</v>
      </c>
    </row>
    <row r="6264" spans="1:5" x14ac:dyDescent="0.2">
      <c r="A6264">
        <v>6203</v>
      </c>
      <c r="B6264" s="138">
        <f>'Acct Summary 7-8'!J79</f>
        <v>49716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40813</v>
      </c>
      <c r="D6266" s="2" t="str">
        <f t="shared" si="96"/>
        <v>Error?</v>
      </c>
      <c r="E6266" s="2" t="s">
        <v>199</v>
      </c>
    </row>
    <row r="6267" spans="1:5" x14ac:dyDescent="0.2">
      <c r="A6267">
        <v>6206</v>
      </c>
      <c r="B6267" s="138">
        <f>'Acct Summary 7-8'!C82</f>
        <v>424035</v>
      </c>
      <c r="D6267" s="2" t="str">
        <f t="shared" si="96"/>
        <v>Error?</v>
      </c>
      <c r="E6267" s="2" t="s">
        <v>199</v>
      </c>
    </row>
    <row r="6268" spans="1:5" x14ac:dyDescent="0.2">
      <c r="A6268">
        <v>6207</v>
      </c>
      <c r="B6268" s="138">
        <f>'Acct Summary 7-8'!D82</f>
        <v>103973</v>
      </c>
      <c r="D6268" s="2" t="str">
        <f t="shared" si="96"/>
        <v>Error?</v>
      </c>
      <c r="E6268" s="2" t="s">
        <v>199</v>
      </c>
    </row>
    <row r="6269" spans="1:5" x14ac:dyDescent="0.2">
      <c r="A6269">
        <v>6208</v>
      </c>
      <c r="B6269" s="138">
        <f>'Acct Summary 7-8'!E82</f>
        <v>31078</v>
      </c>
      <c r="D6269" s="2" t="str">
        <f t="shared" si="96"/>
        <v>Error?</v>
      </c>
      <c r="E6269" s="2" t="s">
        <v>199</v>
      </c>
    </row>
    <row r="6270" spans="1:5" x14ac:dyDescent="0.2">
      <c r="A6270">
        <v>6209</v>
      </c>
      <c r="B6270" s="138">
        <f>'Acct Summary 7-8'!F82</f>
        <v>570913</v>
      </c>
      <c r="D6270" s="2" t="str">
        <f t="shared" si="96"/>
        <v>Error?</v>
      </c>
      <c r="E6270" s="2" t="s">
        <v>199</v>
      </c>
    </row>
    <row r="6271" spans="1:5" x14ac:dyDescent="0.2">
      <c r="A6271">
        <v>6210</v>
      </c>
      <c r="B6271" s="138">
        <f>'Acct Summary 7-8'!G82</f>
        <v>-129382</v>
      </c>
      <c r="D6271" s="2" t="str">
        <f t="shared" ref="D6271:D6334" si="97">IF(ISBLANK(B6271),"OK",IF(A6271-B6271=0,"OK","Error?"))</f>
        <v>Error?</v>
      </c>
      <c r="E6271" s="2" t="s">
        <v>199</v>
      </c>
    </row>
    <row r="6272" spans="1:5" x14ac:dyDescent="0.2">
      <c r="A6272">
        <v>6211</v>
      </c>
      <c r="B6272" s="138">
        <f>'Acct Summary 7-8'!H82</f>
        <v>396</v>
      </c>
      <c r="D6272" s="2" t="str">
        <f t="shared" si="97"/>
        <v>Error?</v>
      </c>
      <c r="E6272" s="2" t="s">
        <v>199</v>
      </c>
    </row>
    <row r="6273" spans="1:5" x14ac:dyDescent="0.2">
      <c r="A6273">
        <v>6212</v>
      </c>
      <c r="B6273" s="138">
        <f>'Acct Summary 7-8'!I82</f>
        <v>89082</v>
      </c>
      <c r="D6273" s="2" t="str">
        <f t="shared" si="97"/>
        <v>Error?</v>
      </c>
      <c r="E6273" s="2" t="s">
        <v>199</v>
      </c>
    </row>
    <row r="6274" spans="1:5" x14ac:dyDescent="0.2">
      <c r="A6274">
        <v>6213</v>
      </c>
      <c r="B6274" s="138">
        <f>'Acct Summary 7-8'!J82</f>
        <v>-8903</v>
      </c>
      <c r="D6274" s="2" t="str">
        <f t="shared" si="97"/>
        <v>Error?</v>
      </c>
      <c r="E6274" s="2" t="s">
        <v>199</v>
      </c>
    </row>
    <row r="6275" spans="1:5" x14ac:dyDescent="0.2">
      <c r="A6275">
        <v>6214</v>
      </c>
      <c r="B6275" s="138">
        <f>'Acct Summary 7-8'!K82</f>
        <v>-1904</v>
      </c>
      <c r="D6275" s="2" t="str">
        <f t="shared" si="97"/>
        <v>Error?</v>
      </c>
      <c r="E6275" s="2" t="s">
        <v>199</v>
      </c>
    </row>
    <row r="6276" spans="1:5" x14ac:dyDescent="0.2">
      <c r="A6276">
        <v>6215</v>
      </c>
      <c r="B6276" s="138">
        <f>'Acct Summary 7-8'!C83</f>
        <v>0.12751233444686919</v>
      </c>
      <c r="D6276" s="2" t="str">
        <f t="shared" si="97"/>
        <v>Error?</v>
      </c>
      <c r="E6276" s="2" t="s">
        <v>199</v>
      </c>
    </row>
    <row r="6277" spans="1:5" x14ac:dyDescent="0.2">
      <c r="A6277">
        <v>6216</v>
      </c>
      <c r="B6277" s="138">
        <f>'Acct Summary 7-8'!D83</f>
        <v>1.2971169080679168</v>
      </c>
      <c r="D6277" s="2" t="str">
        <f t="shared" si="97"/>
        <v>Error?</v>
      </c>
      <c r="E6277" s="2" t="s">
        <v>199</v>
      </c>
    </row>
    <row r="6278" spans="1:5" x14ac:dyDescent="0.2">
      <c r="A6278">
        <v>6217</v>
      </c>
      <c r="B6278" s="138">
        <f>'Acct Summary 7-8'!E83</f>
        <v>2.8503349450807465E-2</v>
      </c>
      <c r="D6278" s="2" t="str">
        <f t="shared" si="97"/>
        <v>Error?</v>
      </c>
      <c r="E6278" s="2" t="s">
        <v>199</v>
      </c>
    </row>
    <row r="6279" spans="1:5" x14ac:dyDescent="0.2">
      <c r="A6279">
        <v>6218</v>
      </c>
      <c r="B6279" s="138">
        <f>'Acct Summary 7-8'!F83</f>
        <v>0.83817646082946606</v>
      </c>
      <c r="D6279" s="2" t="str">
        <f t="shared" si="97"/>
        <v>Error?</v>
      </c>
      <c r="E6279" s="2" t="s">
        <v>199</v>
      </c>
    </row>
    <row r="6280" spans="1:5" x14ac:dyDescent="0.2">
      <c r="A6280">
        <v>6219</v>
      </c>
      <c r="B6280" s="138">
        <f>'Acct Summary 7-8'!G83</f>
        <v>-1.4517566005767439</v>
      </c>
      <c r="D6280" s="2" t="str">
        <f t="shared" si="97"/>
        <v>Error?</v>
      </c>
      <c r="E6280" s="2" t="s">
        <v>199</v>
      </c>
    </row>
    <row r="6281" spans="1:5" x14ac:dyDescent="0.2">
      <c r="A6281">
        <v>6220</v>
      </c>
      <c r="B6281" s="138">
        <f>'Acct Summary 7-8'!H83</f>
        <v>1.5333384960892125E-2</v>
      </c>
      <c r="D6281" s="2" t="str">
        <f t="shared" si="97"/>
        <v>Error?</v>
      </c>
      <c r="E6281" s="2" t="s">
        <v>199</v>
      </c>
    </row>
    <row r="6282" spans="1:5" x14ac:dyDescent="0.2">
      <c r="A6282">
        <v>6221</v>
      </c>
      <c r="B6282" s="138">
        <f>'Acct Summary 7-8'!I83</f>
        <v>3.5314587316607512E-2</v>
      </c>
      <c r="D6282" s="2" t="str">
        <f t="shared" si="97"/>
        <v>Error?</v>
      </c>
      <c r="E6282" s="2" t="s">
        <v>199</v>
      </c>
    </row>
    <row r="6283" spans="1:5" x14ac:dyDescent="0.2">
      <c r="A6283">
        <v>6222</v>
      </c>
      <c r="B6283" s="138">
        <f>'Acct Summary 7-8'!J83</f>
        <v>-0.2181412785141989</v>
      </c>
      <c r="D6283" s="2" t="str">
        <f t="shared" si="97"/>
        <v>Error?</v>
      </c>
      <c r="E6283" s="2" t="s">
        <v>199</v>
      </c>
    </row>
    <row r="6284" spans="1:5" x14ac:dyDescent="0.2">
      <c r="A6284">
        <v>6223</v>
      </c>
      <c r="B6284" s="138">
        <f>'Acct Summary 7-8'!K83</f>
        <v>-6.967697549229491E-3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50828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50828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804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804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51632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81269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200865</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925985</v>
      </c>
      <c r="D6983" s="2" t="str">
        <f t="shared" si="108"/>
        <v>Error?</v>
      </c>
    </row>
    <row r="6984" spans="1:4" x14ac:dyDescent="0.2">
      <c r="A6984">
        <v>6923</v>
      </c>
      <c r="B6984" s="138">
        <f>'Expenditures 15-22'!K86</f>
        <v>925985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925985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60535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51632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1875</v>
      </c>
      <c r="D7075" s="2" t="str">
        <f t="shared" si="109"/>
        <v>Error?</v>
      </c>
    </row>
    <row r="7076" spans="1:4" x14ac:dyDescent="0.2">
      <c r="A7076">
        <v>7015</v>
      </c>
      <c r="B7076" s="138">
        <f>'Expenditures 15-22'!K218</f>
        <v>1875</v>
      </c>
      <c r="D7076" s="2" t="str">
        <f t="shared" si="109"/>
        <v>Error?</v>
      </c>
    </row>
    <row r="7077" spans="1:4" x14ac:dyDescent="0.2">
      <c r="A7077">
        <v>7016</v>
      </c>
      <c r="B7077" s="138">
        <f>'Expenditures 15-22'!D220</f>
        <v>1581</v>
      </c>
      <c r="D7077" s="2" t="str">
        <f t="shared" si="109"/>
        <v>Error?</v>
      </c>
    </row>
    <row r="7078" spans="1:4" x14ac:dyDescent="0.2">
      <c r="A7078">
        <v>7017</v>
      </c>
      <c r="B7078" s="138">
        <f>'Expenditures 15-22'!K220</f>
        <v>1581</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19144</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19144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26382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26382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15009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15009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19144</v>
      </c>
      <c r="D7200" s="2" t="str">
        <f t="shared" si="111"/>
        <v>Error?</v>
      </c>
    </row>
    <row r="7201" spans="1:4" x14ac:dyDescent="0.2">
      <c r="A7201">
        <v>7140</v>
      </c>
      <c r="B7201" s="138">
        <f>'Expenditures 15-22'!E330</f>
        <v>41391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60535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19144</v>
      </c>
      <c r="D7217" s="2" t="str">
        <f t="shared" si="111"/>
        <v>Error?</v>
      </c>
    </row>
    <row r="7218" spans="1:4" x14ac:dyDescent="0.2">
      <c r="A7218">
        <v>7157</v>
      </c>
      <c r="B7218" s="138">
        <f>'Expenditures 15-22'!E342</f>
        <v>41391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60535</v>
      </c>
      <c r="D7224" s="2" t="str">
        <f t="shared" si="111"/>
        <v>Error?</v>
      </c>
    </row>
    <row r="7225" spans="1:4" x14ac:dyDescent="0.2">
      <c r="A7225">
        <v>7164</v>
      </c>
      <c r="B7225" s="138">
        <f>'Expenditures 15-22'!K343</f>
        <v>-8903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60423</v>
      </c>
      <c r="D7251" s="2" t="str">
        <f t="shared" si="112"/>
        <v>Error?</v>
      </c>
    </row>
    <row r="7252" spans="1:4" x14ac:dyDescent="0.2">
      <c r="A7252">
        <f t="shared" si="113"/>
        <v>7191</v>
      </c>
      <c r="B7252" s="138">
        <f>'Expenditures 15-22'!D9</f>
        <v>20846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47340</v>
      </c>
      <c r="D7257" s="2" t="str">
        <f t="shared" si="112"/>
        <v>Error?</v>
      </c>
    </row>
    <row r="7258" spans="1:4" x14ac:dyDescent="0.2">
      <c r="A7258">
        <f t="shared" si="113"/>
        <v>7197</v>
      </c>
      <c r="B7258" s="138">
        <f>'Expenditures 15-22'!D11</f>
        <v>12021</v>
      </c>
      <c r="D7258" s="2" t="str">
        <f t="shared" si="112"/>
        <v>Error?</v>
      </c>
    </row>
    <row r="7259" spans="1:4" x14ac:dyDescent="0.2">
      <c r="A7259">
        <f t="shared" si="113"/>
        <v>7198</v>
      </c>
      <c r="B7259" s="138">
        <f>'Expenditures 15-22'!E11</f>
        <v>2791</v>
      </c>
      <c r="D7259" s="2" t="str">
        <f t="shared" si="112"/>
        <v>Error?</v>
      </c>
    </row>
    <row r="7260" spans="1:4" x14ac:dyDescent="0.2">
      <c r="A7260">
        <f t="shared" si="113"/>
        <v>7199</v>
      </c>
      <c r="B7260" s="138">
        <f>'Expenditures 15-22'!F11</f>
        <v>138713</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135728</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135728</v>
      </c>
      <c r="D7600" s="2" t="str">
        <f t="shared" si="122"/>
        <v>Error?</v>
      </c>
      <c r="E7600" s="2" t="s">
        <v>19</v>
      </c>
    </row>
    <row r="7601" spans="1:5" x14ac:dyDescent="0.2">
      <c r="A7601">
        <f t="shared" si="123"/>
        <v>7540</v>
      </c>
      <c r="B7601" s="138">
        <f>'Cap Outlay Deprec 26'!H6</f>
        <v>135728</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135728</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141791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1</v>
      </c>
      <c r="D7797" s="2" t="str">
        <f t="shared" si="127"/>
        <v>Error?</v>
      </c>
      <c r="E7797" s="4" t="s">
        <v>2018</v>
      </c>
    </row>
    <row r="7798" spans="1:5" x14ac:dyDescent="0.2">
      <c r="A7798">
        <v>7737</v>
      </c>
      <c r="B7798" s="138">
        <f>'Contracts Paid in CY 29'!F141</f>
        <v>0</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E20" sqref="E20"/>
    </sheetView>
  </sheetViews>
  <sheetFormatPr defaultColWidth="9.140625" defaultRowHeight="12.75" x14ac:dyDescent="0.2"/>
  <cols>
    <col min="1" max="1" width="7.85546875" style="1181" customWidth="1"/>
    <col min="2" max="2" width="2.42578125" style="1177" customWidth="1"/>
    <col min="3" max="3" width="9.140625" style="1181"/>
    <col min="4" max="4" width="13" style="1181" customWidth="1"/>
    <col min="5" max="5" width="16" style="1181" customWidth="1"/>
    <col min="6" max="6" width="4.140625" style="1181" customWidth="1"/>
    <col min="7" max="7" width="3.5703125" style="1181" customWidth="1"/>
    <col min="8" max="8" width="9.5703125" style="1181" customWidth="1"/>
    <col min="9" max="9" width="10.5703125" style="1181" customWidth="1"/>
    <col min="10" max="10" width="5" style="1181" customWidth="1"/>
    <col min="11" max="11" width="6.5703125" style="1181" customWidth="1"/>
    <col min="12" max="12" width="12.85546875" style="1181" customWidth="1"/>
    <col min="13" max="13" width="2.5703125" style="1181" customWidth="1"/>
    <col min="14" max="14" width="13.140625" style="1181" customWidth="1"/>
    <col min="15" max="15" width="7.140625" style="1181" customWidth="1"/>
    <col min="16" max="16" width="7" style="1181" customWidth="1"/>
    <col min="17" max="17" width="9.570312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1798</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Atwood Heights SD 125</v>
      </c>
      <c r="B7" s="2420"/>
      <c r="C7" s="2420"/>
      <c r="D7" s="2421"/>
      <c r="E7" s="2422" t="str">
        <f>COVER!A13</f>
        <v>07-016-1250-02</v>
      </c>
      <c r="F7" s="2423"/>
      <c r="G7" s="2429" t="str">
        <f>COVER!T23</f>
        <v>06-5035081</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RSM US LLP</v>
      </c>
      <c r="H9" s="2435"/>
      <c r="I9" s="2435"/>
      <c r="J9" s="2435"/>
      <c r="K9" s="2435"/>
      <c r="L9" s="2436"/>
    </row>
    <row r="10" spans="1:29" ht="13.5" customHeight="1" x14ac:dyDescent="0.2">
      <c r="A10" s="2409" t="str">
        <f>COVER!A38</f>
        <v>Thomas Livingston</v>
      </c>
      <c r="B10" s="2410"/>
      <c r="C10" s="2410"/>
      <c r="D10" s="2410"/>
      <c r="E10" s="2410"/>
      <c r="F10" s="2411"/>
      <c r="G10" s="2403" t="str">
        <f>COVER!T17</f>
        <v>One South Wacker Drive, Suite 800</v>
      </c>
      <c r="H10" s="2404"/>
      <c r="I10" s="2404"/>
      <c r="J10" s="2404"/>
      <c r="K10" s="2404"/>
      <c r="L10" s="2405"/>
    </row>
    <row r="11" spans="1:29" ht="13.5" customHeight="1" x14ac:dyDescent="0.2">
      <c r="A11" s="1185" t="s">
        <v>1599</v>
      </c>
      <c r="B11" s="1186"/>
      <c r="C11" s="1187"/>
      <c r="D11" s="1192"/>
      <c r="E11" s="1187"/>
      <c r="F11" s="1191"/>
      <c r="G11" s="2403" t="str">
        <f>COVER!T19</f>
        <v>Chicago</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mandy.pittman@rsmus.com</v>
      </c>
      <c r="J13" s="2416"/>
      <c r="K13" s="2416"/>
      <c r="L13" s="2417"/>
    </row>
    <row r="14" spans="1:29" ht="13.5" customHeight="1" x14ac:dyDescent="0.2">
      <c r="A14" s="2403" t="str">
        <f>COVER!A19</f>
        <v>12150 Hamlin Avenue</v>
      </c>
      <c r="B14" s="2404"/>
      <c r="C14" s="2404"/>
      <c r="D14" s="2404"/>
      <c r="E14" s="2404"/>
      <c r="F14" s="2405"/>
      <c r="G14" s="1196" t="s">
        <v>1247</v>
      </c>
      <c r="H14" s="1194"/>
      <c r="I14" s="1194"/>
      <c r="J14" s="1194"/>
      <c r="K14" s="1194"/>
      <c r="L14" s="1195"/>
    </row>
    <row r="15" spans="1:29" ht="13.5" customHeight="1" x14ac:dyDescent="0.2">
      <c r="A15" s="2403" t="str">
        <f>COVER!A21</f>
        <v>Alsip</v>
      </c>
      <c r="B15" s="2404"/>
      <c r="C15" s="2404"/>
      <c r="D15" s="2404"/>
      <c r="E15" s="2404"/>
      <c r="F15" s="2405"/>
      <c r="G15" s="2400" t="str">
        <f>COVER!T15</f>
        <v>Mandy Pittman</v>
      </c>
      <c r="H15" s="2401"/>
      <c r="I15" s="2401"/>
      <c r="J15" s="2401"/>
      <c r="K15" s="2401"/>
      <c r="L15" s="2402"/>
    </row>
    <row r="16" spans="1:29" ht="12.2" customHeight="1" x14ac:dyDescent="0.2">
      <c r="A16" s="2425">
        <f>COVER!A25</f>
        <v>60803</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312-634-4414</v>
      </c>
      <c r="H18" s="2420"/>
      <c r="I18" s="2420"/>
      <c r="J18" s="2420"/>
      <c r="K18" s="2419" t="str">
        <f>COVER!X21</f>
        <v>312-634-5523</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1799</v>
      </c>
    </row>
    <row r="22" spans="1:13" ht="12.2" customHeight="1" x14ac:dyDescent="0.2">
      <c r="A22" s="1201"/>
    </row>
    <row r="23" spans="1:13" ht="12.2" customHeight="1" x14ac:dyDescent="0.2">
      <c r="A23" s="1201"/>
      <c r="B23" s="1202"/>
      <c r="C23" s="1203" t="s">
        <v>1244</v>
      </c>
    </row>
    <row r="24" spans="1:13" ht="10.35" customHeight="1" x14ac:dyDescent="0.2">
      <c r="A24" s="1201"/>
      <c r="C24" s="1203" t="s">
        <v>1243</v>
      </c>
    </row>
    <row r="25" spans="1:13" ht="9" customHeight="1" x14ac:dyDescent="0.2">
      <c r="B25" s="1204" t="s">
        <v>1231</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1.1"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1645</v>
      </c>
    </row>
    <row r="36" spans="1:8" s="1199" customFormat="1" ht="11.1"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5703125" defaultRowHeight="11.25" x14ac:dyDescent="0.2"/>
  <cols>
    <col min="1" max="1" width="1.5703125" style="1218" customWidth="1"/>
    <col min="2" max="2" width="2.5703125" style="1222" customWidth="1"/>
    <col min="3" max="3" width="3.42578125" style="1232" customWidth="1"/>
    <col min="4" max="4" width="97.5703125" style="1222" customWidth="1"/>
    <col min="5" max="5" width="4.140625" style="1222" customWidth="1"/>
    <col min="6" max="16384" width="10.5703125" style="1222"/>
  </cols>
  <sheetData>
    <row r="1" spans="1:11" s="1215" customFormat="1" ht="12.75" x14ac:dyDescent="0.2">
      <c r="A1" s="2441" t="str">
        <f>'Single Audit Cover'!A7</f>
        <v>Atwood Heights SD 125</v>
      </c>
      <c r="B1" s="2418"/>
      <c r="C1" s="2418"/>
      <c r="D1" s="2418"/>
    </row>
    <row r="2" spans="1:11" s="1215" customFormat="1" ht="12.75" x14ac:dyDescent="0.2">
      <c r="A2" s="2442" t="str">
        <f>'Single Audit Cover'!E7</f>
        <v>07-016-1250-02</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1813</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1814</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1815</v>
      </c>
    </row>
    <row r="70" spans="1:4" x14ac:dyDescent="0.2">
      <c r="A70" s="1222"/>
      <c r="D70" s="1246" t="s">
        <v>1268</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5703125" defaultRowHeight="12.75" x14ac:dyDescent="0.2"/>
  <cols>
    <col min="1" max="1" width="31.85546875" style="317" customWidth="1"/>
    <col min="2" max="2" width="29.5703125" style="1258" customWidth="1"/>
    <col min="3" max="3" width="1.42578125" style="1258" customWidth="1"/>
    <col min="4" max="4" width="24.42578125" style="1259" customWidth="1"/>
    <col min="5" max="5" width="5" style="317" customWidth="1"/>
    <col min="6" max="16384" width="15.5703125" style="317"/>
  </cols>
  <sheetData>
    <row r="1" spans="1:5" x14ac:dyDescent="0.2">
      <c r="A1" s="2445" t="str">
        <f>'Single Audit Cover'!A7</f>
        <v>Atwood Heights SD 125</v>
      </c>
      <c r="B1" s="2445"/>
      <c r="C1" s="2445"/>
      <c r="D1" s="2445"/>
      <c r="E1" s="2445"/>
    </row>
    <row r="2" spans="1:5" x14ac:dyDescent="0.2">
      <c r="A2" s="2446" t="str">
        <f>'Single Audit Cover'!E7</f>
        <v>07-016-1250-02</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377006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1829</v>
      </c>
      <c r="B14" s="1262"/>
      <c r="C14" s="1262"/>
      <c r="D14" s="1264">
        <f>'ICR Computation 30'!E11</f>
        <v>0</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377006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377006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377006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18" sqref="B18"/>
    </sheetView>
  </sheetViews>
  <sheetFormatPr defaultColWidth="8" defaultRowHeight="12.75" x14ac:dyDescent="0.2"/>
  <cols>
    <col min="1" max="1" width="1.42578125" style="317" customWidth="1"/>
    <col min="2" max="2" width="53.42578125" style="317" customWidth="1"/>
    <col min="3" max="3" width="14" style="1258" customWidth="1"/>
    <col min="4" max="4" width="16.5703125" style="1258" customWidth="1"/>
    <col min="5" max="5" width="7.5703125" style="317" customWidth="1"/>
    <col min="6" max="6" width="2.5703125" style="317" customWidth="1"/>
    <col min="7" max="7" width="3.42578125" style="317" customWidth="1"/>
    <col min="8" max="16384" width="8" style="317"/>
  </cols>
  <sheetData>
    <row r="1" spans="1:7" ht="13.5" customHeight="1" x14ac:dyDescent="0.2">
      <c r="A1" s="2458" t="str">
        <f>'Single Audit Cover'!A7</f>
        <v>Atwood Heights SD 125</v>
      </c>
      <c r="B1" s="2458"/>
      <c r="C1" s="2458"/>
      <c r="D1" s="2458"/>
      <c r="E1" s="2458"/>
      <c r="F1" s="2458"/>
    </row>
    <row r="2" spans="1:7" ht="13.5" customHeight="1" x14ac:dyDescent="0.2">
      <c r="A2" s="2459" t="str">
        <f>'Single Audit Cover'!E7</f>
        <v>07-016-1250-02</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1830</v>
      </c>
      <c r="C6" s="317"/>
      <c r="D6" s="317"/>
    </row>
    <row r="7" spans="1:7" ht="60.95" customHeight="1" x14ac:dyDescent="0.2">
      <c r="A7" s="2457" t="s">
        <v>1831</v>
      </c>
      <c r="B7" s="2457"/>
      <c r="C7" s="2457"/>
      <c r="D7" s="2457"/>
      <c r="E7" s="2457"/>
      <c r="F7" s="2457"/>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7" t="s">
        <v>1833</v>
      </c>
      <c r="B13" s="2457"/>
      <c r="C13" s="2457"/>
      <c r="D13" s="2457"/>
      <c r="E13" s="2457"/>
      <c r="F13" s="2457"/>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t="s">
        <v>2105</v>
      </c>
      <c r="C17" s="1285"/>
      <c r="D17" s="2450"/>
      <c r="E17" s="2450"/>
      <c r="F17" s="2450"/>
    </row>
    <row r="18" spans="1:6" ht="20.85" customHeight="1" x14ac:dyDescent="0.2">
      <c r="A18" s="1283"/>
      <c r="B18" s="1284"/>
      <c r="C18" s="1285"/>
      <c r="D18" s="2450"/>
      <c r="E18" s="2450"/>
      <c r="F18" s="2450"/>
    </row>
    <row r="19" spans="1:6" ht="20.85" customHeight="1" x14ac:dyDescent="0.2">
      <c r="A19" s="1283"/>
      <c r="B19" s="1284"/>
      <c r="C19" s="1285"/>
      <c r="D19" s="2450"/>
      <c r="E19" s="2450"/>
      <c r="F19" s="2450"/>
    </row>
    <row r="20" spans="1:6" ht="20.85" customHeight="1" x14ac:dyDescent="0.2">
      <c r="A20" s="1283"/>
      <c r="B20" s="1284"/>
      <c r="C20" s="1285"/>
      <c r="D20" s="2450"/>
      <c r="E20" s="2450"/>
      <c r="F20" s="2450"/>
    </row>
    <row r="21" spans="1:6" ht="20.85" customHeight="1" x14ac:dyDescent="0.2">
      <c r="A21" s="1283"/>
      <c r="B21" s="1284"/>
      <c r="C21" s="1285"/>
      <c r="D21" s="2450"/>
      <c r="E21" s="2450"/>
      <c r="F21" s="2450"/>
    </row>
    <row r="22" spans="1:6" ht="20.85" customHeight="1" x14ac:dyDescent="0.2">
      <c r="A22" s="1283"/>
      <c r="B22" s="1284"/>
      <c r="C22" s="1285"/>
      <c r="D22" s="2450"/>
      <c r="E22" s="2450"/>
      <c r="F22" s="2450"/>
    </row>
    <row r="23" spans="1:6" ht="20.85" customHeight="1" x14ac:dyDescent="0.2">
      <c r="A23" s="1283"/>
      <c r="B23" s="1284"/>
      <c r="C23" s="1285"/>
      <c r="D23" s="2450"/>
      <c r="E23" s="2450"/>
      <c r="F23" s="2450"/>
    </row>
    <row r="24" spans="1:6" ht="20.85" customHeight="1" x14ac:dyDescent="0.2">
      <c r="A24" s="1283"/>
      <c r="B24" s="1284"/>
      <c r="C24" s="1285"/>
      <c r="D24" s="2450"/>
      <c r="E24" s="2450"/>
      <c r="F24" s="2450"/>
    </row>
    <row r="25" spans="1:6" ht="20.85" customHeight="1" x14ac:dyDescent="0.2">
      <c r="A25" s="1283"/>
      <c r="B25" s="1284"/>
      <c r="C25" s="1285"/>
      <c r="D25" s="2450"/>
      <c r="E25" s="2450"/>
      <c r="F25" s="2450"/>
    </row>
    <row r="26" spans="1:6" ht="20.85" customHeight="1" x14ac:dyDescent="0.2">
      <c r="A26" s="1283"/>
      <c r="B26" s="1284"/>
      <c r="C26" s="1285"/>
      <c r="D26" s="2450"/>
      <c r="E26" s="2450"/>
      <c r="F26" s="2450"/>
    </row>
    <row r="27" spans="1:6" ht="20.85" customHeight="1" x14ac:dyDescent="0.2">
      <c r="A27" s="1283"/>
      <c r="B27" s="1284"/>
      <c r="C27" s="1285"/>
      <c r="D27" s="2450"/>
      <c r="E27" s="2450"/>
      <c r="F27" s="2450"/>
    </row>
    <row r="28" spans="1:6" ht="20.85" customHeight="1" x14ac:dyDescent="0.2">
      <c r="A28" s="1283"/>
      <c r="B28" s="1284"/>
      <c r="C28" s="1285"/>
      <c r="D28" s="2450"/>
      <c r="E28" s="2450"/>
      <c r="F28" s="2450"/>
    </row>
    <row r="29" spans="1:6" ht="20.85" customHeight="1" x14ac:dyDescent="0.2">
      <c r="A29" s="1283"/>
      <c r="B29" s="1284"/>
      <c r="C29" s="1285"/>
      <c r="D29" s="2450"/>
      <c r="E29" s="2450"/>
      <c r="F29" s="245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1" t="s">
        <v>1834</v>
      </c>
      <c r="B32" s="2451"/>
      <c r="C32" s="2451"/>
      <c r="D32" s="2451"/>
      <c r="E32" s="2451"/>
      <c r="F32" s="2451"/>
    </row>
    <row r="33" spans="1:6" ht="13.5" customHeight="1" x14ac:dyDescent="0.2">
      <c r="A33" s="328" t="s">
        <v>1509</v>
      </c>
      <c r="B33" s="328"/>
      <c r="C33" s="1288">
        <v>0</v>
      </c>
      <c r="D33" s="1928"/>
      <c r="E33" s="1286"/>
    </row>
    <row r="34" spans="1:6" ht="13.5" customHeight="1" x14ac:dyDescent="0.2">
      <c r="A34" s="328" t="s">
        <v>1947</v>
      </c>
      <c r="B34" s="328"/>
      <c r="C34" s="1289">
        <v>0</v>
      </c>
      <c r="D34" s="1928" t="s">
        <v>1671</v>
      </c>
      <c r="E34" s="2452">
        <f>+C33+C34</f>
        <v>0</v>
      </c>
      <c r="F34" s="245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5703125" style="1357" customWidth="1"/>
    <col min="4" max="4" width="12.5703125" style="1358" customWidth="1"/>
    <col min="5" max="6" width="11.5703125" style="317" customWidth="1"/>
    <col min="7" max="7" width="11.5703125" style="1258" customWidth="1"/>
    <col min="8" max="8" width="13.5703125" style="1258" bestFit="1" customWidth="1"/>
    <col min="9" max="9" width="11.5703125" style="1258" customWidth="1"/>
    <col min="10" max="10" width="13.5703125" style="1258" customWidth="1"/>
    <col min="11" max="12" width="11.5703125" style="1258" customWidth="1"/>
    <col min="13" max="13" width="11.5703125" style="317" customWidth="1"/>
    <col min="14" max="14" width="2.5703125" style="317" customWidth="1"/>
    <col min="15" max="16384" width="33.5703125" style="317"/>
  </cols>
  <sheetData>
    <row r="1" spans="2:14" ht="11.85" customHeight="1" x14ac:dyDescent="0.2">
      <c r="B1" s="2428" t="str">
        <f>'Single Audit Cover'!A7</f>
        <v>Atwood Heights SD 125</v>
      </c>
      <c r="C1" s="2462"/>
      <c r="D1" s="2462"/>
      <c r="E1" s="2462"/>
      <c r="F1" s="2462"/>
      <c r="G1" s="2462"/>
      <c r="H1" s="2462"/>
      <c r="I1" s="2462"/>
      <c r="J1" s="2462"/>
      <c r="K1" s="2462"/>
      <c r="L1" s="2462"/>
      <c r="M1" s="2462"/>
    </row>
    <row r="2" spans="2:14" ht="15" x14ac:dyDescent="0.2">
      <c r="B2" s="2459" t="str">
        <f>'Single Audit Cover'!E7</f>
        <v>07-016-1250-02</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1837</v>
      </c>
      <c r="D9" s="1314" t="s">
        <v>1838</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2105</v>
      </c>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2" sqref="C12"/>
    </sheetView>
  </sheetViews>
  <sheetFormatPr defaultColWidth="9.140625" defaultRowHeight="12.75" x14ac:dyDescent="0.2"/>
  <cols>
    <col min="1" max="1" width="1.42578125" style="1300" customWidth="1"/>
    <col min="2" max="2" width="24.42578125" style="1357" customWidth="1"/>
    <col min="3" max="3" width="29.5703125" style="317" customWidth="1"/>
    <col min="4" max="4" width="9.42578125" style="317" customWidth="1"/>
    <col min="5" max="5" width="5.42578125" style="1258" customWidth="1"/>
    <col min="6" max="8" width="5.425781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Atwood Heights SD 125</v>
      </c>
      <c r="C1" s="2477"/>
      <c r="D1" s="2477"/>
      <c r="E1" s="2477"/>
      <c r="F1" s="2477"/>
      <c r="G1" s="2477"/>
      <c r="H1" s="2477"/>
      <c r="I1" s="2477"/>
      <c r="J1" s="1422"/>
    </row>
    <row r="2" spans="2:10" s="317" customFormat="1" ht="12.75" customHeight="1" x14ac:dyDescent="0.2">
      <c r="B2" s="2478" t="str">
        <f>'Single Audit Cover'!E7</f>
        <v>07-016-1250-02</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t="s">
        <v>2105</v>
      </c>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c r="E29" s="2483"/>
      <c r="F29" s="2483"/>
      <c r="G29" s="2483"/>
      <c r="H29" s="2483"/>
      <c r="I29" s="2483"/>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4" t="s">
        <v>1853</v>
      </c>
      <c r="D37" s="2485"/>
      <c r="E37" s="2485"/>
      <c r="F37" s="2486"/>
      <c r="G37" s="2484" t="s">
        <v>1674</v>
      </c>
      <c r="H37" s="2485"/>
      <c r="I37" s="2486"/>
    </row>
    <row r="38" spans="2:9" ht="16.5" customHeight="1" x14ac:dyDescent="0.2">
      <c r="B38" s="1444"/>
      <c r="C38" s="2472"/>
      <c r="D38" s="2473"/>
      <c r="E38" s="2473"/>
      <c r="F38" s="2474"/>
      <c r="G38" s="2487"/>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1950</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1"/>
      <c r="F49" s="2471"/>
      <c r="G49" s="247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Atwood Heights SD 125</v>
      </c>
      <c r="C1" s="2476"/>
      <c r="D1" s="2476"/>
      <c r="E1" s="2476"/>
      <c r="F1" s="2476"/>
      <c r="G1" s="2476"/>
      <c r="H1" s="2476"/>
      <c r="I1" s="2476"/>
      <c r="J1" s="2476"/>
      <c r="K1" s="2476"/>
      <c r="L1" s="1374"/>
      <c r="M1" s="1374"/>
    </row>
    <row r="2" spans="1:13" ht="12" customHeight="1" x14ac:dyDescent="0.2">
      <c r="B2" s="2478" t="str">
        <f>'Single Audit Cover'!E7</f>
        <v>07-016-1250-02</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1951</v>
      </c>
      <c r="D10" s="1386" t="s">
        <v>2105</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5703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Atwood Heights SD 125</v>
      </c>
      <c r="C1" s="2499"/>
      <c r="D1" s="2499"/>
      <c r="E1" s="2499"/>
      <c r="F1" s="2499"/>
      <c r="G1" s="2499"/>
      <c r="H1" s="2499"/>
      <c r="I1" s="2499"/>
      <c r="J1" s="2499"/>
      <c r="K1" s="2499"/>
      <c r="L1" s="1465"/>
    </row>
    <row r="2" spans="1:12" ht="12.75" customHeight="1" x14ac:dyDescent="0.2">
      <c r="B2" s="2500" t="str">
        <f>'Single Audit Cover'!E7</f>
        <v>07-016-1250-02</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1951</v>
      </c>
      <c r="D8" s="1468" t="s">
        <v>2105</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6"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6"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5703125" style="317" customWidth="1"/>
    <col min="3" max="3" width="40.5703125" style="317" customWidth="1"/>
    <col min="4" max="4" width="42.42578125" style="317" customWidth="1"/>
    <col min="5" max="5" width="8.140625" style="317" customWidth="1"/>
    <col min="6" max="9" width="9.140625" style="317"/>
    <col min="10" max="10" width="6.5703125" style="317" customWidth="1"/>
    <col min="11" max="16384" width="9.140625" style="317"/>
  </cols>
  <sheetData>
    <row r="1" spans="2:5" s="1282" customFormat="1" ht="12.75" customHeight="1" x14ac:dyDescent="0.2">
      <c r="B1" s="2476" t="str">
        <f>'Single Audit Cover'!A7</f>
        <v>Atwood Heights SD 125</v>
      </c>
      <c r="C1" s="2476"/>
      <c r="D1" s="2476"/>
      <c r="E1" s="1491"/>
    </row>
    <row r="2" spans="2:5" s="1282" customFormat="1" ht="12.75" customHeight="1" x14ac:dyDescent="0.2">
      <c r="B2" s="2478" t="str">
        <f>'Single Audit Cover'!E7</f>
        <v>07-016-1250-02</v>
      </c>
      <c r="C2" s="2478"/>
      <c r="D2" s="2478"/>
      <c r="E2" s="1492"/>
    </row>
    <row r="3" spans="2:5" ht="12.75" customHeight="1" x14ac:dyDescent="0.2">
      <c r="B3" s="2492" t="s">
        <v>1868</v>
      </c>
      <c r="C3" s="2492"/>
      <c r="D3" s="2492"/>
      <c r="E3" s="1274"/>
    </row>
    <row r="4" spans="2:5" s="1282" customFormat="1" ht="12.75" customHeight="1" x14ac:dyDescent="0.2">
      <c r="B4" s="2502" t="str">
        <f>'Single Audit Cover'!A4</f>
        <v>Year Ending June 30, 2018</v>
      </c>
      <c r="C4" s="2502"/>
      <c r="D4" s="2502"/>
      <c r="E4" s="1493"/>
    </row>
    <row r="5" spans="2:5" s="1282" customFormat="1" ht="40.3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t="s">
        <v>2104</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d21dc803-237d-4c68-8692-8d731fd29118"/>
    <ds:schemaRef ds:uri="http://www.w3.org/XML/1998/namespace"/>
    <ds:schemaRef ds:uri="http://purl.org/dc/terms/"/>
    <ds:schemaRef ds:uri="http://purl.org/dc/elements/1.1/"/>
    <ds:schemaRef ds:uri="4d435f69-8686-490b-bd6d-b153bf22ab50"/>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2018-12-14T19:23:58Z</cp:lastPrinted>
  <dcterms:created xsi:type="dcterms:W3CDTF">2003-10-29T19:06:34Z</dcterms:created>
  <dcterms:modified xsi:type="dcterms:W3CDTF">2019-02-01T16:10:18Z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