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Single Audit Cover" sheetId="169" r:id="rId23"/>
    <sheet name="AUDITCHECK" sheetId="36" r:id="rId24"/>
    <sheet name="AFR18" sheetId="106" state="hidden" r:id="rId25"/>
    <sheet name="Single Audit Checklist" sheetId="170" r:id="rId26"/>
    <sheet name="SEFA Reconcile" sheetId="171" r:id="rId27"/>
    <sheet name="SEFA NOTES" sheetId="173" r:id="rId28"/>
    <sheet name="SEFA 2018" sheetId="183" r:id="rId29"/>
    <sheet name=" SEFA" sheetId="179" r:id="rId30"/>
    <sheet name="SF&amp;QC Sec-1" sheetId="174" r:id="rId31"/>
    <sheet name="SF&amp;QC Sec-2" sheetId="175" r:id="rId32"/>
    <sheet name="SF&amp;QC Sec-3" sheetId="176" r:id="rId33"/>
    <sheet name="SSPAF" sheetId="177" r:id="rId34"/>
  </sheets>
  <externalReferences>
    <externalReference r:id="rId35"/>
  </externalReferences>
  <definedNames>
    <definedName name="\a">'[1]SEFA WP'!#REF!</definedName>
    <definedName name="\b">'[1]SEFA WP'!#REF!</definedName>
    <definedName name="\c">'[1]SEFA WP'!#REF!</definedName>
    <definedName name="\d">'[1]SEFA WP'!#REF!</definedName>
    <definedName name="\e">'[1]SEFA WP'!#REF!</definedName>
    <definedName name="\f">'[1]SEFA WP'!#REF!</definedName>
    <definedName name="\g">'[1]SEFA WP'!#REF!</definedName>
    <definedName name="\h">'[1]SEFA WP'!#REF!</definedName>
    <definedName name="\i">'[1]SEFA WP'!#REF!</definedName>
    <definedName name="\j">'[1]SEFA WP'!#REF!</definedName>
    <definedName name="\k">'[1]SEFA WP'!#REF!</definedName>
    <definedName name="\l">'[1]SEFA WP'!#REF!</definedName>
    <definedName name="\m">'[1]SEFA WP'!#REF!</definedName>
    <definedName name="\n">'[1]SEFA WP'!#REF!</definedName>
    <definedName name="\p">'[1]SEFA WP'!#REF!</definedName>
    <definedName name="\s">'[1]SEFA WP'!#REF!</definedName>
    <definedName name="\t">'[1]SEFA WP'!#REF!</definedName>
    <definedName name="\v">'[1]SEFA WP'!#REF!</definedName>
    <definedName name="\z">'[1]SEFA WP'!#REF!</definedName>
    <definedName name="A">'[1]SEFA WP'!#REF!</definedName>
    <definedName name="A_1">'[1]SEFA WP'!#REF!</definedName>
    <definedName name="A_10">'[1]SEFA WP'!#REF!</definedName>
    <definedName name="A_2">'[1]SEFA WP'!#REF!</definedName>
    <definedName name="A_3">'[1]SEFA WP'!#REF!</definedName>
    <definedName name="A_4">'[1]SEFA WP'!#REF!</definedName>
    <definedName name="A_5">'[1]SEFA WP'!#REF!</definedName>
    <definedName name="A_6">'[1]SEFA WP'!#REF!</definedName>
    <definedName name="A_7">'[1]SEFA WP'!#REF!</definedName>
    <definedName name="A_8">'[1]SEFA WP'!#REF!</definedName>
    <definedName name="A_9">'[1]SEFA WP'!#REF!</definedName>
    <definedName name="AA_1">'[1]SEFA WP'!#REF!</definedName>
    <definedName name="AA_2">'[1]SEFA WP'!#REF!</definedName>
    <definedName name="ACCTS">'[1]SEFA WP'!#REF!</definedName>
    <definedName name="AJES">'[1]SEFA WP'!#REF!</definedName>
    <definedName name="B_1">'[1]SEFA WP'!#REF!</definedName>
    <definedName name="B_1_1">'[1]SEFA WP'!#REF!</definedName>
    <definedName name="BOND">'[1]SEFA WP'!#REF!</definedName>
    <definedName name="CASH">'[1]SEFA WP'!#REF!</definedName>
    <definedName name="CC_1">'[1]SEFA WP'!#REF!</definedName>
    <definedName name="CC_2">'[1]SEFA WP'!#REF!</definedName>
    <definedName name="CC_3">'[1]SEFA WP'!#REF!</definedName>
    <definedName name="COMBOS">'[1]SEFA WP'!#REF!</definedName>
    <definedName name="D_1">'[1]SEFA WP'!#REF!</definedName>
    <definedName name="E_1">'[1]SEFA WP'!#REF!</definedName>
    <definedName name="FA">'[1]SEFA WP'!#REF!</definedName>
    <definedName name="FED">'[1]SEFA WP'!#REF!</definedName>
    <definedName name="GP_22">'[1]SEFA WP'!#REF!</definedName>
    <definedName name="GP_4">'[1]SEFA WP'!#REF!</definedName>
    <definedName name="GP_9">'[1]SEFA WP'!#REF!</definedName>
    <definedName name="I_1">'[1]SEFA WP'!#REF!</definedName>
    <definedName name="I_1A">'[1]SEFA WP'!#REF!</definedName>
    <definedName name="I_2">'[1]SEFA WP'!#REF!</definedName>
    <definedName name="I_3">'[1]SEFA WP'!#REF!</definedName>
    <definedName name="JJ_1">'[1]SEFA WP'!#REF!</definedName>
    <definedName name="JJ_2">'[1]SEFA WP'!#REF!</definedName>
    <definedName name="K">'[1]SEFA WP'!#REF!</definedName>
    <definedName name="K_1">'[1]SEFA WP'!#REF!</definedName>
    <definedName name="LIAB">'[1]SEFA WP'!#REF!</definedName>
    <definedName name="PERCAP">'[1]SEFA WP'!#REF!</definedName>
    <definedName name="_xlnm.Print_Area" localSheetId="29">' SEFA'!$B$1:$M$46</definedName>
    <definedName name="_xlnm.Print_Area" localSheetId="28">'SEFA 2018'!$A$1:$N$68</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2">'Single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2">#REF!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2">#REF!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2">#REF!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2">#REF!</definedName>
    <definedName name="SCHNME" localSheetId="33">#REF!</definedName>
    <definedName name="SCHNME">#REF!</definedName>
    <definedName name="STATE">'[1]SEFA WP'!#REF!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2">#REF!</definedName>
    <definedName name="SUPT" localSheetId="33">#REF!</definedName>
    <definedName name="SUPT">#REF!</definedName>
    <definedName name="TR">'[1]SEFA WP'!#REF!</definedName>
    <definedName name="TRIAL">'[1]SEFA WP'!#REF!</definedName>
    <definedName name="V_1">'[1]SEFA WP'!#REF!</definedName>
    <definedName name="V_1_1">'[1]SEFA WP'!#REF!</definedName>
    <definedName name="WAGE">'[1]SEFA WP'!#REF!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0" i="183" l="1"/>
  <c r="L58" i="183"/>
  <c r="L60" i="183" s="1"/>
  <c r="K58" i="183"/>
  <c r="K60" i="183" s="1"/>
  <c r="J58" i="183"/>
  <c r="J60" i="183" s="1"/>
  <c r="I58" i="183"/>
  <c r="I60" i="183" s="1"/>
  <c r="H58" i="183"/>
  <c r="H60" i="183" s="1"/>
  <c r="G58" i="183"/>
  <c r="F58" i="183"/>
  <c r="F60" i="183" s="1"/>
  <c r="M57" i="183"/>
  <c r="M55" i="183"/>
  <c r="L48" i="183"/>
  <c r="L50" i="183" s="1"/>
  <c r="K48" i="183"/>
  <c r="K50" i="183" s="1"/>
  <c r="J48" i="183"/>
  <c r="J50" i="183" s="1"/>
  <c r="I48" i="183"/>
  <c r="I50" i="183" s="1"/>
  <c r="H48" i="183"/>
  <c r="H50" i="183" s="1"/>
  <c r="G48" i="183"/>
  <c r="G50" i="183" s="1"/>
  <c r="F48" i="183"/>
  <c r="F50" i="183" s="1"/>
  <c r="M47" i="183"/>
  <c r="G47" i="183"/>
  <c r="M45" i="183"/>
  <c r="M48" i="183" s="1"/>
  <c r="M50" i="183" s="1"/>
  <c r="I41" i="183"/>
  <c r="L39" i="183"/>
  <c r="K39" i="183"/>
  <c r="J39" i="183"/>
  <c r="I39" i="183"/>
  <c r="H39" i="183"/>
  <c r="G39" i="183"/>
  <c r="F39" i="183"/>
  <c r="M38" i="183"/>
  <c r="M36" i="183"/>
  <c r="M39" i="183" s="1"/>
  <c r="L34" i="183"/>
  <c r="K34" i="183"/>
  <c r="J34" i="183"/>
  <c r="I34" i="183"/>
  <c r="H34" i="183"/>
  <c r="G34" i="183"/>
  <c r="F34" i="183"/>
  <c r="M33" i="183"/>
  <c r="M31" i="183"/>
  <c r="M34" i="183" s="1"/>
  <c r="M29" i="183"/>
  <c r="L29" i="183"/>
  <c r="K29" i="183"/>
  <c r="J29" i="183"/>
  <c r="I29" i="183"/>
  <c r="H29" i="183"/>
  <c r="G29" i="183"/>
  <c r="F29" i="183"/>
  <c r="M28" i="183"/>
  <c r="G28" i="183"/>
  <c r="M26" i="183"/>
  <c r="G26" i="183"/>
  <c r="L24" i="183"/>
  <c r="K24" i="183"/>
  <c r="K41" i="183" s="1"/>
  <c r="J24" i="183"/>
  <c r="J41" i="183" s="1"/>
  <c r="I24" i="183"/>
  <c r="H24" i="183"/>
  <c r="F24" i="183"/>
  <c r="M23" i="183"/>
  <c r="G23" i="183"/>
  <c r="G24" i="183" s="1"/>
  <c r="M21" i="183"/>
  <c r="M24" i="183" s="1"/>
  <c r="M19" i="183"/>
  <c r="L19" i="183"/>
  <c r="L41" i="183" s="1"/>
  <c r="K19" i="183"/>
  <c r="J19" i="183"/>
  <c r="I19" i="183"/>
  <c r="H19" i="183"/>
  <c r="H41" i="183" s="1"/>
  <c r="F19" i="183"/>
  <c r="F41" i="183" s="1"/>
  <c r="M18" i="183"/>
  <c r="G18" i="183"/>
  <c r="M16" i="183"/>
  <c r="K10" i="183"/>
  <c r="K9" i="183"/>
  <c r="K62" i="183" l="1"/>
  <c r="I62" i="183"/>
  <c r="M41" i="183"/>
  <c r="M58" i="183"/>
  <c r="M60" i="183" s="1"/>
  <c r="M62" i="183" s="1"/>
  <c r="F62" i="183"/>
  <c r="G19" i="183"/>
  <c r="G41" i="183" s="1"/>
  <c r="L62" i="183"/>
  <c r="G38" i="174"/>
  <c r="D12" i="11"/>
  <c r="G62" i="183" l="1"/>
  <c r="H5" i="12"/>
  <c r="H14" i="12"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K7" i="12" l="1"/>
  <c r="K9" i="12"/>
  <c r="G40" i="108"/>
  <c r="B7799" i="106"/>
  <c r="F141" i="181"/>
  <c r="B7798" i="106" s="1"/>
  <c r="E40" i="108"/>
  <c r="K14" i="12" l="1"/>
  <c r="B4" i="179"/>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D17" i="171" l="1"/>
  <c r="N21" i="3"/>
  <c r="K356" i="29"/>
  <c r="K159" i="29"/>
  <c r="B7782" i="106" s="1"/>
  <c r="B7781" i="106"/>
  <c r="K333" i="29"/>
  <c r="B7788" i="106" s="1"/>
  <c r="B7787" i="106"/>
  <c r="L137" i="29"/>
  <c r="L334" i="29"/>
  <c r="E137" i="29"/>
  <c r="E139" i="29" s="1"/>
  <c r="K133" i="29"/>
  <c r="B7776" i="106" s="1"/>
  <c r="B7774" i="106"/>
  <c r="L357" i="29"/>
  <c r="K158" i="29"/>
  <c r="B7780" i="106" s="1"/>
  <c r="B7779" i="106"/>
  <c r="H160" i="29"/>
  <c r="B7777" i="106"/>
  <c r="K157" i="29"/>
  <c r="B7775" i="106"/>
  <c r="H137" i="29"/>
  <c r="H357" i="29"/>
  <c r="K354" i="29"/>
  <c r="B7791" i="106"/>
  <c r="L285" i="29"/>
  <c r="L160" i="29"/>
  <c r="D12" i="171"/>
  <c r="B7783" i="106"/>
  <c r="D285" i="29"/>
  <c r="K282" i="29"/>
  <c r="B7784" i="106" s="1"/>
  <c r="B7795" i="106"/>
  <c r="K332" i="29"/>
  <c r="B7786" i="106" s="1"/>
  <c r="B7785" i="106"/>
  <c r="H334" i="29"/>
  <c r="B7789" i="106" s="1"/>
  <c r="K355" i="29"/>
  <c r="B7794" i="106" s="1"/>
  <c r="B7793" i="106"/>
  <c r="B7778" i="106"/>
  <c r="K160" i="29"/>
  <c r="B2" i="177"/>
  <c r="B2" i="174"/>
  <c r="A2" i="170"/>
  <c r="A2" i="173"/>
  <c r="A1" i="171"/>
  <c r="B1" i="179"/>
  <c r="B2" i="176"/>
  <c r="B1" i="175"/>
  <c r="B1" i="177"/>
  <c r="A1" i="170"/>
  <c r="A2" i="171"/>
  <c r="A1" i="173"/>
  <c r="B1" i="174"/>
  <c r="B2" i="175"/>
  <c r="B1" i="176"/>
  <c r="K357" i="29" l="1"/>
  <c r="K15" i="4" s="1"/>
  <c r="B7792" i="106"/>
  <c r="K334" i="29"/>
  <c r="B7790" i="106" s="1"/>
  <c r="F74" i="34"/>
  <c r="J15" i="4"/>
  <c r="B7796" i="106" s="1"/>
  <c r="F60" i="34"/>
  <c r="E15" i="4"/>
  <c r="B7773" i="106"/>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D7764" i="106" s="1"/>
  <c r="J85" i="28"/>
  <c r="B7758" i="106" s="1"/>
  <c r="D7758" i="106" s="1"/>
  <c r="J88" i="28"/>
  <c r="K6" i="29"/>
  <c r="B7763" i="106" s="1"/>
  <c r="B7762" i="106"/>
  <c r="D7762" i="106" s="1"/>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C259"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J22" i="37"/>
  <c r="F27" i="108" l="1"/>
  <c r="F71" i="34"/>
  <c r="F28" i="108"/>
  <c r="D37" i="108"/>
  <c r="D41" i="108" s="1"/>
  <c r="E43" i="108" s="1"/>
  <c r="C14" i="4"/>
  <c r="B2558" i="106" s="1"/>
  <c r="D2558" i="106" s="1"/>
  <c r="G14" i="4"/>
  <c r="B2609" i="106" s="1"/>
  <c r="D2609" i="106" s="1"/>
  <c r="F37" i="108"/>
  <c r="F72" i="34"/>
  <c r="F38" i="34"/>
  <c r="N22" i="3"/>
  <c r="B283" i="106" s="1"/>
  <c r="D283" i="106" s="1"/>
  <c r="L22" i="37"/>
  <c r="G33" i="108"/>
  <c r="K24" i="12"/>
  <c r="F49" i="34"/>
  <c r="F68" i="34"/>
  <c r="G34" i="108"/>
  <c r="D22" i="37"/>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41" i="108" l="1"/>
  <c r="G43" i="108" s="1"/>
  <c r="G30" i="108"/>
  <c r="N23" i="3"/>
  <c r="B284" i="106" s="1"/>
  <c r="D284" i="106" s="1"/>
  <c r="B7733" i="106"/>
  <c r="D7733" i="106" s="1"/>
  <c r="K26" i="12"/>
  <c r="B7743" i="106" s="1"/>
  <c r="D7743" i="106" s="1"/>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<sst xmlns="http://schemas.openxmlformats.org/spreadsheetml/2006/main" count="5180" uniqueCount="2178">
  <si>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</si>
  <si>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</si>
  <si>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</si>
  <si>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</si>
  <si>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</si>
  <si>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</si>
  <si>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</si>
  <si>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</si>
  <si>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</si>
  <si>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</si>
  <si>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</si>
  <si>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</si>
  <si>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</si>
  <si>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</si>
  <si>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</si>
  <si>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</si>
  <si>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</si>
  <si>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</si>
  <si>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</si>
  <si>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</si>
  <si>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</si>
  <si>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</si>
  <si>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</si>
  <si>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</si>
  <si>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</si>
  <si>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</si>
  <si>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</si>
  <si>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</si>
  <si>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</si>
  <si>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</si>
  <si>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</si>
  <si>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</si>
  <si>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</si>
  <si>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</si>
  <si>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</si>
  <si>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</si>
  <si>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</si>
  <si>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</si>
  <si>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</si>
  <si>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</si>
  <si>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</si>
  <si>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</si>
  <si>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</si>
  <si>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</si>
  <si>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</si>
  <si>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</si>
  <si>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</si>
  <si>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</si>
  <si>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</si>
  <si>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</si>
  <si>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</si>
  <si>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</si>
  <si>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</si>
  <si>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</si>
  <si>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</si>
  <si>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</si>
  <si>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</si>
  <si>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</si>
  <si>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</si>
  <si>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</si>
  <si>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</si>
  <si>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</si>
  <si>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</si>
  <si>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</si>
  <si>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</si>
  <si>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</si>
  <si>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</si>
  <si>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</si>
  <si>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</si>
  <si>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</si>
  <si>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</si>
  <si>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</si>
  <si>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</si>
  <si>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</si>
  <si>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</si>
  <si>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</si>
  <si>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</si>
  <si>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</si>
  <si>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</si>
  <si>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</si>
  <si>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</si>
  <si>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</si>
  <si>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</si>
  <si>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</si>
  <si>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</si>
  <si>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</si>
  <si>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</si>
  <si>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</si>
  <si>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</si>
  <si>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</si>
  <si>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</si>
  <si>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</si>
  <si>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</si>
  <si>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</si>
  <si>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</si>
  <si>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</si>
  <si>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</si>
  <si>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</si>
  <si>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</si>
  <si>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</si>
  <si>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</si>
  <si>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</si>
  <si>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</si>
  <si>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</si>
  <si>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</si>
  <si>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</si>
  <si>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</si>
  <si>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</si>
  <si>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</si>
  <si>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</si>
  <si>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</si>
  <si>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</si>
  <si>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</si>
  <si>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</si>
  <si>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</si>
  <si>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</si>
  <si>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</si>
  <si>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</si>
  <si>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</si>
  <si>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</si>
  <si>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</si>
  <si>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</si>
  <si>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</si>
  <si>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</si>
  <si>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</si>
  <si>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</si>
  <si>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</si>
  <si>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</si>
  <si>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</si>
  <si>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</si>
  <si>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</si>
  <si>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</si>
  <si>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</si>
  <si>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</si>
  <si>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</si>
  <si>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</si>
  <si>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</si>
  <si>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</si>
  <si>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</si>
  <si>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</si>
  <si>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</si>
  <si>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</si>
  <si>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</si>
  <si>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</si>
  <si>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</si>
  <si>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</si>
  <si>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</si>
  <si>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</si>
  <si>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</si>
  <si>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</si>
  <si>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</si>
  <si>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</si>
  <si>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</si>
  <si>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</si>
  <si>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</si>
  <si>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</si>
  <si>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</si>
  <si>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</si>
  <si>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</si>
  <si>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</si>
  <si>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</si>
  <si>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</si>
  <si>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</si>
  <si>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</si>
  <si>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</si>
  <si>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</si>
  <si>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</si>
  <si>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</si>
  <si>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</si>
  <si>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</si>
  <si>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</si>
  <si>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</si>
  <si>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</si>
  <si>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</si>
  <si>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</si>
  <si>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</si>
  <si>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</si>
  <si>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</si>
  <si>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</si>
  <si>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</si>
  <si>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</si>
  <si>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</si>
  <si>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</si>
  <si>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</si>
  <si>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</si>
  <si>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</si>
  <si>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</si>
  <si>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</si>
  <si>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</si>
  <si>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</si>
  <si>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</si>
  <si>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</si>
  <si>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</si>
  <si>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</si>
  <si>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</si>
  <si>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</si>
  <si>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</si>
  <si>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</si>
  <si>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</si>
  <si>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</si>
  <si>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</si>
  <si>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</si>
  <si>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</si>
  <si>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</si>
  <si>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</si>
  <si>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</si>
  <si>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</si>
  <si>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</si>
  <si>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</si>
  <si>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</si>
  <si>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</si>
  <si>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</si>
  <si>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</si>
  <si>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</si>
  <si>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</si>
  <si>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</si>
  <si>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</si>
  <si>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</si>
  <si>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</si>
  <si>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</si>
  <si>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</si>
  <si>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</si>
  <si>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</si>
  <si>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</si>
  <si>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</si>
  <si>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</si>
  <si>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</si>
  <si>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</si>
  <si>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</si>
  <si>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</si>
  <si>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</si>
  <si>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</si>
  <si>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</si>
  <si>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</si>
  <si>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</si>
  <si>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</si>
  <si>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</si>
  <si>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</si>
  <si>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</si>
  <si>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</si>
  <si>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</si>
  <si>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</si>
  <si>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</si>
  <si>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</si>
  <si>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</si>
  <si>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</si>
  <si>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</si>
  <si>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</si>
  <si>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</si>
  <si>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</si>
  <si>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</si>
  <si>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</si>
  <si>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</si>
  <si>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</si>
  <si>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</si>
  <si>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</si>
  <si>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</si>
  <si>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</si>
  <si>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</si>
  <si>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</si>
  <si>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</si>
  <si>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</si>
  <si>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</si>
  <si>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</si>
  <si>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</si>
  <si>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</si>
  <si>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</si>
  <si>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</si>
  <si>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</si>
  <si>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</si>
  <si>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</si>
  <si>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</si>
  <si>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</si>
  <si>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</si>
  <si>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</si>
  <si>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</si>
  <si>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</si>
  <si>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</si>
  <si>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</si>
  <si>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</si>
  <si>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</si>
  <si>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</si>
  <si>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</si>
  <si>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</si>
  <si>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</si>
  <si>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</si>
  <si>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</si>
  <si>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</si>
  <si>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</si>
  <si>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</si>
  <si>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</si>
  <si>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</si>
  <si>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</si>
  <si>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</si>
  <si>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</si>
  <si>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</si>
  <si>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</si>
  <si>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</si>
  <si>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</si>
  <si>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</si>
  <si>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</si>
  <si>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</si>
  <si>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</si>
  <si>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</si>
  <si>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</si>
  <si>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</si>
  <si>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</si>
  <si>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</si>
  <si>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</si>
  <si>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</si>
  <si>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</si>
  <si>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</si>
  <si>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</si>
  <si>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</si>
  <si>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</si>
  <si>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</si>
  <si>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</si>
  <si>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</si>
  <si>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</si>
  <si>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</si>
  <si>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</si>
  <si>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</si>
  <si>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</si>
  <si>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</si>
  <si>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</si>
  <si>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</si>
  <si>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</si>
  <si>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</si>
  <si>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</si>
  <si>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</si>
  <si>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</si>
  <si>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</si>
  <si>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</si>
  <si>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</si>
  <si>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</si>
  <si>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</si>
  <si>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</si>
  <si>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</si>
  <si>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</si>
  <si>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</si>
  <si>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</si>
  <si>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</si>
  <si>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</si>
  <si>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</si>
  <si>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</si>
  <si>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</si>
  <si>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</si>
  <si>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</si>
  <si>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</si>
  <si>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</si>
  <si>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</si>
  <si>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</si>
  <si>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</si>
  <si>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</si>
  <si>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</si>
  <si>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</si>
  <si>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</si>
  <si>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</si>
  <si>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</si>
  <si>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</si>
  <si>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</si>
  <si>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</si>
  <si>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</si>
  <si>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</si>
  <si>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</si>
  <si>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</si>
  <si>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</si>
  <si>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</si>
  <si>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</si>
  <si>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</si>
  <si>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</si>
  <si>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</si>
  <si>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</si>
  <si>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</si>
  <si>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</si>
  <si>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</si>
  <si>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</si>
  <si>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</si>
  <si>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</si>
  <si>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</si>
  <si>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</si>
  <si>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</si>
  <si>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</si>
  <si>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</si>
  <si>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</si>
  <si>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</si>
  <si>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</si>
  <si>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</si>
  <si>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</si>
  <si>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</si>
  <si>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</si>
  <si>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</si>
  <si>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</si>
  <si>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</si>
  <si>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</si>
  <si>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</si>
  <si>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</si>
  <si>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</si>
  <si>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</si>
  <si>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</si>
  <si>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</si>
  <si>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</si>
  <si>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</si>
  <si>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</si>
  <si>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</si>
  <si>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</si>
  <si>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</si>
  <si>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</si>
  <si>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</si>
  <si>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</si>
  <si>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</si>
  <si>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</si>
  <si>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</si>
  <si>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</si>
  <si>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</si>
  <si>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</si>
  <si>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</si>
  <si>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</si>
  <si>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</si>
  <si>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</si>
  <si>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</si>
  <si>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</si>
  <si>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</si>
  <si>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</si>
  <si>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</si>
  <si>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</si>
  <si>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</si>
  <si>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</si>
  <si>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</si>
  <si>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</si>
  <si>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</si>
  <si>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</si>
  <si>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</si>
  <si>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</si>
  <si>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</si>
  <si>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</si>
  <si>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</si>
  <si>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</si>
  <si>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</si>
  <si>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</si>
  <si>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</si>
  <si>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</si>
  <si>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</si>
  <si>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</si>
  <si>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</si>
  <si>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</si>
  <si>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</si>
  <si>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</si>
  <si>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</si>
  <si>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</si>
  <si>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</si>
  <si>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</si>
  <si>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</si>
  <si>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</si>
  <si>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</si>
  <si>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</si>
  <si>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</si>
  <si>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</si>
  <si>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</si>
  <si>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</si>
  <si>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</si>
  <si>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</si>
  <si>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</si>
  <si>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</si>
  <si>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</si>
  <si>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</si>
  <si>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</si>
  <si>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</si>
  <si>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</si>
  <si>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</si>
  <si>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</si>
  <si>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</si>
  <si>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</si>
  <si>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</si>
  <si>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</si>
  <si>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</si>
  <si>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</si>
  <si>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</si>
  <si>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</si>
  <si>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</si>
  <si>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</si>
  <si>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</si>
  <si>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</si>
  <si>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</si>
  <si>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</si>
  <si>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</si>
  <si>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</si>
  <si>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</si>
  <si>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</si>
  <si>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</si>
  <si>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</si>
  <si>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</si>
  <si>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</si>
  <si>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</si>
  <si>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</si>
  <si>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</si>
  <si>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</si>
  <si>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</si>
  <si>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</si>
  <si>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</si>
  <si>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</si>
  <si>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</si>
  <si>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</si>
  <si>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</si>
  <si>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</si>
  <si>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</si>
  <si>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</si>
  <si>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</si>
  <si>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</si>
  <si>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</si>
  <si>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</si>
  <si>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</si>
  <si>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</si>
  <si>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</si>
  <si>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</si>
  <si>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</si>
  <si>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</si>
  <si>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</si>
  <si>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</si>
  <si>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</si>
  <si>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</si>
  <si>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</si>
  <si>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</si>
  <si>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</si>
  <si>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</si>
  <si>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</si>
  <si>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</si>
  <si>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</si>
  <si>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</si>
  <si>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</si>
  <si>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</si>
  <si>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</si>
  <si>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</si>
  <si>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</si>
  <si>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</si>
  <si>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</si>
  <si>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</si>
  <si>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</si>
  <si>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</si>
  <si>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</si>
  <si>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</si>
  <si>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</si>
  <si>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</si>
  <si>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</si>
  <si>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</si>
  <si>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</si>
  <si>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</si>
  <si>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</si>
  <si>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</si>
  <si>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</si>
  <si>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</si>
  <si>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</si>
  <si>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</si>
  <si>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</si>
  <si>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</si>
  <si>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</si>
  <si>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</si>
  <si>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</si>
  <si>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</si>
  <si>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</si>
  <si>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</si>
  <si>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</si>
  <si>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</si>
  <si>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</si>
  <si>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</si>
  <si>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</si>
  <si>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</si>
  <si>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</si>
  <si>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</si>
  <si>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</si>
  <si>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</si>
  <si>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</si>
  <si>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</si>
  <si>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</si>
  <si>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</si>
  <si>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</si>
  <si>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</si>
  <si>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</si>
  <si>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</si>
  <si>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</si>
  <si>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</si>
  <si>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</si>
  <si>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</si>
  <si>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</si>
  <si>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</si>
  <si>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</si>
  <si>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</si>
  <si>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</si>
  <si>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</si>
  <si>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</si>
  <si>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</si>
  <si>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</si>
  <si>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</si>
  <si>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</si>
  <si>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</si>
  <si>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</si>
  <si>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</si>
  <si>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</si>
  <si>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</si>
  <si>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</si>
  <si>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</si>
  <si>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</si>
  <si>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</si>
  <si>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</si>
  <si>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</si>
  <si>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</si>
  <si>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</si>
  <si>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</si>
  <si>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</si>
  <si>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</si>
  <si>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</si>
  <si>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</si>
  <si>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</si>
  <si>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</si>
  <si>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</si>
  <si>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</si>
  <si>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</si>
  <si>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</si>
  <si>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</si>
  <si>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</si>
  <si>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</si>
  <si>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</si>
  <si>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</si>
  <si>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</si>
  <si>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</si>
  <si>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</si>
  <si>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</si>
  <si>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</si>
  <si>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</si>
  <si>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</si>
  <si>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</si>
  <si>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</si>
  <si>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</si>
  <si>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</si>
  <si>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</si>
  <si>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</si>
  <si>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</si>
  <si>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</si>
  <si>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</si>
  <si>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</si>
  <si>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</si>
  <si>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</si>
  <si>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</si>
  <si>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</si>
  <si>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</si>
  <si>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</si>
  <si>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</si>
  <si>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</si>
  <si>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</si>
  <si>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</si>
  <si>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</si>
  <si>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</si>
  <si>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</si>
  <si>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</si>
  <si>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</si>
  <si>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</si>
  <si>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</si>
  <si>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</si>
  <si>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</si>
  <si>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</si>
  <si>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</si>
  <si>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</si>
  <si>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</si>
  <si>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</si>
  <si>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</si>
  <si>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</si>
  <si>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</si>
  <si>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</si>
  <si>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</si>
  <si>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</si>
  <si>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</si>
  <si>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</si>
  <si>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</si>
  <si>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</si>
  <si>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</si>
  <si>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</si>
  <si>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</si>
  <si>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</si>
  <si>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</si>
  <si>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</si>
  <si>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</si>
  <si>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</si>
  <si>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</si>
  <si>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</si>
  <si>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</si>
  <si>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</si>
  <si>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</si>
  <si>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</si>
  <si>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</si>
  <si>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</si>
  <si>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</si>
  <si>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</si>
  <si>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</si>
  <si>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</si>
  <si>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</si>
  <si>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</si>
  <si>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</si>
  <si>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</si>
  <si>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</si>
  <si>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</si>
  <si>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</si>
  <si>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</si>
  <si>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</si>
  <si>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</si>
  <si>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</si>
  <si>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</si>
  <si>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</si>
  <si>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</si>
  <si>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</si>
  <si>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</si>
  <si>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</si>
  <si>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</si>
  <si>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</si>
  <si>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</si>
  <si>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</si>
  <si>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</si>
  <si>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</si>
  <si>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</si>
  <si>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</si>
  <si>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</si>
  <si>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</si>
  <si>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</si>
  <si>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</si>
  <si>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</si>
  <si>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</si>
  <si>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</si>
  <si>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</si>
  <si>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</si>
  <si>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</si>
  <si>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</si>
  <si>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</si>
  <si>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</si>
  <si>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</si>
  <si>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</si>
  <si>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</si>
  <si>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</si>
  <si>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</si>
  <si>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</si>
  <si>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</si>
  <si>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</si>
  <si>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</si>
  <si>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</si>
  <si>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</si>
  <si>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</si>
  <si>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</si>
  <si>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</si>
  <si>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</si>
  <si>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</si>
  <si>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</si>
  <si>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</si>
  <si>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</si>
  <si>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</si>
  <si>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</si>
  <si>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</si>
  <si>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</si>
  <si>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</si>
  <si>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</si>
  <si>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</si>
  <si>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</si>
  <si>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</si>
  <si>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</si>
  <si>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</si>
  <si>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</si>
  <si>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</si>
  <si>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</si>
  <si>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</si>
  <si>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</si>
  <si>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</si>
  <si>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</si>
  <si>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</si>
  <si>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</si>
  <si>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</si>
  <si>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</si>
  <si>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</si>
  <si>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</si>
  <si>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</si>
  <si>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</si>
  <si>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</si>
  <si>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</si>
  <si>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</si>
  <si>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</si>
  <si>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</si>
  <si>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</si>
  <si>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</si>
  <si>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</si>
  <si>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</si>
  <si>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</si>
  <si>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</si>
  <si>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</si>
  <si>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</si>
  <si>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</si>
  <si>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</si>
  <si>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</si>
  <si>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</si>
  <si>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</si>
  <si>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</si>
  <si>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</si>
  <si>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</si>
  <si>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</si>
  <si>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</si>
  <si>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</si>
  <si>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</si>
  <si>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</si>
  <si>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</si>
  <si>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</si>
  <si>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</si>
  <si>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</si>
  <si>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</si>
  <si>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</si>
  <si>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</si>
  <si>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</si>
  <si>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</si>
  <si>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</si>
  <si>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</si>
  <si>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</si>
  <si>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</si>
  <si>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</si>
  <si>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</si>
  <si>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</si>
  <si>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</si>
  <si>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</si>
  <si>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</si>
  <si>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</si>
  <si>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</si>
  <si>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</si>
  <si>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</si>
  <si>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</si>
  <si>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</si>
  <si>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</si>
  <si>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</si>
  <si>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</si>
  <si>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</si>
  <si>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</si>
  <si>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</si>
  <si>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</si>
  <si>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</si>
  <si>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</si>
  <si>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</si>
  <si>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</si>
  <si>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</si>
  <si>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</si>
  <si>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</si>
  <si>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</si>
  <si>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</si>
  <si>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</si>
  <si>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</si>
  <si>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</si>
  <si>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</si>
  <si>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</si>
  <si>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</si>
  <si>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</si>
  <si>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</si>
  <si>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</si>
  <si>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</si>
  <si>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</si>
  <si>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</si>
  <si>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</si>
  <si>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</si>
  <si>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</si>
  <si>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</si>
  <si>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</si>
  <si>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</si>
  <si>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</si>
  <si>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</si>
  <si>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</si>
  <si>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</si>
  <si>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</si>
  <si>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</si>
  <si>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</si>
  <si>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</si>
  <si>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</si>
  <si>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</si>
  <si>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</si>
  <si>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</si>
  <si>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</si>
  <si>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</si>
  <si>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</si>
  <si>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</si>
  <si>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</si>
  <si>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</si>
  <si>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</si>
  <si>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</si>
  <si>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</si>
  <si>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</si>
  <si>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</si>
  <si>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</si>
  <si>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</si>
  <si>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</si>
  <si>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</si>
  <si>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</si>
  <si>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</si>
  <si>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</si>
  <si>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</si>
  <si>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</si>
  <si>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</si>
  <si>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</si>
  <si>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</si>
  <si>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</si>
  <si>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</si>
  <si>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</si>
  <si>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</si>
  <si>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</si>
  <si>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</si>
  <si>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</si>
  <si>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</si>
  <si>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</si>
  <si>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</si>
  <si>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</si>
  <si>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</si>
  <si>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</si>
  <si>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</si>
  <si>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</si>
  <si>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</si>
  <si>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</si>
  <si>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</si>
  <si>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</si>
  <si>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</si>
  <si>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</si>
  <si>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</si>
  <si>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</si>
  <si>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</si>
  <si>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</si>
  <si>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</si>
  <si>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</si>
  <si>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</si>
  <si>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</si>
  <si>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</si>
  <si>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</si>
  <si>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</si>
  <si>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</si>
  <si>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</si>
  <si>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</si>
  <si>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</si>
  <si>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</si>
  <si>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</si>
  <si>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</si>
  <si>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</si>
  <si>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</si>
  <si>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</si>
  <si>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</si>
  <si>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</si>
  <si>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</si>
  <si>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</si>
  <si>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</si>
  <si>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</si>
  <si>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</si>
  <si>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</si>
  <si>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</si>
  <si>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</si>
  <si>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</si>
  <si>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</si>
  <si>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</si>
  <si>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</si>
  <si>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</si>
  <si>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</si>
  <si>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</si>
  <si>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</si>
  <si>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</si>
  <si>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</si>
  <si>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</si>
  <si>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</si>
  <si>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</si>
  <si>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</si>
  <si>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</si>
  <si>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</si>
  <si>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</si>
  <si>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</si>
  <si>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</si>
  <si>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</si>
  <si>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</si>
  <si>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</si>
  <si>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</si>
  <si>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</si>
  <si>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</si>
  <si>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</si>
  <si>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</si>
  <si>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</si>
  <si>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</si>
  <si>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</si>
  <si>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</si>
  <si>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</si>
  <si>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</si>
  <si>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</si>
  <si>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</si>
  <si>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</si>
  <si>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</si>
  <si>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</si>
  <si>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</si>
  <si>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</si>
  <si>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</si>
  <si>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</si>
  <si>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</si>
  <si>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</si>
  <si>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</si>
  <si>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</si>
  <si>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</si>
  <si>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</si>
  <si>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</si>
  <si>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</si>
  <si>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</si>
  <si>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</si>
  <si>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</si>
  <si>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</si>
  <si>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</si>
  <si>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</si>
  <si>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</si>
  <si>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</si>
  <si>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</si>
  <si>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</si>
  <si>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</si>
  <si>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</si>
  <si>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</si>
  <si>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</si>
  <si>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</si>
  <si>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</si>
  <si>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</si>
  <si>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</si>
  <si>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</si>
  <si>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</si>
  <si>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</si>
  <si>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</si>
  <si>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</si>
  <si>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</si>
  <si>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</si>
  <si>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</si>
  <si>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</si>
  <si>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</si>
  <si>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</si>
  <si>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</si>
  <si>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</si>
  <si>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</si>
  <si>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</si>
  <si>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</si>
  <si>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</si>
  <si>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</si>
  <si>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</si>
  <si>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</si>
  <si>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</si>
  <si>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</si>
  <si>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</si>
  <si>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</si>
  <si>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</si>
  <si>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</si>
  <si>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</si>
  <si>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</si>
  <si>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</si>
  <si>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</si>
  <si>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</si>
  <si>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</si>
  <si>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</si>
  <si>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</si>
  <si>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</si>
  <si>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</si>
  <si>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</si>
  <si>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</si>
  <si>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</si>
  <si>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</si>
  <si>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</si>
  <si>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</si>
  <si>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</si>
  <si>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</si>
  <si>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</si>
  <si>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</si>
  <si>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</si>
  <si>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</si>
  <si>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</si>
  <si>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</si>
  <si>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</si>
  <si>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</si>
  <si>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</si>
  <si>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</si>
  <si>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</si>
  <si>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</si>
  <si>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</si>
  <si>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</si>
  <si>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</si>
  <si>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</si>
  <si>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</si>
  <si>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</si>
  <si>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</si>
  <si>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</si>
  <si>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</si>
  <si>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</si>
  <si>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</si>
  <si>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</si>
  <si>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</si>
  <si>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</si>
  <si>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</si>
  <si>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</si>
  <si>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</si>
  <si>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</si>
  <si>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</si>
  <si>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</si>
  <si>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</si>
  <si>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</si>
  <si>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</si>
  <si>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</si>
  <si>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</si>
  <si>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</si>
  <si>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</si>
  <si>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</si>
  <si>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</si>
  <si>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</si>
  <si>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</si>
  <si>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</si>
  <si>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</si>
  <si>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</si>
  <si>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</si>
  <si>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</si>
  <si>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</si>
  <si>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</si>
  <si>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</si>
  <si>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</si>
  <si>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</si>
  <si>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</si>
  <si>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</si>
  <si>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</si>
  <si>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</si>
  <si>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</si>
  <si>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</si>
  <si>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</si>
  <si>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</si>
  <si>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</si>
  <si>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</si>
  <si>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</si>
  <si>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</si>
  <si>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</si>
  <si>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</si>
  <si>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</si>
  <si>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</si>
  <si>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</si>
  <si>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</si>
  <si>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</si>
  <si>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</si>
  <si>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</si>
  <si>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</si>
  <si>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</si>
  <si>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</si>
  <si>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</si>
  <si>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</si>
  <si>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</si>
  <si>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</si>
  <si>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</si>
  <si>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</si>
  <si>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</si>
  <si>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</si>
  <si>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</si>
  <si>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</si>
  <si>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</si>
  <si>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</si>
  <si>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</si>
  <si>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</si>
  <si>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</si>
  <si>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</si>
  <si>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</si>
  <si>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</si>
  <si>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</si>
  <si>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</si>
  <si>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</si>
  <si>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</si>
  <si>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</si>
  <si>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</si>
  <si>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</si>
  <si>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</si>
  <si>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</si>
  <si>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</si>
  <si>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</si>
  <si>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</si>
  <si>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</si>
  <si>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</si>
  <si>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</si>
  <si>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</si>
  <si>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</si>
  <si>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</si>
  <si>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</si>
  <si>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</si>
  <si>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</si>
  <si>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</si>
  <si>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</si>
  <si>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</si>
  <si>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</si>
  <si>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</si>
  <si>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</si>
  <si>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</si>
  <si>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</si>
  <si>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</si>
  <si>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</si>
  <si>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</si>
  <si>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</si>
  <si>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</si>
  <si>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</si>
  <si>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</si>
  <si>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</si>
  <si>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</si>
  <si>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</si>
  <si>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</si>
  <si>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</si>
  <si>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</si>
  <si>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</si>
  <si>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</si>
  <si>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</si>
  <si>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</si>
  <si>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</si>
  <si>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</si>
  <si>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</si>
  <si>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</si>
  <si>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</si>
  <si>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</si>
  <si>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</si>
  <si>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</si>
  <si>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</si>
  <si>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</si>
  <si>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</si>
  <si>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</si>
  <si>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</si>
  <si>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</si>
  <si>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</si>
  <si>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</si>
  <si>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</si>
  <si>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</si>
  <si>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</si>
  <si>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</si>
  <si>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</si>
  <si>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</si>
  <si>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</si>
  <si>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</si>
  <si>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</si>
  <si>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</si>
  <si>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</si>
  <si>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</si>
  <si>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</si>
  <si>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</si>
  <si>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</si>
  <si>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</si>
  <si>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</si>
  <si>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</si>
  <si>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</si>
  <si>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</si>
  <si>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</si>
  <si>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</si>
  <si>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</si>
  <si>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</si>
  <si>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</si>
  <si>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</si>
  <si>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</si>
  <si>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</si>
  <si>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</si>
  <si>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</si>
  <si>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</si>
  <si>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</si>
  <si>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</si>
  <si>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</si>
  <si>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</si>
  <si>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</si>
  <si>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</si>
  <si>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</si>
  <si>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</si>
  <si>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</si>
  <si>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</si>
  <si>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</si>
  <si>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</si>
  <si>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</si>
  <si>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</si>
  <si>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</si>
  <si>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</si>
  <si>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</si>
  <si>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</si>
  <si>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</si>
  <si>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</si>
  <si>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</si>
  <si>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</si>
  <si>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</si>
  <si>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</si>
  <si>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</si>
  <si>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</si>
  <si>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</si>
  <si>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</si>
  <si>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</si>
  <si>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</si>
  <si>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</si>
  <si>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</si>
  <si>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</si>
  <si>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</si>
  <si>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</si>
  <si>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</si>
  <si>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</si>
  <si>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</si>
  <si>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</si>
  <si>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</si>
  <si>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</si>
  <si>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</si>
  <si>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</si>
  <si>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</si>
  <si>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</si>
  <si>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</si>
  <si>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</si>
  <si>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</si>
  <si>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</si>
  <si>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</si>
  <si>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</si>
  <si>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</si>
  <si>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</si>
  <si>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</si>
  <si>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</si>
  <si>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</si>
  <si>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</si>
  <si>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</si>
  <si>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</si>
  <si>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</si>
  <si>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</si>
  <si>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</si>
  <si>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</si>
  <si>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</si>
  <si>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</si>
  <si>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</si>
  <si>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</si>
  <si>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</si>
  <si>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</si>
  <si>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</si>
  <si>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</si>
  <si>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</si>
  <si>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</si>
  <si>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</si>
  <si>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</si>
  <si>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</si>
  <si>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</si>
  <si>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</si>
  <si>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</si>
  <si>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</si>
  <si>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</si>
  <si>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</si>
  <si>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</si>
  <si>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</si>
  <si>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</si>
  <si>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</si>
  <si>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</si>
  <si>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</si>
  <si>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</si>
  <si>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</si>
  <si>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</si>
  <si>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</si>
  <si>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</si>
  <si>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</si>
  <si>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</si>
  <si>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</si>
  <si>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</si>
  <si>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</si>
  <si>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</si>
  <si>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</si>
  <si>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</si>
  <si>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</si>
  <si>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</si>
  <si>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</si>
  <si>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</si>
  <si>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</si>
  <si>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</si>
  <si>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</si>
  <si>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</si>
  <si>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</si>
  <si>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</si>
  <si>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</si>
  <si>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</si>
  <si>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</si>
  <si>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</si>
  <si>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</si>
  <si>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</si>
  <si>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</si>
  <si>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</si>
  <si>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</si>
  <si>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</si>
  <si>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</si>
  <si>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</si>
  <si>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</si>
  <si>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</si>
  <si>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</si>
  <si>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</si>
  <si>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</si>
  <si>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</si>
  <si>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</si>
  <si>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</si>
  <si>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</si>
  <si>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</si>
  <si>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</si>
  <si>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</si>
  <si>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</si>
  <si>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</si>
  <si>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</si>
  <si>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</si>
  <si>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</si>
  <si>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</si>
  <si>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</si>
  <si>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</si>
  <si>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</si>
  <si>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</si>
  <si>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</si>
  <si>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</si>
  <si>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</si>
  <si>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</si>
  <si>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</si>
  <si>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</si>
  <si>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</si>
  <si>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</si>
  <si>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</si>
  <si>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</si>
  <si>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</si>
  <si>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</si>
  <si>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</si>
  <si>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</si>
  <si>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</si>
  <si>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</si>
  <si>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</si>
  <si>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</si>
  <si>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</si>
  <si>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</si>
  <si>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</si>
  <si>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</si>
  <si>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</si>
  <si>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</si>
  <si>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</si>
  <si>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</si>
  <si>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</si>
  <si>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</si>
  <si>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</si>
  <si>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</si>
  <si>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</si>
  <si>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</si>
  <si>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</si>
  <si>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</si>
  <si>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</si>
  <si>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</si>
  <si>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</si>
  <si>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</si>
  <si>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</si>
  <si>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</si>
  <si>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</si>
  <si>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</si>
  <si>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</si>
  <si>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</si>
  <si>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</si>
  <si>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</si>
  <si>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</si>
  <si>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</si>
  <si>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</si>
  <si>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</si>
  <si>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</si>
  <si>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</si>
  <si>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</si>
  <si>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</si>
  <si>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</si>
  <si>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</si>
  <si>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</si>
  <si>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</si>
  <si>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</si>
  <si>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</si>
  <si>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</si>
  <si>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</si>
  <si>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</si>
  <si>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</si>
  <si>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</si>
  <si>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</si>
  <si>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</si>
  <si>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</si>
  <si>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</si>
  <si>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</si>
  <si>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</si>
  <si>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</si>
  <si>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</si>
  <si>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</si>
  <si>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</si>
  <si>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</si>
  <si>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</si>
  <si>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</si>
  <si>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</si>
  <si>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</si>
  <si>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</si>
  <si>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</si>
  <si>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</si>
  <si>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</si>
  <si>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</si>
  <si>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</si>
  <si>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</si>
  <si>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</si>
  <si>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</si>
  <si>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</si>
  <si>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</si>
  <si>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</si>
  <si>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</si>
  <si>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</si>
  <si>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</si>
  <si>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</si>
  <si>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</si>
  <si>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</si>
  <si>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</si>
  <si>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</si>
  <si>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</si>
  <si>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</si>
  <si>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</si>
  <si>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</si>
  <si>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</si>
  <si>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</si>
  <si>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</si>
  <si>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</si>
  <si>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</si>
  <si>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</si>
  <si>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</si>
  <si>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</si>
  <si>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</si>
  <si>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</si>
  <si>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</si>
  <si>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</si>
  <si>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</si>
  <si>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</si>
  <si>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</si>
  <si>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</si>
  <si>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</si>
  <si>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</si>
  <si>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</si>
  <si>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</si>
  <si>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</si>
  <si>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</si>
  <si>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</si>
  <si>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</si>
  <si>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</si>
  <si>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</si>
  <si>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</si>
  <si>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</si>
  <si>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</si>
  <si>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</si>
  <si>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</si>
  <si>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</si>
  <si>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</si>
  <si>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</si>
  <si>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</si>
  <si>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</si>
  <si>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</si>
  <si>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</si>
  <si>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</si>
  <si>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</si>
  <si>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</si>
  <si>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</si>
  <si>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</si>
  <si>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</si>
  <si>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</si>
  <si>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</si>
  <si>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</si>
  <si>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</si>
  <si>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</si>
  <si>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</si>
  <si>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</si>
  <si>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</si>
  <si>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</si>
  <si>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</si>
  <si>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</si>
  <si>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</si>
  <si>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</si>
  <si>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</si>
  <si>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</si>
  <si>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</si>
  <si>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</si>
  <si>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</si>
  <si>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</si>
  <si>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</si>
  <si>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</si>
  <si>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</si>
  <si>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</si>
  <si>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</si>
  <si>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</si>
  <si>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</si>
  <si>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</si>
  <si>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</si>
  <si>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</si>
  <si>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</si>
  <si>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</si>
  <si>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</si>
  <si>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</si>
  <si>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</si>
  <si>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</si>
  <si>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</si>
  <si>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</si>
  <si>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</si>
  <si>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</si>
  <si>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</si>
  <si>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</si>
  <si>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</si>
  <si>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</si>
  <si>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</si>
  <si>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</si>
  <si>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</si>
  <si>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</si>
  <si>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</si>
  <si>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</si>
  <si>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</si>
  <si>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</si>
  <si>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</si>
  <si>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</si>
  <si>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</si>
  <si>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</si>
  <si>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</si>
  <si>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</si>
  <si>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</si>
  <si>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</si>
  <si>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</si>
  <si>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</si>
  <si>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</si>
  <si>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</si>
  <si>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</si>
  <si>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</si>
  <si>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</si>
  <si>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</si>
  <si>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</si>
  <si>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</si>
  <si>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</si>
  <si>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</si>
  <si>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</si>
  <si>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</si>
  <si>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</si>
  <si>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</si>
  <si>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</si>
  <si>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</si>
  <si>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</si>
  <si>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</si>
  <si>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</si>
  <si>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</si>
  <si>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</si>
  <si>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</si>
  <si>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</si>
  <si>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</si>
  <si>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</si>
  <si>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</si>
  <si>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</si>
  <si>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</si>
  <si>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</si>
  <si>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</si>
  <si>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</si>
  <si>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</si>
  <si>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</si>
  <si>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</si>
  <si>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</si>
  <si>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</si>
  <si>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</si>
  <si>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</si>
  <si>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</si>
  <si>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</si>
  <si>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</si>
  <si>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</si>
  <si>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</si>
  <si>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</si>
  <si>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</si>
  <si>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</si>
  <si>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</si>
  <si>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</si>
  <si>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</si>
  <si>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</si>
  <si>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</si>
  <si>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</si>
  <si>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</si>
  <si>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</si>
  <si>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</si>
  <si>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</si>
  <si>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</si>
  <si>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</si>
  <si>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</si>
  <si>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</si>
  <si>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</si>
  <si>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</si>
  <si>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</si>
  <si>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</si>
  <si>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</si>
  <si>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</si>
  <si>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</si>
  <si>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</si>
  <si>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</si>
  <si>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</si>
  <si>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</si>
  <si>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</si>
  <si>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</si>
  <si>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</si>
  <si>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</si>
  <si>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</si>
  <si>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</si>
  <si>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</si>
  <si>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</si>
  <si>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</si>
  <si>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</si>
  <si>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</si>
  <si>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</si>
  <si>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</si>
  <si>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</si>
  <si>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</si>
  <si>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</si>
  <si>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</si>
  <si>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</si>
  <si>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</si>
  <si>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</si>
  <si>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</si>
  <si>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</si>
  <si>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</si>
  <si>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</si>
  <si>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</si>
  <si>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</si>
  <si>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</si>
  <si>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</si>
  <si>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</si>
  <si>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</si>
  <si>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</si>
  <si>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</si>
  <si>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</si>
  <si>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</si>
  <si>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</si>
  <si>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</si>
  <si>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</si>
  <si>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</si>
  <si>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</si>
  <si>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</si>
  <si>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</si>
  <si>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</si>
  <si>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</si>
  <si>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</si>
  <si>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</si>
  <si>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</si>
  <si>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</si>
  <si>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</si>
  <si>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</si>
  <si>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</si>
  <si>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</si>
  <si>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</si>
  <si>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</si>
  <si>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</si>
  <si>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</si>
  <si>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</si>
  <si>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</si>
  <si>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</si>
  <si>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</si>
  <si>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</si>
  <si>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</si>
  <si>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</si>
  <si>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</si>
  <si>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</si>
  <si>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</si>
  <si>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</si>
  <si>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</si>
  <si>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</si>
  <si>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</si>
  <si>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</si>
  <si>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</si>
  <si>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</si>
  <si>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</si>
  <si>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</si>
  <si>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</si>
  <si>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</si>
  <si>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</si>
  <si>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</si>
  <si>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</si>
  <si>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</si>
  <si>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</si>
  <si>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</si>
  <si>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</si>
  <si>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</si>
  <si>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</si>
  <si>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</si>
  <si>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</si>
  <si>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</si>
  <si>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</si>
  <si>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</si>
  <si>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</si>
  <si>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</si>
  <si>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</si>
  <si>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</si>
  <si>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</si>
  <si>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</si>
  <si>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</si>
  <si>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</si>
  <si>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</si>
  <si>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</si>
  <si>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</si>
  <si>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</si>
  <si>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</si>
  <si>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</si>
  <si>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</si>
  <si>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</si>
  <si>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</si>
  <si>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</si>
  <si>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</si>
  <si>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</si>
  <si>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</si>
  <si>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</si>
  <si>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</si>
  <si>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</si>
  <si>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</si>
  <si>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</si>
  <si>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</si>
  <si>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</si>
  <si>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</si>
  <si>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</si>
  <si>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</si>
  <si>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</si>
  <si>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</si>
  <si>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</si>
  <si>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</si>
  <si>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</si>
  <si>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</si>
  <si>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</si>
  <si>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</si>
  <si>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</si>
  <si>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</si>
  <si>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</si>
  <si>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</si>
  <si>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</si>
  <si>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</si>
  <si>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</si>
  <si>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</si>
  <si>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</si>
  <si>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</si>
  <si>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</si>
  <si>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</si>
  <si>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</si>
  <si>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</si>
  <si>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</si>
  <si>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</si>
  <si>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</si>
  <si>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</si>
  <si>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</si>
  <si>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</si>
  <si>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</si>
  <si>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</si>
  <si>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</si>
  <si>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</si>
  <si>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</si>
  <si>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</si>
  <si>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</si>
  <si>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</si>
  <si>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</si>
  <si>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</si>
  <si>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</si>
  <si>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</si>
  <si>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</si>
  <si>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</si>
  <si>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</si>
  <si>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</si>
  <si>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</si>
  <si>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</si>
  <si>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</si>
  <si>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</si>
  <si>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</si>
  <si>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</si>
  <si>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</si>
  <si>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</si>
  <si>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</si>
  <si>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</si>
  <si>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</si>
  <si>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</si>
  <si>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</si>
  <si>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</si>
  <si>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</si>
  <si>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</si>
  <si>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</si>
  <si>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</si>
  <si>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</si>
  <si>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</si>
  <si>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</si>
  <si>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</si>
  <si>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</si>
  <si>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</si>
  <si>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</si>
  <si>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</si>
  <si>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</si>
  <si>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</si>
  <si>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</si>
  <si>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</si>
  <si>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</si>
  <si>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</si>
  <si>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</si>
  <si>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</si>
  <si>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</si>
  <si>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</si>
  <si>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</si>
  <si>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</si>
  <si>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</si>
  <si>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</si>
  <si>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</si>
  <si>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</si>
  <si>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</si>
  <si>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</si>
  <si>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</si>
  <si>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</si>
  <si>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</si>
  <si>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</si>
  <si>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</si>
  <si>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</si>
  <si>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</si>
  <si>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</si>
  <si>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</si>
  <si>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</si>
  <si>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</si>
  <si>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</si>
  <si>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</si>
  <si>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</si>
  <si>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</si>
  <si>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</si>
  <si>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</si>
  <si>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</si>
  <si>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</si>
  <si>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</si>
  <si>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</si>
  <si>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</si>
  <si>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</si>
  <si>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</si>
  <si>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</si>
  <si>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</si>
  <si>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</si>
  <si>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</si>
  <si>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</si>
  <si>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</si>
  <si>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</si>
  <si>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</si>
  <si>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</si>
  <si>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</si>
  <si>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</si>
  <si>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</si>
  <si>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</si>
  <si>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</si>
  <si>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</si>
  <si>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</si>
  <si>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</si>
  <si>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</si>
  <si>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</si>
  <si>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</si>
  <si>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</si>
  <si>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</si>
  <si>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</si>
  <si>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</si>
  <si>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</si>
  <si>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</si>
  <si>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</si>
  <si>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</si>
  <si>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</si>
  <si>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</si>
  <si>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</si>
  <si>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</si>
  <si>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</si>
  <si>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</si>
  <si>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</si>
  <si>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</si>
  <si>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</si>
  <si>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</si>
  <si>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</si>
  <si>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</si>
  <si>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</si>
  <si>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</si>
  <si>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</si>
  <si>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</si>
  <si>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</si>
  <si>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</si>
  <si>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</si>
  <si>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</si>
  <si>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</si>
  <si>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</si>
  <si>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</si>
  <si>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</si>
  <si>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</si>
  <si>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</si>
  <si>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</si>
  <si>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</si>
  <si>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</si>
  <si>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</si>
  <si>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</si>
  <si>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</si>
  <si>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</si>
  <si>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</si>
  <si>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</si>
  <si>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</si>
  <si>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</si>
  <si>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</si>
  <si>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</si>
  <si>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</si>
  <si>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</si>
  <si>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</si>
  <si>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</si>
  <si>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</si>
  <si>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</si>
  <si>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</si>
  <si>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</si>
  <si>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</si>
  <si>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</si>
  <si>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</si>
  <si>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</si>
  <si>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</si>
  <si>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</si>
  <si>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</si>
  <si>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</si>
  <si>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</si>
  <si>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</si>
  <si>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</si>
  <si>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</si>
  <si>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</si>
  <si>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</si>
  <si>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</si>
  <si>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</si>
  <si>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</si>
  <si>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</si>
  <si>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</si>
  <si>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</si>
  <si>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</si>
  <si>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</si>
  <si>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</si>
  <si>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</si>
  <si>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</si>
  <si>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</si>
  <si>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</si>
  <si>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</si>
  <si>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</si>
  <si>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</si>
  <si>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</si>
  <si>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</si>
  <si>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</si>
  <si>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</si>
  <si>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</si>
  <si>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</si>
  <si>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</si>
  <si>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</si>
  <si>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</si>
  <si>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</si>
  <si>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</si>
  <si>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</si>
  <si>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</si>
  <si>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</si>
  <si>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</si>
  <si>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</si>
  <si>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</si>
  <si>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</si>
  <si>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</si>
  <si>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</si>
  <si>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</si>
  <si>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</si>
  <si>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</si>
  <si>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</si>
  <si>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</si>
  <si>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</si>
  <si>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</si>
  <si>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</si>
  <si>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</si>
  <si>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</si>
  <si>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</si>
  <si>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</si>
  <si>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</si>
  <si>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</si>
  <si>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</si>
  <si>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</si>
  <si>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</si>
  <si>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</si>
  <si>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</si>
  <si>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</si>
  <si>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</si>
  <si>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</si>
  <si>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</si>
  <si>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</si>
  <si>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</si>
  <si>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</si>
  <si>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</si>
  <si>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</si>
  <si>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</si>
  <si>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</si>
  <si>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</si>
  <si>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</si>
  <si>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</si>
  <si>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</si>
  <si>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</si>
  <si>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</si>
  <si>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</si>
  <si>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</si>
  <si>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</si>
  <si>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</si>
  <si>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</si>
  <si>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</si>
  <si>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</si>
  <si>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</si>
  <si>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</si>
  <si>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</si>
  <si>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</si>
  <si>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</si>
  <si>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</si>
  <si>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</si>
  <si>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06-016-2040-17</t>
  </si>
  <si>
    <t>Cook</t>
  </si>
  <si>
    <t>100 South Brainard Avenue</t>
  </si>
  <si>
    <t>LaGrange</t>
  </si>
  <si>
    <t>bstachacz@lths.net</t>
  </si>
  <si>
    <t>Michael A. Moyski</t>
  </si>
  <si>
    <t>mmoyski@mmaadvisors.com</t>
  </si>
  <si>
    <t>General Obligation - 2013</t>
  </si>
  <si>
    <t>General Obligation - 2014</t>
  </si>
  <si>
    <t>Blue Cross Blue Shield</t>
  </si>
  <si>
    <t>Illinios Gas Cooperative</t>
  </si>
  <si>
    <t>Cook County Lyons Township School Treasurer</t>
  </si>
  <si>
    <t>Francek Radelet</t>
  </si>
  <si>
    <t>LaGrange Area Department of Special Education</t>
  </si>
  <si>
    <r>
      <t xml:space="preserve">The accompanying Schedule of Expenditures of Federal Awards includes the federal grant activity of </t>
    </r>
    <r>
      <rPr>
        <b/>
        <sz val="9"/>
        <rFont val="Calibri"/>
        <family val="2"/>
        <scheme val="minor"/>
      </rPr>
      <t xml:space="preserve">Lyons Township High School District 204 </t>
    </r>
    <r>
      <rPr>
        <sz val="9"/>
        <rFont val="Calibri"/>
        <family val="2"/>
        <scheme val="minor"/>
      </rPr>
      <t xml:space="preserve">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</si>
  <si>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Lyons Township High School District 204 provided federal awards to subrecipients as follows:</t>
  </si>
  <si>
    <t>None</t>
  </si>
  <si>
    <r>
      <t xml:space="preserve">The following amounts were expended in the form of non-cash assistance by </t>
    </r>
    <r>
      <rPr>
        <b/>
        <sz val="9"/>
        <rFont val="Calibri"/>
        <family val="2"/>
        <scheme val="minor"/>
      </rPr>
      <t>Lyons Township High School District 204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</si>
  <si>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</si>
  <si>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Cluster</t>
  </si>
  <si>
    <t>N/A</t>
  </si>
  <si>
    <t>10-2570-300</t>
  </si>
  <si>
    <t>Martin Whalen</t>
  </si>
  <si>
    <t>Ed-Business-Purchased Services</t>
  </si>
  <si>
    <t>Transportation-Business-Purchased Services</t>
  </si>
  <si>
    <t>40-2550-300</t>
  </si>
  <si>
    <t>Grand Prarie Transportation</t>
  </si>
  <si>
    <t>School Employees Loss Fund (SELF), Collective Liability Insurance Fund (CLIC)</t>
  </si>
  <si>
    <t>First Student, Grand Prairie</t>
  </si>
  <si>
    <t>Dupage Area Occupational Education Services</t>
  </si>
  <si>
    <t>LYONS TOWNSHIP HIGH SCHOOL DISTRICT NO. 204</t>
  </si>
  <si>
    <t>ISBE</t>
  </si>
  <si>
    <t xml:space="preserve">  Federal Grantor/Pass-Through Grantor/</t>
  </si>
  <si>
    <t>Project Number</t>
  </si>
  <si>
    <t>Expenditure/Disbursements</t>
  </si>
  <si>
    <t>Number</t>
  </si>
  <si>
    <t>7-1-16 to</t>
  </si>
  <si>
    <t>7-1-17 to</t>
  </si>
  <si>
    <t>Final</t>
  </si>
  <si>
    <t>or Contract #</t>
  </si>
  <si>
    <t>6-30-17</t>
  </si>
  <si>
    <t>6-30-18</t>
  </si>
  <si>
    <t xml:space="preserve">Pass through to </t>
  </si>
  <si>
    <t>U.S. Department of Education:</t>
  </si>
  <si>
    <t xml:space="preserve">    Illinois State Board of Education:</t>
  </si>
  <si>
    <t>(1)</t>
  </si>
  <si>
    <t xml:space="preserve">Title I - Low Income </t>
  </si>
  <si>
    <t>17-4300-00</t>
  </si>
  <si>
    <t>8/31/17</t>
  </si>
  <si>
    <t>18-4300-00</t>
  </si>
  <si>
    <t>8/31/18</t>
  </si>
  <si>
    <t>Subtotal 84.010</t>
  </si>
  <si>
    <t>17-4932-00</t>
  </si>
  <si>
    <t>6/30/17</t>
  </si>
  <si>
    <t>18-4932-00</t>
  </si>
  <si>
    <t>6/30/18</t>
  </si>
  <si>
    <t>Subtotal 84.367</t>
  </si>
  <si>
    <r>
      <t xml:space="preserve">I.D.E.A. - Room &amp; Board </t>
    </r>
    <r>
      <rPr>
        <b/>
        <sz val="8"/>
        <rFont val="Arial"/>
        <family val="2"/>
      </rPr>
      <t>(M)</t>
    </r>
  </si>
  <si>
    <t>84.027A</t>
  </si>
  <si>
    <t>17-4625-00</t>
  </si>
  <si>
    <t>18-4625-00</t>
  </si>
  <si>
    <t>Subtotal 84.027A</t>
  </si>
  <si>
    <t>La Grange Area Departmnet for Special Education</t>
  </si>
  <si>
    <r>
      <t>I.D.E.A. - Flow Through</t>
    </r>
    <r>
      <rPr>
        <b/>
        <sz val="8"/>
        <rFont val="Arial"/>
        <family val="2"/>
      </rPr>
      <t xml:space="preserve"> (M)</t>
    </r>
  </si>
  <si>
    <t>17-4620-00</t>
  </si>
  <si>
    <t>18-4620-00</t>
  </si>
  <si>
    <t>Subtotal 84.027</t>
  </si>
  <si>
    <t>DuPage Area Occupational Educational System:</t>
  </si>
  <si>
    <t>Perkins IIC</t>
  </si>
  <si>
    <t>17-4745-00</t>
  </si>
  <si>
    <t>18-4745-00</t>
  </si>
  <si>
    <t>Subtotal 84.048</t>
  </si>
  <si>
    <t>TOTAL U.S. DEPTARTMENT OF EDUCATION</t>
  </si>
  <si>
    <t>U.S. Department of Health &amp; Human Services:</t>
  </si>
  <si>
    <t xml:space="preserve">    Illinois Deptartment of Healthcare and Family Services</t>
  </si>
  <si>
    <t>Medicaid Administrative Outreach</t>
  </si>
  <si>
    <t>93.778</t>
  </si>
  <si>
    <t>17-4991-00</t>
  </si>
  <si>
    <t>18-4991-00</t>
  </si>
  <si>
    <t>Subtotal 93.778</t>
  </si>
  <si>
    <t>TOTAL U.S. DEPTARTMENT OF HEALTH &amp; HUMAN SERVICES:</t>
  </si>
  <si>
    <t>U.S. Department of Agriculture:</t>
  </si>
  <si>
    <t>(2)</t>
  </si>
  <si>
    <t>Special Milk</t>
  </si>
  <si>
    <t>10.556</t>
  </si>
  <si>
    <t>17-4215-00</t>
  </si>
  <si>
    <t>9/30/17</t>
  </si>
  <si>
    <t>18-4215-00</t>
  </si>
  <si>
    <t>9/30/18</t>
  </si>
  <si>
    <t>Subtotal 10.556</t>
  </si>
  <si>
    <t>TOTAL U.S. DEPTARTMENT OF AGRICULTURE</t>
  </si>
  <si>
    <t>TOTAL FEDERAL FUNDING</t>
  </si>
  <si>
    <t>(M) Program was audited as major Program as defined by §200.518.</t>
  </si>
  <si>
    <t>(1) - Project ends August 31</t>
  </si>
  <si>
    <t>(2) - Project ends September 30</t>
  </si>
  <si>
    <t>Lyons Twp HSD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</si>
</sst>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000_);_(* \(#,##0.00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sz val="11"/>
      <name val="Times New Roman"/>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9"/>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8"/>
      </top>
      <bottom/>
      <diagonal/>
    </border>
    <border>
      <left style="thin">
        <color indexed="8"/>
      </left>
      <right style="thin">
        <color indexed="64"/>
      </right>
      <top style="double">
        <color indexed="8"/>
      </top>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left style="thin">
        <color indexed="8"/>
      </left>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8"/>
      </left>
      <right style="thin">
        <color indexed="64"/>
      </right>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8"/>
      </top>
      <bottom/>
      <diagonal/>
    </border>
    <border>
      <left style="thin">
        <color indexed="8"/>
      </left>
      <right style="thin">
        <color indexed="8"/>
      </right>
      <top/>
      <bottom style="thin">
        <color indexed="64"/>
      </bottom>
      <diagonal/>
    </border>
    <border>
      <left/>
      <right style="thin">
        <color indexed="8"/>
      </right>
      <top/>
      <bottom style="thick">
        <color indexed="8"/>
      </bottom>
      <diagonal/>
    </border>
    <border>
      <left style="thin">
        <color indexed="8"/>
      </left>
      <right style="thin">
        <color indexed="64"/>
      </right>
      <top/>
      <bottom style="thick">
        <color indexed="8"/>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style="thin">
        <color indexed="8"/>
      </right>
      <top/>
      <bottom style="double">
        <color indexed="64"/>
      </bottom>
      <diagonal/>
    </border>
    <border>
      <left style="thin">
        <color indexed="8"/>
      </left>
      <right style="thin">
        <color indexed="64"/>
      </right>
      <top/>
      <bottom style="double">
        <color indexed="64"/>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4" fillId="28" borderId="0"/>
    <xf numFmtId="37" fontId="136" fillId="0" borderId="0"/>
    <xf numFmtId="43" fontId="137" fillId="0" borderId="0" applyFont="0" applyFill="0" applyBorder="0" applyAlignment="0" applyProtection="0"/>
    <xf numFmtId="37" fontId="136" fillId="0" borderId="0"/>
  </cellStyleXfs>
  <cellXfs count="26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37" fontId="9" fillId="0" borderId="0" xfId="19" applyNumberFormat="1" applyFont="1" applyFill="1"/>
    <xf numFmtId="37" fontId="9" fillId="0" borderId="165" xfId="19" applyNumberFormat="1" applyFont="1" applyFill="1" applyBorder="1" applyAlignment="1"/>
    <xf numFmtId="37" fontId="9" fillId="0" borderId="165" xfId="19" applyNumberFormat="1" applyFont="1" applyFill="1" applyBorder="1"/>
    <xf numFmtId="37" fontId="9" fillId="0" borderId="0" xfId="20" applyFont="1" applyFill="1"/>
    <xf numFmtId="37" fontId="9" fillId="0" borderId="166" xfId="20" applyFont="1" applyFill="1" applyBorder="1"/>
    <xf numFmtId="37" fontId="9" fillId="0" borderId="167" xfId="20" applyFont="1" applyFill="1" applyBorder="1" applyAlignment="1">
      <alignment horizontal="center"/>
    </xf>
    <xf numFmtId="37" fontId="9" fillId="0" borderId="167" xfId="20" applyFont="1" applyFill="1" applyBorder="1"/>
    <xf numFmtId="37" fontId="9" fillId="0" borderId="168" xfId="20" applyFont="1" applyFill="1" applyBorder="1"/>
    <xf numFmtId="37" fontId="9" fillId="0" borderId="168" xfId="20" applyFont="1" applyFill="1" applyBorder="1" applyAlignment="1"/>
    <xf numFmtId="37" fontId="9" fillId="0" borderId="169" xfId="20" applyFont="1" applyFill="1" applyBorder="1" applyAlignment="1">
      <alignment horizontal="center"/>
    </xf>
    <xf numFmtId="37" fontId="9" fillId="0" borderId="0" xfId="20" applyFont="1" applyFill="1" applyAlignment="1" applyProtection="1">
      <alignment horizontal="centerContinuous"/>
    </xf>
    <xf numFmtId="37" fontId="9" fillId="0" borderId="0" xfId="20" applyFont="1" applyFill="1" applyAlignment="1">
      <alignment horizontal="centerContinuous"/>
    </xf>
    <xf numFmtId="37" fontId="9" fillId="0" borderId="166" xfId="20" applyFont="1" applyFill="1" applyBorder="1" applyAlignment="1" applyProtection="1">
      <alignment horizontal="center"/>
    </xf>
    <xf numFmtId="37" fontId="9" fillId="0" borderId="167" xfId="20" applyFont="1" applyFill="1" applyBorder="1" applyAlignment="1" applyProtection="1">
      <alignment horizontal="centerContinuous"/>
    </xf>
    <xf numFmtId="37" fontId="9" fillId="0" borderId="170" xfId="20" applyFont="1" applyFill="1" applyBorder="1" applyAlignment="1" applyProtection="1">
      <alignment horizontal="centerContinuous"/>
    </xf>
    <xf numFmtId="37" fontId="9" fillId="0" borderId="171" xfId="20" applyFont="1" applyFill="1" applyBorder="1" applyAlignment="1">
      <alignment horizontal="centerContinuous"/>
    </xf>
    <xf numFmtId="37" fontId="9" fillId="0" borderId="170" xfId="20" applyFont="1" applyFill="1" applyBorder="1" applyAlignment="1" applyProtection="1">
      <alignment vertical="center"/>
    </xf>
    <xf numFmtId="37" fontId="9" fillId="0" borderId="171" xfId="20" applyFont="1" applyFill="1" applyBorder="1" applyAlignment="1">
      <alignment vertical="center"/>
    </xf>
    <xf numFmtId="37" fontId="9" fillId="0" borderId="172" xfId="20" applyFont="1" applyFill="1" applyBorder="1" applyAlignment="1" applyProtection="1">
      <alignment vertical="center"/>
    </xf>
    <xf numFmtId="37" fontId="9" fillId="0" borderId="174" xfId="20" applyFont="1" applyFill="1" applyBorder="1"/>
    <xf numFmtId="37" fontId="9" fillId="0" borderId="175" xfId="20" applyFont="1" applyFill="1" applyBorder="1" applyAlignment="1">
      <alignment horizontal="center"/>
    </xf>
    <xf numFmtId="37" fontId="9" fillId="0" borderId="167" xfId="20" quotePrefix="1" applyFont="1" applyFill="1" applyBorder="1" applyAlignment="1" applyProtection="1">
      <alignment horizontal="center"/>
    </xf>
    <xf numFmtId="37" fontId="9" fillId="0" borderId="167" xfId="19" applyNumberFormat="1" applyFont="1" applyFill="1" applyBorder="1" applyAlignment="1">
      <alignment horizontal="center"/>
    </xf>
    <xf numFmtId="37" fontId="9" fillId="0" borderId="167" xfId="20" applyFont="1" applyFill="1" applyBorder="1" applyAlignment="1" applyProtection="1">
      <alignment horizontal="center"/>
    </xf>
    <xf numFmtId="37" fontId="9" fillId="0" borderId="167" xfId="19" quotePrefix="1" applyNumberFormat="1" applyFont="1" applyFill="1" applyBorder="1" applyAlignment="1">
      <alignment horizontal="center"/>
    </xf>
    <xf numFmtId="37" fontId="9" fillId="0" borderId="175" xfId="20" applyFont="1" applyFill="1" applyBorder="1" applyAlignment="1" applyProtection="1">
      <alignment horizontal="center"/>
    </xf>
    <xf numFmtId="37" fontId="9" fillId="0" borderId="167" xfId="19" applyNumberFormat="1" applyFont="1" applyFill="1" applyBorder="1"/>
    <xf numFmtId="37" fontId="9" fillId="0" borderId="165" xfId="20" applyFont="1" applyFill="1" applyBorder="1" applyAlignment="1">
      <alignment horizontal="centerContinuous"/>
    </xf>
    <xf numFmtId="37" fontId="9" fillId="0" borderId="176" xfId="20" applyFont="1" applyFill="1" applyBorder="1" applyAlignment="1" applyProtection="1">
      <alignment horizontal="center"/>
    </xf>
    <xf numFmtId="37" fontId="9" fillId="0" borderId="177" xfId="20" applyFont="1" applyFill="1" applyBorder="1" applyAlignment="1" applyProtection="1">
      <alignment horizontal="centerContinuous"/>
    </xf>
    <xf numFmtId="37" fontId="9" fillId="0" borderId="177" xfId="20" applyFont="1" applyFill="1" applyBorder="1" applyAlignment="1" applyProtection="1">
      <alignment horizontal="center"/>
    </xf>
    <xf numFmtId="37" fontId="9" fillId="0" borderId="177" xfId="19" applyNumberFormat="1" applyFont="1" applyFill="1" applyBorder="1" applyAlignment="1">
      <alignment horizontal="center"/>
    </xf>
    <xf numFmtId="37" fontId="9" fillId="0" borderId="178" xfId="20" applyFont="1" applyFill="1" applyBorder="1" applyAlignment="1" applyProtection="1">
      <alignment horizontal="center"/>
    </xf>
    <xf numFmtId="37" fontId="10" fillId="0" borderId="0" xfId="19" applyNumberFormat="1" applyFont="1" applyFill="1"/>
    <xf numFmtId="37" fontId="9" fillId="0" borderId="169" xfId="19" applyNumberFormat="1" applyFont="1" applyFill="1" applyBorder="1"/>
    <xf numFmtId="37" fontId="10" fillId="0" borderId="170" xfId="19" applyNumberFormat="1" applyFont="1" applyFill="1" applyBorder="1"/>
    <xf numFmtId="37" fontId="9" fillId="0" borderId="170" xfId="19" applyNumberFormat="1" applyFont="1" applyFill="1" applyBorder="1"/>
    <xf numFmtId="37" fontId="9" fillId="0" borderId="171" xfId="19" applyNumberFormat="1" applyFont="1" applyFill="1" applyBorder="1"/>
    <xf numFmtId="37" fontId="9" fillId="0" borderId="179" xfId="19" applyNumberFormat="1" applyFont="1" applyFill="1" applyBorder="1"/>
    <xf numFmtId="37" fontId="9" fillId="0" borderId="0" xfId="19" applyNumberFormat="1" applyFont="1" applyFill="1" applyBorder="1"/>
    <xf numFmtId="41" fontId="9" fillId="0" borderId="167" xfId="19" applyNumberFormat="1" applyFont="1" applyFill="1" applyBorder="1"/>
    <xf numFmtId="37" fontId="9" fillId="0" borderId="175" xfId="19" applyNumberFormat="1" applyFont="1" applyFill="1" applyBorder="1"/>
    <xf numFmtId="37" fontId="9" fillId="0" borderId="78" xfId="19" applyNumberFormat="1" applyFont="1" applyFill="1" applyBorder="1"/>
    <xf numFmtId="37" fontId="9" fillId="0" borderId="180" xfId="19" applyNumberFormat="1" applyFont="1" applyFill="1" applyBorder="1"/>
    <xf numFmtId="181" fontId="9" fillId="0" borderId="180" xfId="19" quotePrefix="1" applyNumberFormat="1" applyFont="1" applyFill="1" applyBorder="1" applyAlignment="1">
      <alignment horizontal="center"/>
    </xf>
    <xf numFmtId="37" fontId="9" fillId="0" borderId="171" xfId="19" quotePrefix="1" applyNumberFormat="1" applyFont="1" applyFill="1" applyBorder="1" applyAlignment="1">
      <alignment horizontal="center"/>
    </xf>
    <xf numFmtId="41" fontId="9" fillId="0" borderId="180" xfId="19" applyNumberFormat="1" applyFont="1" applyFill="1" applyBorder="1"/>
    <xf numFmtId="41" fontId="9" fillId="0" borderId="171" xfId="19" applyNumberFormat="1" applyFont="1" applyFill="1" applyBorder="1"/>
    <xf numFmtId="41" fontId="9" fillId="0" borderId="181" xfId="19" applyNumberFormat="1" applyFont="1" applyFill="1" applyBorder="1"/>
    <xf numFmtId="37" fontId="9" fillId="0" borderId="0" xfId="19" quotePrefix="1" applyNumberFormat="1" applyFont="1" applyFill="1"/>
    <xf numFmtId="37" fontId="9" fillId="0" borderId="0" xfId="19" applyNumberFormat="1" applyFont="1" applyFill="1" applyBorder="1" applyAlignment="1">
      <alignment horizontal="center"/>
    </xf>
    <xf numFmtId="37" fontId="9" fillId="0" borderId="182" xfId="19" quotePrefix="1" applyNumberFormat="1" applyFont="1" applyFill="1" applyBorder="1" applyAlignment="1">
      <alignment horizontal="center"/>
    </xf>
    <xf numFmtId="181" fontId="9" fillId="0" borderId="167" xfId="19" quotePrefix="1" applyNumberFormat="1" applyFont="1" applyFill="1" applyBorder="1" applyAlignment="1">
      <alignment horizontal="center"/>
    </xf>
    <xf numFmtId="181" fontId="9" fillId="0" borderId="180" xfId="19" applyNumberFormat="1" applyFont="1" applyFill="1" applyBorder="1" applyAlignment="1">
      <alignment horizontal="center"/>
    </xf>
    <xf numFmtId="41" fontId="9" fillId="0" borderId="183" xfId="19" applyNumberFormat="1" applyFont="1" applyFill="1" applyBorder="1"/>
    <xf numFmtId="181" fontId="9" fillId="0" borderId="184" xfId="19" quotePrefix="1" applyNumberFormat="1" applyFont="1" applyFill="1" applyBorder="1" applyAlignment="1">
      <alignment horizontal="center"/>
    </xf>
    <xf numFmtId="37" fontId="9" fillId="0" borderId="185" xfId="19" quotePrefix="1" applyNumberFormat="1" applyFont="1" applyFill="1" applyBorder="1" applyAlignment="1">
      <alignment horizontal="center"/>
    </xf>
    <xf numFmtId="37" fontId="9" fillId="0" borderId="175" xfId="19" applyNumberFormat="1" applyFont="1" applyFill="1" applyBorder="1" applyAlignment="1">
      <alignment horizontal="center"/>
    </xf>
    <xf numFmtId="41" fontId="9" fillId="0" borderId="186" xfId="19" applyNumberFormat="1" applyFont="1" applyFill="1" applyBorder="1"/>
    <xf numFmtId="181" fontId="9" fillId="0" borderId="167" xfId="19" applyNumberFormat="1" applyFont="1" applyFill="1" applyBorder="1" applyAlignment="1">
      <alignment horizontal="center"/>
    </xf>
    <xf numFmtId="37" fontId="9" fillId="0" borderId="97" xfId="19" applyNumberFormat="1" applyFont="1" applyFill="1" applyBorder="1" applyAlignment="1">
      <alignment horizontal="center"/>
    </xf>
    <xf numFmtId="41" fontId="9" fillId="0" borderId="167" xfId="19" quotePrefix="1" applyNumberFormat="1" applyFont="1" applyFill="1" applyBorder="1" applyAlignment="1">
      <alignment horizontal="center"/>
    </xf>
    <xf numFmtId="41" fontId="9" fillId="0" borderId="180" xfId="21" applyNumberFormat="1" applyFont="1" applyFill="1" applyBorder="1"/>
    <xf numFmtId="41" fontId="9" fillId="0" borderId="171" xfId="21" applyNumberFormat="1" applyFont="1" applyFill="1" applyBorder="1"/>
    <xf numFmtId="41" fontId="9" fillId="0" borderId="181" xfId="21" applyNumberFormat="1" applyFont="1" applyFill="1" applyBorder="1" applyAlignment="1">
      <alignment horizontal="center"/>
    </xf>
    <xf numFmtId="41" fontId="9" fillId="0" borderId="181" xfId="19" applyNumberFormat="1" applyFont="1" applyFill="1" applyBorder="1" applyAlignment="1">
      <alignment horizontal="center"/>
    </xf>
    <xf numFmtId="37" fontId="10" fillId="0" borderId="0" xfId="20" applyFont="1" applyFill="1" applyBorder="1" applyAlignment="1">
      <alignment horizontal="left" indent="1"/>
    </xf>
    <xf numFmtId="181" fontId="9" fillId="0" borderId="186" xfId="19" applyNumberFormat="1" applyFont="1" applyFill="1" applyBorder="1" applyAlignment="1">
      <alignment horizontal="center"/>
    </xf>
    <xf numFmtId="37" fontId="9" fillId="0" borderId="180" xfId="19" quotePrefix="1" applyNumberFormat="1" applyFont="1" applyFill="1" applyBorder="1" applyAlignment="1">
      <alignment horizontal="center"/>
    </xf>
    <xf numFmtId="37" fontId="10" fillId="0" borderId="0" xfId="19" applyNumberFormat="1" applyFont="1" applyFill="1" applyBorder="1" applyAlignment="1">
      <alignment horizontal="left" indent="1"/>
    </xf>
    <xf numFmtId="37" fontId="9" fillId="0" borderId="181" xfId="19" applyNumberFormat="1" applyFont="1" applyFill="1" applyBorder="1"/>
    <xf numFmtId="41" fontId="9" fillId="0" borderId="187" xfId="19" applyNumberFormat="1" applyFont="1" applyFill="1" applyBorder="1"/>
    <xf numFmtId="37" fontId="9" fillId="0" borderId="188" xfId="19" applyNumberFormat="1" applyFont="1" applyFill="1" applyBorder="1"/>
    <xf numFmtId="37" fontId="10" fillId="0" borderId="78" xfId="19" applyNumberFormat="1" applyFont="1" applyFill="1" applyBorder="1"/>
    <xf numFmtId="37" fontId="10" fillId="0" borderId="180" xfId="19" applyNumberFormat="1" applyFont="1" applyFill="1" applyBorder="1"/>
    <xf numFmtId="41" fontId="9" fillId="0" borderId="180" xfId="19" quotePrefix="1" applyNumberFormat="1" applyFont="1" applyFill="1" applyBorder="1" applyAlignment="1">
      <alignment horizontal="center"/>
    </xf>
    <xf numFmtId="37" fontId="10" fillId="0" borderId="167" xfId="19" applyNumberFormat="1" applyFont="1" applyFill="1" applyBorder="1"/>
    <xf numFmtId="37" fontId="9" fillId="0" borderId="171" xfId="19" applyNumberFormat="1" applyFont="1" applyFill="1" applyBorder="1" applyAlignment="1">
      <alignment horizontal="center"/>
    </xf>
    <xf numFmtId="37" fontId="9" fillId="0" borderId="181" xfId="19" applyNumberFormat="1" applyFont="1" applyFill="1" applyBorder="1" applyAlignment="1">
      <alignment horizontal="center"/>
    </xf>
    <xf numFmtId="41" fontId="9" fillId="0" borderId="189" xfId="19" applyNumberFormat="1" applyFont="1" applyFill="1" applyBorder="1"/>
    <xf numFmtId="41" fontId="9" fillId="0" borderId="190" xfId="19" applyNumberFormat="1" applyFont="1" applyFill="1" applyBorder="1"/>
    <xf numFmtId="37" fontId="9" fillId="0" borderId="190" xfId="19" applyNumberFormat="1" applyFont="1" applyFill="1" applyBorder="1"/>
    <xf numFmtId="37" fontId="9" fillId="0" borderId="180" xfId="19" applyNumberFormat="1" applyFont="1" applyFill="1" applyBorder="1" applyAlignment="1">
      <alignment horizontal="center"/>
    </xf>
    <xf numFmtId="37" fontId="10" fillId="0" borderId="0" xfId="19" applyNumberFormat="1" applyFont="1" applyFill="1" applyBorder="1"/>
    <xf numFmtId="37" fontId="9" fillId="0" borderId="186" xfId="19" quotePrefix="1" applyNumberFormat="1" applyFont="1" applyFill="1" applyBorder="1" applyAlignment="1">
      <alignment horizontal="center"/>
    </xf>
    <xf numFmtId="37" fontId="9" fillId="0" borderId="0" xfId="22" applyFont="1" applyFill="1" applyBorder="1" applyAlignment="1" applyProtection="1">
      <alignment horizontal="left"/>
    </xf>
    <xf numFmtId="37" fontId="9" fillId="0" borderId="0" xfId="22" applyFont="1" applyFill="1" applyBorder="1"/>
    <xf numFmtId="37" fontId="9" fillId="0" borderId="167" xfId="22" applyFont="1" applyFill="1" applyBorder="1"/>
    <xf numFmtId="0" fontId="9" fillId="0" borderId="167" xfId="22" applyNumberFormat="1" applyFont="1" applyFill="1" applyBorder="1" applyAlignment="1" applyProtection="1">
      <alignment horizontal="center"/>
    </xf>
    <xf numFmtId="37" fontId="9" fillId="0" borderId="78" xfId="22" applyFont="1" applyFill="1" applyBorder="1" applyAlignment="1" applyProtection="1">
      <alignment horizontal="left"/>
    </xf>
    <xf numFmtId="37" fontId="9" fillId="0" borderId="78" xfId="22" applyFont="1" applyFill="1" applyBorder="1"/>
    <xf numFmtId="37" fontId="9" fillId="0" borderId="180" xfId="22" applyFont="1" applyFill="1" applyBorder="1"/>
    <xf numFmtId="182" fontId="9" fillId="0" borderId="171" xfId="22" quotePrefix="1" applyNumberFormat="1" applyFont="1" applyFill="1" applyBorder="1" applyAlignment="1" applyProtection="1">
      <alignment horizontal="center"/>
    </xf>
    <xf numFmtId="182" fontId="9" fillId="0" borderId="167" xfId="22" quotePrefix="1" applyNumberFormat="1" applyFont="1" applyFill="1" applyBorder="1" applyAlignment="1" applyProtection="1">
      <alignment horizontal="center"/>
    </xf>
    <xf numFmtId="41" fontId="9" fillId="0" borderId="166" xfId="19" applyNumberFormat="1" applyFont="1" applyFill="1" applyBorder="1"/>
    <xf numFmtId="37" fontId="10" fillId="0" borderId="171" xfId="19" applyNumberFormat="1" applyFont="1" applyFill="1" applyBorder="1"/>
    <xf numFmtId="41" fontId="9" fillId="0" borderId="191" xfId="19" applyNumberFormat="1" applyFont="1" applyFill="1" applyBorder="1"/>
    <xf numFmtId="5" fontId="9" fillId="0" borderId="192" xfId="19" applyNumberFormat="1" applyFont="1" applyFill="1" applyBorder="1"/>
    <xf numFmtId="37" fontId="10" fillId="0" borderId="0" xfId="20" quotePrefix="1" applyFont="1" applyFill="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7" fontId="9" fillId="0" borderId="0" xfId="20" applyFont="1" applyFill="1" applyAlignment="1">
      <alignment horizontal="center"/>
    </xf>
    <xf numFmtId="37" fontId="9" fillId="0" borderId="167" xfId="20" applyFont="1" applyFill="1" applyBorder="1" applyAlignment="1">
      <alignment horizontal="center"/>
    </xf>
    <xf numFmtId="0" fontId="10" fillId="0" borderId="0" xfId="19" applyNumberFormat="1" applyFont="1" applyFill="1" applyAlignment="1" applyProtection="1">
      <alignment horizontal="center"/>
    </xf>
    <xf numFmtId="165" fontId="10" fillId="0" borderId="0" xfId="19" applyNumberFormat="1" applyFont="1" applyFill="1" applyAlignment="1" applyProtection="1">
      <alignment horizontal="center" vertical="center"/>
    </xf>
    <xf numFmtId="14" fontId="10" fillId="0" borderId="0" xfId="19" applyNumberFormat="1" applyFont="1" applyFill="1" applyAlignment="1" applyProtection="1">
      <alignment horizontal="center" vertical="center"/>
    </xf>
    <xf numFmtId="37" fontId="9" fillId="0" borderId="0" xfId="19" applyNumberFormat="1" applyFont="1" applyFill="1" applyBorder="1" applyAlignment="1">
      <alignment horizontal="center"/>
    </xf>
    <xf numFmtId="37" fontId="9" fillId="0" borderId="173" xfId="20" applyFont="1" applyFill="1" applyBorder="1" applyAlignment="1" applyProtection="1">
      <alignment horizontal="center" wrapText="1"/>
    </xf>
    <xf numFmtId="37" fontId="9" fillId="0" borderId="166" xfId="20" applyFont="1" applyFill="1" applyBorder="1" applyAlignment="1" applyProtection="1">
      <alignment horizontal="center"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07" xfId="2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47625</xdr:rowOff>
        </xdr:from>
        <xdr:to>
          <xdr:col>1</xdr:col>
          <xdr:colOff>847725</xdr:colOff>
          <xdr:row>4</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0</xdr:row>
          <xdr:rowOff>57150</xdr:rowOff>
        </xdr:from>
        <xdr:to>
          <xdr:col>1</xdr:col>
          <xdr:colOff>1847850</xdr:colOff>
          <xdr:row>4</xdr:row>
          <xdr:rowOff>95250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0</xdr:row>
          <xdr:rowOff>76200</xdr:rowOff>
        </xdr:from>
        <xdr:to>
          <xdr:col>1</xdr:col>
          <xdr:colOff>2838450</xdr:colOff>
          <xdr:row>4</xdr:row>
          <xdr:rowOff>114300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9525</xdr:rowOff>
        </xdr:from>
        <xdr:to>
          <xdr:col>1</xdr:col>
          <xdr:colOff>847725</xdr:colOff>
          <xdr:row>9</xdr:row>
          <xdr:rowOff>47625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5</xdr:row>
          <xdr:rowOff>9525</xdr:rowOff>
        </xdr:from>
        <xdr:to>
          <xdr:col>1</xdr:col>
          <xdr:colOff>1847850</xdr:colOff>
          <xdr:row>9</xdr:row>
          <xdr:rowOff>47625</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inCSI\CSAData\LYONS\Engagements\2018%20Audit\SEFA%20W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SEFA WP"/>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22" t="s">
        <v>425</v>
      </c>
      <c r="J1" s="2123"/>
      <c r="K1" s="2123"/>
      <c r="L1" s="2123"/>
      <c r="M1" s="2123"/>
      <c r="N1" s="2123"/>
      <c r="O1" s="2123"/>
      <c r="P1" s="2123"/>
      <c r="Q1" s="2123"/>
      <c r="R1" s="2123"/>
      <c r="S1" s="2123"/>
    </row>
    <row r="2" spans="1:28" ht="12" customHeight="1" x14ac:dyDescent="0.2">
      <c r="A2" s="47" t="s">
        <v>1684</v>
      </c>
      <c r="D2" s="48"/>
      <c r="I2" s="2124" t="s">
        <v>1036</v>
      </c>
      <c r="J2" s="2123"/>
      <c r="K2" s="2123"/>
      <c r="L2" s="2123"/>
      <c r="M2" s="2123"/>
      <c r="N2" s="2123"/>
      <c r="O2" s="2123"/>
      <c r="P2" s="2123"/>
      <c r="Q2" s="2123"/>
      <c r="R2" s="2123"/>
      <c r="S2" s="2123"/>
    </row>
    <row r="3" spans="1:28" ht="12" customHeight="1" x14ac:dyDescent="0.2">
      <c r="A3" s="155" t="s">
        <v>1685</v>
      </c>
      <c r="B3" s="156"/>
      <c r="C3" s="156"/>
      <c r="D3" s="157"/>
      <c r="I3" s="2124" t="s">
        <v>54</v>
      </c>
      <c r="J3" s="2123"/>
      <c r="K3" s="2123"/>
      <c r="L3" s="2123"/>
      <c r="M3" s="2123"/>
      <c r="N3" s="2123"/>
      <c r="O3" s="2123"/>
      <c r="P3" s="2123"/>
      <c r="Q3" s="2123"/>
      <c r="R3" s="2123"/>
      <c r="S3" s="2123"/>
    </row>
    <row r="4" spans="1:28" ht="12" customHeight="1" x14ac:dyDescent="0.2">
      <c r="A4" s="37"/>
      <c r="I4" s="2124" t="s">
        <v>545</v>
      </c>
      <c r="J4" s="2123"/>
      <c r="K4" s="2123"/>
      <c r="L4" s="2123"/>
      <c r="M4" s="2123"/>
      <c r="N4" s="2123"/>
      <c r="O4" s="2123"/>
      <c r="P4" s="2123"/>
      <c r="Q4" s="2123"/>
      <c r="R4" s="2123"/>
      <c r="S4" s="2123"/>
    </row>
    <row r="5" spans="1:28" ht="14.1" customHeight="1" x14ac:dyDescent="0.2">
      <c r="B5" s="104" t="s">
        <v>2081</v>
      </c>
      <c r="C5" s="26" t="s">
        <v>966</v>
      </c>
      <c r="D5" s="84"/>
      <c r="E5" s="84"/>
      <c r="H5" s="38"/>
      <c r="I5" s="2131" t="s">
        <v>701</v>
      </c>
      <c r="J5" s="2076"/>
      <c r="K5" s="2076"/>
      <c r="L5" s="2076"/>
      <c r="M5" s="2076"/>
      <c r="N5" s="2076"/>
      <c r="O5" s="2076"/>
      <c r="P5" s="2076"/>
      <c r="Q5" s="2076"/>
      <c r="R5" s="2076"/>
      <c r="S5" s="2076"/>
    </row>
    <row r="6" spans="1:28" ht="14.1" customHeight="1" x14ac:dyDescent="0.2">
      <c r="B6" s="104"/>
      <c r="C6" s="26" t="s">
        <v>967</v>
      </c>
      <c r="D6" s="84"/>
      <c r="E6" s="84"/>
      <c r="I6" s="2130" t="s">
        <v>938</v>
      </c>
      <c r="J6" s="2076"/>
      <c r="K6" s="2076"/>
      <c r="L6" s="2076"/>
      <c r="M6" s="2076"/>
      <c r="N6" s="2076"/>
      <c r="O6" s="2076"/>
      <c r="P6" s="2076"/>
      <c r="Q6" s="2076"/>
      <c r="R6" s="2076"/>
      <c r="S6" s="2076"/>
    </row>
    <row r="7" spans="1:28" ht="12.2" customHeight="1" x14ac:dyDescent="0.2">
      <c r="I7" s="2125">
        <v>43281</v>
      </c>
      <c r="J7" s="2126"/>
      <c r="K7" s="2126"/>
      <c r="L7" s="2126"/>
      <c r="M7" s="2126"/>
      <c r="N7" s="2126"/>
      <c r="O7" s="2126"/>
      <c r="P7" s="2126"/>
      <c r="Q7" s="2126"/>
      <c r="R7" s="2126"/>
      <c r="S7" s="212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7" t="s">
        <v>695</v>
      </c>
      <c r="J9" s="2128"/>
      <c r="K9" s="2128"/>
      <c r="L9" s="2128"/>
      <c r="M9" s="2128"/>
      <c r="N9" s="2128"/>
      <c r="O9" s="2128"/>
      <c r="P9" s="2128"/>
      <c r="Q9" s="2128"/>
      <c r="R9" s="2128"/>
      <c r="S9" s="2129"/>
      <c r="T9" s="2072" t="s">
        <v>554</v>
      </c>
      <c r="U9" s="2073"/>
      <c r="V9" s="2073"/>
      <c r="W9" s="2073"/>
      <c r="X9" s="2073"/>
      <c r="Y9" s="2073"/>
      <c r="Z9" s="2073"/>
      <c r="AA9" s="2074"/>
    </row>
    <row r="10" spans="1:28" ht="13.5" customHeight="1" x14ac:dyDescent="0.2">
      <c r="A10" s="2081" t="s">
        <v>696</v>
      </c>
      <c r="B10" s="2082"/>
      <c r="C10" s="2082"/>
      <c r="D10" s="2082"/>
      <c r="E10" s="2082"/>
      <c r="F10" s="2082"/>
      <c r="G10" s="2082"/>
      <c r="H10" s="2083"/>
      <c r="I10" s="29"/>
      <c r="J10" s="30"/>
      <c r="K10" s="28"/>
      <c r="R10" s="30"/>
      <c r="S10" s="30"/>
      <c r="T10" s="2075"/>
      <c r="U10" s="2076"/>
      <c r="V10" s="2076"/>
      <c r="W10" s="2076"/>
      <c r="X10" s="2076"/>
      <c r="Y10" s="2076"/>
      <c r="Z10" s="2076"/>
      <c r="AA10" s="2077"/>
    </row>
    <row r="11" spans="1:28" ht="14.25" customHeight="1" x14ac:dyDescent="0.2">
      <c r="A11" s="2084" t="s">
        <v>1012</v>
      </c>
      <c r="B11" s="2085"/>
      <c r="C11" s="2085"/>
      <c r="D11" s="2085"/>
      <c r="E11" s="2085"/>
      <c r="F11" s="2085"/>
      <c r="G11" s="2085"/>
      <c r="H11" s="2086"/>
      <c r="I11" s="27"/>
      <c r="J11" s="74"/>
      <c r="K11" s="27"/>
      <c r="O11" s="148"/>
      <c r="P11" s="100" t="s">
        <v>210</v>
      </c>
      <c r="Q11" s="30"/>
      <c r="R11" s="28"/>
      <c r="S11" s="27"/>
      <c r="T11" s="2078"/>
      <c r="U11" s="2079"/>
      <c r="V11" s="2079"/>
      <c r="W11" s="2079"/>
      <c r="X11" s="2079"/>
      <c r="Y11" s="2079"/>
      <c r="Z11" s="2079"/>
      <c r="AA11" s="2080"/>
    </row>
    <row r="12" spans="1:28" ht="13.5" customHeight="1" x14ac:dyDescent="0.2">
      <c r="A12" s="85" t="s">
        <v>982</v>
      </c>
      <c r="B12" s="76"/>
      <c r="C12" s="76"/>
      <c r="D12" s="76"/>
      <c r="E12" s="76"/>
      <c r="F12" s="76"/>
      <c r="G12" s="76"/>
      <c r="H12" s="53"/>
      <c r="I12" s="29"/>
      <c r="J12" s="30"/>
      <c r="K12" s="28"/>
      <c r="O12" s="149" t="s">
        <v>2081</v>
      </c>
      <c r="P12" s="100" t="s">
        <v>211</v>
      </c>
      <c r="Q12" s="74"/>
      <c r="R12" s="30"/>
      <c r="S12" s="30"/>
      <c r="T12" s="85" t="s">
        <v>283</v>
      </c>
      <c r="U12" s="51"/>
      <c r="V12" s="51"/>
      <c r="W12" s="51"/>
      <c r="X12" s="51"/>
      <c r="Y12" s="45"/>
      <c r="Z12" s="45"/>
      <c r="AA12" s="46"/>
    </row>
    <row r="13" spans="1:28" ht="13.5" customHeight="1" x14ac:dyDescent="0.2">
      <c r="A13" s="2092">
        <v>6016204017</v>
      </c>
      <c r="B13" s="2093"/>
      <c r="C13" s="2093"/>
      <c r="D13" s="2093"/>
      <c r="E13" s="2093"/>
      <c r="F13" s="2093"/>
      <c r="G13" s="2093"/>
      <c r="H13" s="2094"/>
      <c r="I13" s="31"/>
      <c r="J13" s="30"/>
      <c r="K13" s="28"/>
      <c r="L13" s="30"/>
      <c r="M13" s="30"/>
      <c r="N13" s="30"/>
      <c r="O13" s="30"/>
      <c r="P13" s="30"/>
      <c r="Q13" s="30"/>
      <c r="R13" s="30"/>
      <c r="S13" s="30"/>
      <c r="T13" s="2097" t="s">
        <v>2074</v>
      </c>
      <c r="U13" s="2098"/>
      <c r="V13" s="2098"/>
      <c r="W13" s="2098"/>
      <c r="X13" s="2098"/>
      <c r="Y13" s="2099"/>
      <c r="Z13" s="2099"/>
      <c r="AA13" s="210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90" t="s">
        <v>2083</v>
      </c>
      <c r="B15" s="2095"/>
      <c r="C15" s="2095"/>
      <c r="D15" s="2095"/>
      <c r="E15" s="2095"/>
      <c r="F15" s="2095"/>
      <c r="G15" s="2095"/>
      <c r="H15" s="2096"/>
      <c r="T15" s="2058" t="s">
        <v>2087</v>
      </c>
      <c r="U15" s="2059"/>
      <c r="V15" s="2059"/>
      <c r="W15" s="2059"/>
      <c r="X15" s="2059"/>
      <c r="Y15" s="2101"/>
      <c r="Z15" s="2101"/>
      <c r="AA15" s="210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50" t="s">
        <v>2177</v>
      </c>
      <c r="B17" s="2120"/>
      <c r="C17" s="2120"/>
      <c r="D17" s="2120"/>
      <c r="E17" s="2120"/>
      <c r="F17" s="2120"/>
      <c r="G17" s="2120"/>
      <c r="H17" s="2121"/>
      <c r="T17" s="2107" t="s">
        <v>2075</v>
      </c>
      <c r="U17" s="2108"/>
      <c r="V17" s="2108"/>
      <c r="W17" s="2108"/>
      <c r="X17" s="2108"/>
      <c r="Y17" s="2108"/>
      <c r="Z17" s="2108"/>
      <c r="AA17" s="2109"/>
    </row>
    <row r="18" spans="1:27" ht="13.5" customHeight="1" x14ac:dyDescent="0.2">
      <c r="A18" s="85" t="s">
        <v>551</v>
      </c>
      <c r="B18" s="76"/>
      <c r="C18" s="72"/>
      <c r="D18" s="76"/>
      <c r="E18" s="76"/>
      <c r="F18" s="76"/>
      <c r="G18" s="76"/>
      <c r="H18" s="56"/>
      <c r="I18" s="2117" t="s">
        <v>697</v>
      </c>
      <c r="J18" s="2118"/>
      <c r="K18" s="2118"/>
      <c r="L18" s="2118"/>
      <c r="M18" s="2118"/>
      <c r="N18" s="2118"/>
      <c r="O18" s="2118"/>
      <c r="P18" s="2118"/>
      <c r="Q18" s="2118"/>
      <c r="R18" s="2118"/>
      <c r="S18" s="2119"/>
      <c r="T18" s="85" t="s">
        <v>735</v>
      </c>
      <c r="U18" s="51"/>
      <c r="V18" s="72"/>
      <c r="W18" s="50"/>
      <c r="X18" s="85" t="s">
        <v>284</v>
      </c>
      <c r="Y18" s="81"/>
      <c r="Z18" s="159" t="s">
        <v>698</v>
      </c>
      <c r="AA18" s="46"/>
    </row>
    <row r="19" spans="1:27" ht="13.5" customHeight="1" x14ac:dyDescent="0.2">
      <c r="A19" s="2090" t="s">
        <v>2084</v>
      </c>
      <c r="B19" s="2091"/>
      <c r="C19" s="2091"/>
      <c r="D19" s="2091"/>
      <c r="E19" s="2091"/>
      <c r="F19" s="2091"/>
      <c r="G19" s="2091"/>
      <c r="H19" s="2089"/>
      <c r="I19" s="30"/>
      <c r="J19" s="99"/>
      <c r="K19" s="40"/>
      <c r="L19" s="38"/>
      <c r="M19" s="112" t="s">
        <v>333</v>
      </c>
      <c r="P19" s="27"/>
      <c r="Q19" s="27"/>
      <c r="R19" s="27"/>
      <c r="S19" s="31"/>
      <c r="T19" s="2090" t="s">
        <v>2076</v>
      </c>
      <c r="U19" s="2088"/>
      <c r="V19" s="2088"/>
      <c r="W19" s="2089"/>
      <c r="X19" s="2105" t="s">
        <v>2077</v>
      </c>
      <c r="Y19" s="2106"/>
      <c r="Z19" s="2103">
        <v>60187</v>
      </c>
      <c r="AA19" s="210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87" t="s">
        <v>2085</v>
      </c>
      <c r="B21" s="2088"/>
      <c r="C21" s="2088"/>
      <c r="D21" s="2088"/>
      <c r="E21" s="2088"/>
      <c r="F21" s="2088"/>
      <c r="G21" s="2088"/>
      <c r="H21" s="2089"/>
      <c r="I21" s="2113" t="s">
        <v>699</v>
      </c>
      <c r="J21" s="2076"/>
      <c r="K21" s="2076"/>
      <c r="L21" s="2076"/>
      <c r="M21" s="2076"/>
      <c r="N21" s="2076"/>
      <c r="O21" s="2076"/>
      <c r="P21" s="2076"/>
      <c r="Q21" s="2076"/>
      <c r="R21" s="2076"/>
      <c r="S21" s="2077"/>
      <c r="T21" s="2055" t="s">
        <v>2078</v>
      </c>
      <c r="U21" s="2056"/>
      <c r="V21" s="2056"/>
      <c r="W21" s="2056"/>
      <c r="X21" s="2069" t="s">
        <v>2079</v>
      </c>
      <c r="Y21" s="2070"/>
      <c r="Z21" s="2070"/>
      <c r="AA21" s="2071"/>
    </row>
    <row r="22" spans="1:27" ht="13.5" customHeight="1" x14ac:dyDescent="0.2">
      <c r="A22" s="87" t="s">
        <v>552</v>
      </c>
      <c r="B22" s="59"/>
      <c r="C22" s="59"/>
      <c r="D22" s="59"/>
      <c r="E22" s="59"/>
      <c r="F22" s="59"/>
      <c r="G22" s="59"/>
      <c r="H22" s="60"/>
      <c r="I22" s="2114" t="s">
        <v>1504</v>
      </c>
      <c r="J22" s="2115"/>
      <c r="K22" s="2115"/>
      <c r="L22" s="2115"/>
      <c r="M22" s="2115"/>
      <c r="N22" s="2115"/>
      <c r="O22" s="2115"/>
      <c r="P22" s="2115"/>
      <c r="Q22" s="2115"/>
      <c r="R22" s="2115"/>
      <c r="S22" s="2116"/>
      <c r="T22" s="85" t="s">
        <v>1596</v>
      </c>
      <c r="U22" s="51"/>
      <c r="V22" s="72"/>
      <c r="W22" s="51"/>
      <c r="X22" s="160" t="s">
        <v>1385</v>
      </c>
      <c r="Z22" s="45"/>
      <c r="AA22" s="46"/>
    </row>
    <row r="23" spans="1:27" ht="13.5" customHeight="1" x14ac:dyDescent="0.2">
      <c r="A23" s="2110" t="s">
        <v>2086</v>
      </c>
      <c r="B23" s="2111"/>
      <c r="C23" s="2111"/>
      <c r="D23" s="2111"/>
      <c r="E23" s="2111"/>
      <c r="F23" s="2111"/>
      <c r="G23" s="2111"/>
      <c r="H23" s="2112"/>
      <c r="T23" s="2050">
        <v>66003412</v>
      </c>
      <c r="U23" s="2051"/>
      <c r="V23" s="2051"/>
      <c r="W23" s="2051"/>
      <c r="X23" s="2066">
        <v>43434</v>
      </c>
      <c r="Y23" s="2067"/>
      <c r="Z23" s="2067"/>
      <c r="AA23" s="2068"/>
    </row>
    <row r="24" spans="1:27" ht="14.1" customHeight="1" x14ac:dyDescent="0.2">
      <c r="A24" s="88" t="s">
        <v>698</v>
      </c>
      <c r="B24" s="49"/>
      <c r="C24" s="49"/>
      <c r="D24" s="49"/>
      <c r="E24" s="49"/>
      <c r="F24" s="49"/>
      <c r="G24" s="49"/>
      <c r="H24" s="61"/>
      <c r="J24" s="2152">
        <f>IF(B5="x",IF(AUDITCHECK!D29="AFR form Incomplete.","",IF(AUDITCHECK!D29="Deficit reduction plan is required.","School District must complete a deficit reduction plan in the 2018-2019 Budget",)),"")</f>
        <v>0</v>
      </c>
      <c r="K24" s="2152"/>
      <c r="L24" s="2152"/>
      <c r="M24" s="2152"/>
      <c r="N24" s="2152"/>
      <c r="O24" s="2152"/>
      <c r="P24" s="2152"/>
      <c r="Q24" s="2152"/>
      <c r="R24" s="2152"/>
      <c r="S24" s="2153"/>
      <c r="T24" s="105" t="s">
        <v>552</v>
      </c>
      <c r="U24" s="106"/>
      <c r="V24" s="106"/>
      <c r="W24" s="106"/>
      <c r="X24" s="107"/>
      <c r="Y24" s="107"/>
      <c r="Z24" s="107"/>
      <c r="AA24" s="108"/>
    </row>
    <row r="25" spans="1:27" ht="14.1" customHeight="1" x14ac:dyDescent="0.2">
      <c r="A25" s="2087">
        <v>60525</v>
      </c>
      <c r="B25" s="2088"/>
      <c r="C25" s="2088"/>
      <c r="D25" s="2088"/>
      <c r="E25" s="2088"/>
      <c r="F25" s="2088"/>
      <c r="G25" s="2088"/>
      <c r="H25" s="2089"/>
      <c r="I25" s="113"/>
      <c r="J25" s="2154"/>
      <c r="K25" s="2154"/>
      <c r="L25" s="2154"/>
      <c r="M25" s="2154"/>
      <c r="N25" s="2154"/>
      <c r="O25" s="2154"/>
      <c r="P25" s="2154"/>
      <c r="Q25" s="2154"/>
      <c r="R25" s="2154"/>
      <c r="S25" s="2155"/>
      <c r="T25" s="2047" t="s">
        <v>2088</v>
      </c>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45" t="s">
        <v>1591</v>
      </c>
      <c r="J27" s="2118"/>
      <c r="K27" s="2118"/>
      <c r="L27" s="2118"/>
      <c r="M27" s="2118"/>
      <c r="N27" s="2118"/>
      <c r="O27" s="2118"/>
      <c r="P27" s="2118"/>
      <c r="Q27" s="2118"/>
      <c r="R27" s="2118"/>
      <c r="S27" s="211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91"/>
      <c r="Q35" s="2088"/>
      <c r="R35" s="20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50"/>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552</v>
      </c>
      <c r="B39" s="2144"/>
      <c r="C39" s="72"/>
      <c r="D39" s="69"/>
      <c r="E39" s="69"/>
      <c r="F39" s="79"/>
      <c r="G39" s="69"/>
      <c r="H39" s="56"/>
      <c r="I39" s="2143" t="s">
        <v>552</v>
      </c>
      <c r="J39" s="2144"/>
      <c r="K39" s="2144"/>
      <c r="L39" s="2144"/>
      <c r="M39" s="2144"/>
      <c r="N39" s="67"/>
      <c r="O39" s="72"/>
      <c r="P39" s="72"/>
      <c r="Q39" s="78"/>
      <c r="R39" s="72"/>
      <c r="S39" s="56"/>
      <c r="T39" s="72" t="s">
        <v>552</v>
      </c>
      <c r="U39" s="51"/>
      <c r="V39" s="72"/>
      <c r="W39" s="50"/>
      <c r="X39" s="78"/>
      <c r="Y39" s="45"/>
      <c r="Z39" s="45"/>
      <c r="AA39" s="46"/>
    </row>
    <row r="40" spans="1:27" ht="13.5" customHeight="1" x14ac:dyDescent="0.2">
      <c r="A40" s="2146"/>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36"/>
      <c r="B42" s="2137"/>
      <c r="C42" s="2138"/>
      <c r="D42" s="2151"/>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28" sqref="L28"/>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89" t="s">
        <v>1902</v>
      </c>
      <c r="B2" s="1539" t="s">
        <v>2034</v>
      </c>
      <c r="C2" s="704" t="s">
        <v>1907</v>
      </c>
      <c r="D2" s="704" t="s">
        <v>1908</v>
      </c>
      <c r="E2" s="704" t="s">
        <v>1909</v>
      </c>
      <c r="F2" s="704" t="s">
        <v>1910</v>
      </c>
    </row>
    <row r="3" spans="1:6" ht="12" customHeight="1" x14ac:dyDescent="0.2">
      <c r="A3" s="2290"/>
      <c r="B3" s="1536"/>
      <c r="C3" s="1537"/>
      <c r="D3" s="1538" t="s">
        <v>274</v>
      </c>
      <c r="E3" s="1537"/>
      <c r="F3" s="1538" t="s">
        <v>275</v>
      </c>
    </row>
    <row r="4" spans="1:6" ht="13.7" customHeight="1" x14ac:dyDescent="0.2">
      <c r="A4" s="705" t="s">
        <v>1217</v>
      </c>
      <c r="B4" s="1760">
        <v>50272990</v>
      </c>
      <c r="C4" s="1535">
        <v>27189458</v>
      </c>
      <c r="D4" s="1763">
        <f>B4-C4</f>
        <v>23083532</v>
      </c>
      <c r="E4" s="1535">
        <v>52615815</v>
      </c>
      <c r="F4" s="1763">
        <f>E4-C4</f>
        <v>25426357</v>
      </c>
    </row>
    <row r="5" spans="1:6" ht="13.7" customHeight="1" x14ac:dyDescent="0.2">
      <c r="A5" s="705" t="s">
        <v>925</v>
      </c>
      <c r="B5" s="1761">
        <v>8328275</v>
      </c>
      <c r="C5" s="578">
        <v>4432465</v>
      </c>
      <c r="D5" s="1764">
        <f t="shared" ref="D5:D18" si="0">B5-C5</f>
        <v>3895810</v>
      </c>
      <c r="E5" s="578">
        <v>8577000</v>
      </c>
      <c r="F5" s="1764">
        <f>E5-C5</f>
        <v>4144535</v>
      </c>
    </row>
    <row r="6" spans="1:6" ht="13.7" customHeight="1" x14ac:dyDescent="0.2">
      <c r="A6" s="705" t="s">
        <v>431</v>
      </c>
      <c r="B6" s="1761">
        <v>2390272</v>
      </c>
      <c r="C6" s="578">
        <v>1281194</v>
      </c>
      <c r="D6" s="1764">
        <f t="shared" si="0"/>
        <v>1109078</v>
      </c>
      <c r="E6" s="578">
        <v>2481984</v>
      </c>
      <c r="F6" s="1764">
        <f t="shared" ref="F6:F18" si="1">E6-C6</f>
        <v>1200790</v>
      </c>
    </row>
    <row r="7" spans="1:6" ht="13.7" customHeight="1" x14ac:dyDescent="0.2">
      <c r="A7" s="705" t="s">
        <v>157</v>
      </c>
      <c r="B7" s="1761">
        <v>1761862</v>
      </c>
      <c r="C7" s="578">
        <v>939373</v>
      </c>
      <c r="D7" s="1764">
        <f t="shared" si="0"/>
        <v>822489</v>
      </c>
      <c r="E7" s="578">
        <v>1814103</v>
      </c>
      <c r="F7" s="1764">
        <f t="shared" si="1"/>
        <v>874730</v>
      </c>
    </row>
    <row r="8" spans="1:6" ht="13.7" customHeight="1" x14ac:dyDescent="0.2">
      <c r="A8" s="705" t="s">
        <v>1241</v>
      </c>
      <c r="B8" s="1761">
        <v>730966</v>
      </c>
      <c r="C8" s="578">
        <v>393765</v>
      </c>
      <c r="D8" s="1764">
        <f t="shared" si="0"/>
        <v>337201</v>
      </c>
      <c r="E8" s="578">
        <v>762400</v>
      </c>
      <c r="F8" s="1764">
        <f t="shared" si="1"/>
        <v>368635</v>
      </c>
    </row>
    <row r="9" spans="1:6" ht="13.7" customHeight="1" x14ac:dyDescent="0.2">
      <c r="A9" s="705" t="s">
        <v>428</v>
      </c>
      <c r="B9" s="1761">
        <v>0</v>
      </c>
      <c r="C9" s="578">
        <v>0</v>
      </c>
      <c r="D9" s="1764">
        <f t="shared" si="0"/>
        <v>0</v>
      </c>
      <c r="E9" s="578">
        <v>0</v>
      </c>
      <c r="F9" s="1764">
        <f t="shared" si="1"/>
        <v>0</v>
      </c>
    </row>
    <row r="10" spans="1:6" ht="13.7" customHeight="1" x14ac:dyDescent="0.2">
      <c r="A10" s="705" t="s">
        <v>427</v>
      </c>
      <c r="B10" s="1761">
        <v>0</v>
      </c>
      <c r="C10" s="578">
        <v>0</v>
      </c>
      <c r="D10" s="1764">
        <f t="shared" si="0"/>
        <v>0</v>
      </c>
      <c r="E10" s="578">
        <v>0</v>
      </c>
      <c r="F10" s="1764">
        <f t="shared" si="1"/>
        <v>0</v>
      </c>
    </row>
    <row r="11" spans="1:6" x14ac:dyDescent="0.2">
      <c r="A11" s="705" t="s">
        <v>429</v>
      </c>
      <c r="B11" s="1761">
        <v>0</v>
      </c>
      <c r="C11" s="578">
        <v>0</v>
      </c>
      <c r="D11" s="1764">
        <f t="shared" si="0"/>
        <v>0</v>
      </c>
      <c r="E11" s="578">
        <v>0</v>
      </c>
      <c r="F11" s="1764">
        <f t="shared" si="1"/>
        <v>0</v>
      </c>
    </row>
    <row r="12" spans="1:6" ht="13.7" customHeight="1" x14ac:dyDescent="0.2">
      <c r="A12" s="705" t="s">
        <v>159</v>
      </c>
      <c r="B12" s="1761">
        <v>0</v>
      </c>
      <c r="C12" s="578">
        <v>0</v>
      </c>
      <c r="D12" s="1764">
        <f t="shared" si="0"/>
        <v>0</v>
      </c>
      <c r="E12" s="578">
        <v>0</v>
      </c>
      <c r="F12" s="1764">
        <f t="shared" si="1"/>
        <v>0</v>
      </c>
    </row>
    <row r="13" spans="1:6" ht="13.7" customHeight="1" x14ac:dyDescent="0.2">
      <c r="A13" s="705" t="s">
        <v>993</v>
      </c>
      <c r="B13" s="1761">
        <v>0</v>
      </c>
      <c r="C13" s="578">
        <v>0</v>
      </c>
      <c r="D13" s="1764">
        <f t="shared" si="0"/>
        <v>0</v>
      </c>
      <c r="E13" s="578">
        <v>0</v>
      </c>
      <c r="F13" s="1764">
        <f t="shared" si="1"/>
        <v>0</v>
      </c>
    </row>
    <row r="14" spans="1:6" ht="13.7" customHeight="1" x14ac:dyDescent="0.2">
      <c r="A14" s="705" t="s">
        <v>430</v>
      </c>
      <c r="B14" s="1761">
        <v>443289</v>
      </c>
      <c r="C14" s="578">
        <v>236774</v>
      </c>
      <c r="D14" s="1764">
        <f t="shared" si="0"/>
        <v>206515</v>
      </c>
      <c r="E14" s="578">
        <v>456078</v>
      </c>
      <c r="F14" s="1764">
        <f t="shared" si="1"/>
        <v>219304</v>
      </c>
    </row>
    <row r="15" spans="1:6" ht="13.7" customHeight="1" x14ac:dyDescent="0.2">
      <c r="A15" s="705" t="s">
        <v>1220</v>
      </c>
      <c r="B15" s="1761">
        <v>0</v>
      </c>
      <c r="C15" s="578">
        <v>0</v>
      </c>
      <c r="D15" s="1764">
        <f t="shared" si="0"/>
        <v>0</v>
      </c>
      <c r="E15" s="578">
        <v>0</v>
      </c>
      <c r="F15" s="1764">
        <f t="shared" si="1"/>
        <v>0</v>
      </c>
    </row>
    <row r="16" spans="1:6" ht="13.7" customHeight="1" x14ac:dyDescent="0.2">
      <c r="A16" s="705" t="s">
        <v>1221</v>
      </c>
      <c r="B16" s="1761">
        <v>1337282</v>
      </c>
      <c r="C16" s="578">
        <v>720615</v>
      </c>
      <c r="D16" s="1764">
        <f t="shared" si="0"/>
        <v>616667</v>
      </c>
      <c r="E16" s="578">
        <v>1392060</v>
      </c>
      <c r="F16" s="1764">
        <f t="shared" si="1"/>
        <v>671445</v>
      </c>
    </row>
    <row r="17" spans="1:6" ht="13.7" customHeight="1" x14ac:dyDescent="0.2">
      <c r="A17" s="705" t="s">
        <v>1222</v>
      </c>
      <c r="B17" s="1761">
        <v>0</v>
      </c>
      <c r="C17" s="578">
        <v>0</v>
      </c>
      <c r="D17" s="1764">
        <f t="shared" si="0"/>
        <v>0</v>
      </c>
      <c r="E17" s="578">
        <v>0</v>
      </c>
      <c r="F17" s="1764">
        <f t="shared" si="1"/>
        <v>0</v>
      </c>
    </row>
    <row r="18" spans="1:6" ht="13.7" customHeight="1" x14ac:dyDescent="0.2">
      <c r="A18" s="705" t="s">
        <v>786</v>
      </c>
      <c r="B18" s="1761">
        <v>0</v>
      </c>
      <c r="C18" s="578">
        <v>0</v>
      </c>
      <c r="D18" s="1764">
        <f t="shared" si="0"/>
        <v>0</v>
      </c>
      <c r="E18" s="578">
        <v>0</v>
      </c>
      <c r="F18" s="1764">
        <f t="shared" si="1"/>
        <v>0</v>
      </c>
    </row>
    <row r="19" spans="1:6" ht="13.7" customHeight="1" thickBot="1" x14ac:dyDescent="0.25">
      <c r="A19" s="1765" t="s">
        <v>1223</v>
      </c>
      <c r="B19" s="1762">
        <f>SUM(B4:B18)</f>
        <v>65264936</v>
      </c>
      <c r="C19" s="1762">
        <f>SUM(C4:C18)</f>
        <v>35193644</v>
      </c>
      <c r="D19" s="1762">
        <f>SUM(D4:D18)</f>
        <v>30071292</v>
      </c>
      <c r="E19" s="1762">
        <f>SUM(E4:E18)</f>
        <v>68099440</v>
      </c>
      <c r="F19" s="1762">
        <f>SUM(F4:F18)</f>
        <v>32905796</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Normal="100" workbookViewId="0">
      <selection activeCell="L28" sqref="L28"/>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95" t="s">
        <v>650</v>
      </c>
      <c r="B1" s="2296"/>
      <c r="C1" s="711"/>
    </row>
    <row r="2" spans="1:7" ht="33.75" x14ac:dyDescent="0.2">
      <c r="A2" s="2304" t="s">
        <v>1902</v>
      </c>
      <c r="B2" s="2305"/>
      <c r="C2" s="1898" t="s">
        <v>2035</v>
      </c>
      <c r="D2" s="713" t="s">
        <v>2042</v>
      </c>
      <c r="E2" s="713" t="s">
        <v>2043</v>
      </c>
      <c r="F2" s="1898" t="s">
        <v>2036</v>
      </c>
    </row>
    <row r="3" spans="1:7" ht="15.75" customHeight="1" x14ac:dyDescent="0.2">
      <c r="A3" s="2308" t="s">
        <v>1176</v>
      </c>
      <c r="B3" s="2309"/>
      <c r="C3" s="2297"/>
      <c r="D3" s="2298"/>
      <c r="E3" s="2298"/>
      <c r="F3" s="2299"/>
    </row>
    <row r="4" spans="1:7" ht="12.75" customHeight="1" thickBot="1" x14ac:dyDescent="0.25">
      <c r="A4" s="2306" t="s">
        <v>651</v>
      </c>
      <c r="B4" s="2307"/>
      <c r="C4" s="575"/>
      <c r="D4" s="575"/>
      <c r="E4" s="575"/>
      <c r="F4" s="1766">
        <f>SUM(C4+D4)-E4</f>
        <v>0</v>
      </c>
    </row>
    <row r="5" spans="1:7" ht="15.75" customHeight="1" thickTop="1" x14ac:dyDescent="0.2">
      <c r="A5" s="2291" t="s">
        <v>1172</v>
      </c>
      <c r="B5" s="2292"/>
      <c r="C5" s="2300"/>
      <c r="D5" s="2301"/>
      <c r="E5" s="2301"/>
      <c r="F5" s="2302"/>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293" t="s">
        <v>652</v>
      </c>
      <c r="B15" s="2294"/>
      <c r="C15" s="1766">
        <f>SUM(C6:C14)</f>
        <v>0</v>
      </c>
      <c r="D15" s="1766">
        <f>SUM(D6:D14)</f>
        <v>0</v>
      </c>
      <c r="E15" s="1766">
        <f>SUM(E6:E14)</f>
        <v>0</v>
      </c>
      <c r="F15" s="1766">
        <f>SUM(F6:F14)</f>
        <v>0</v>
      </c>
      <c r="G15" s="547"/>
    </row>
    <row r="16" spans="1:7" s="202" customFormat="1" ht="15.75" customHeight="1" thickTop="1" x14ac:dyDescent="0.2">
      <c r="A16" s="2303" t="s">
        <v>1173</v>
      </c>
      <c r="B16" s="2292"/>
      <c r="C16" s="2300"/>
      <c r="D16" s="2301"/>
      <c r="E16" s="2301"/>
      <c r="F16" s="2302"/>
    </row>
    <row r="17" spans="1:11" ht="12.75" customHeight="1" thickBot="1" x14ac:dyDescent="0.25">
      <c r="A17" s="2316" t="s">
        <v>66</v>
      </c>
      <c r="B17" s="2317"/>
      <c r="C17" s="716"/>
      <c r="D17" s="578"/>
      <c r="E17" s="716"/>
      <c r="F17" s="1766">
        <f>SUM(C17+D17)-E17</f>
        <v>0</v>
      </c>
    </row>
    <row r="18" spans="1:11" ht="12.75" customHeight="1" thickTop="1" thickBot="1" x14ac:dyDescent="0.25">
      <c r="A18" s="2316" t="s">
        <v>6</v>
      </c>
      <c r="B18" s="2317"/>
      <c r="C18" s="716"/>
      <c r="D18" s="578"/>
      <c r="E18" s="716"/>
      <c r="F18" s="1766">
        <f>SUM(C18+D18)-E18</f>
        <v>0</v>
      </c>
    </row>
    <row r="19" spans="1:11" ht="12.75" customHeight="1" thickTop="1" thickBot="1" x14ac:dyDescent="0.25">
      <c r="A19" s="2316" t="s">
        <v>406</v>
      </c>
      <c r="B19" s="2317"/>
      <c r="C19" s="716"/>
      <c r="D19" s="578"/>
      <c r="E19" s="716"/>
      <c r="F19" s="1766">
        <f>SUM(C19+D19)-E19</f>
        <v>0</v>
      </c>
    </row>
    <row r="20" spans="1:11" ht="12.75" customHeight="1" thickTop="1" thickBot="1" x14ac:dyDescent="0.25">
      <c r="A20" s="2316" t="s">
        <v>468</v>
      </c>
      <c r="B20" s="2317"/>
      <c r="C20" s="716"/>
      <c r="D20" s="578"/>
      <c r="E20" s="716"/>
      <c r="F20" s="1766">
        <f>SUM(C20+D20)-E20</f>
        <v>0</v>
      </c>
    </row>
    <row r="21" spans="1:11" ht="14.25" thickTop="1" thickBot="1" x14ac:dyDescent="0.25">
      <c r="A21" s="2293" t="s">
        <v>653</v>
      </c>
      <c r="B21" s="2294"/>
      <c r="C21" s="1766">
        <f>SUM(C17:C20)</f>
        <v>0</v>
      </c>
      <c r="D21" s="1766">
        <f>SUM(D17:D20)</f>
        <v>0</v>
      </c>
      <c r="E21" s="1766">
        <f>SUM(E17:E20)</f>
        <v>0</v>
      </c>
      <c r="F21" s="1766">
        <f>SUM(F17:F20)</f>
        <v>0</v>
      </c>
      <c r="G21" s="547"/>
    </row>
    <row r="22" spans="1:11" ht="15.75" customHeight="1" thickTop="1" x14ac:dyDescent="0.2">
      <c r="A22" s="2318" t="s">
        <v>1174</v>
      </c>
      <c r="B22" s="2292"/>
      <c r="C22" s="2300"/>
      <c r="D22" s="2301"/>
      <c r="E22" s="2301"/>
      <c r="F22" s="2302"/>
    </row>
    <row r="23" spans="1:11" ht="13.5" thickBot="1" x14ac:dyDescent="0.25">
      <c r="A23" s="2306" t="s">
        <v>654</v>
      </c>
      <c r="B23" s="2307"/>
      <c r="C23" s="575"/>
      <c r="D23" s="575"/>
      <c r="E23" s="575"/>
      <c r="F23" s="1766">
        <f>SUM(C23+D23)-E23</f>
        <v>0</v>
      </c>
      <c r="G23" s="547"/>
    </row>
    <row r="24" spans="1:11" ht="15.75" customHeight="1" thickTop="1" x14ac:dyDescent="0.2">
      <c r="A24" s="2318" t="s">
        <v>1175</v>
      </c>
      <c r="B24" s="2292"/>
      <c r="C24" s="2300"/>
      <c r="D24" s="2301"/>
      <c r="E24" s="2301"/>
      <c r="F24" s="2302"/>
    </row>
    <row r="25" spans="1:11" ht="13.5" thickBot="1" x14ac:dyDescent="0.25">
      <c r="A25" s="2306" t="s">
        <v>655</v>
      </c>
      <c r="B25" s="2307"/>
      <c r="C25" s="575"/>
      <c r="D25" s="575"/>
      <c r="E25" s="575"/>
      <c r="F25" s="1766">
        <f>SUM(C25+D25)-E25</f>
        <v>0</v>
      </c>
      <c r="G25" s="547"/>
    </row>
    <row r="26" spans="1:11" ht="15.75" customHeight="1" thickTop="1" x14ac:dyDescent="0.2">
      <c r="A26" s="2291" t="s">
        <v>678</v>
      </c>
      <c r="B26" s="2292"/>
      <c r="C26" s="717"/>
      <c r="D26" s="717"/>
      <c r="E26" s="717"/>
      <c r="F26" s="718"/>
    </row>
    <row r="27" spans="1:11" ht="13.5" thickBot="1" x14ac:dyDescent="0.25">
      <c r="A27" s="2293" t="s">
        <v>1130</v>
      </c>
      <c r="B27" s="2294"/>
      <c r="C27" s="578"/>
      <c r="D27" s="578"/>
      <c r="E27" s="578"/>
      <c r="F27" s="1766">
        <f>SUM(C27+D27)-E27</f>
        <v>0</v>
      </c>
      <c r="G27" s="547"/>
    </row>
    <row r="28" spans="1:11" ht="7.5" customHeight="1" thickTop="1" x14ac:dyDescent="0.2">
      <c r="A28" s="585"/>
    </row>
    <row r="29" spans="1:11" ht="23.25" customHeight="1" x14ac:dyDescent="0.2">
      <c r="A29" s="2319" t="s">
        <v>603</v>
      </c>
      <c r="B29" s="2296"/>
      <c r="C29" s="719"/>
      <c r="D29" s="719"/>
      <c r="E29" s="719"/>
      <c r="F29" s="719"/>
      <c r="G29" s="719"/>
      <c r="H29" s="719"/>
      <c r="I29" s="719"/>
      <c r="J29" s="719"/>
    </row>
    <row r="30" spans="1:11" ht="33.75" x14ac:dyDescent="0.2">
      <c r="A30" s="1540" t="s">
        <v>1131</v>
      </c>
      <c r="B30" s="720" t="s">
        <v>1186</v>
      </c>
      <c r="C30" s="1899" t="s">
        <v>604</v>
      </c>
      <c r="D30" s="1899" t="s">
        <v>1772</v>
      </c>
      <c r="E30" s="1899" t="s">
        <v>2037</v>
      </c>
      <c r="F30" s="1899" t="s">
        <v>2038</v>
      </c>
      <c r="G30" s="1899" t="s">
        <v>2041</v>
      </c>
      <c r="H30" s="1899" t="s">
        <v>2039</v>
      </c>
      <c r="I30" s="1899" t="s">
        <v>2040</v>
      </c>
      <c r="J30" s="1900" t="s">
        <v>2</v>
      </c>
      <c r="K30" s="721"/>
    </row>
    <row r="31" spans="1:11" ht="12" customHeight="1" x14ac:dyDescent="0.2">
      <c r="A31" s="722" t="s">
        <v>2089</v>
      </c>
      <c r="B31" s="723">
        <v>41627</v>
      </c>
      <c r="C31" s="724">
        <v>9540000</v>
      </c>
      <c r="D31" s="725">
        <v>6</v>
      </c>
      <c r="E31" s="724">
        <v>9540000</v>
      </c>
      <c r="F31" s="724"/>
      <c r="G31" s="724"/>
      <c r="H31" s="724"/>
      <c r="I31" s="1767">
        <f>((E31+F31)-H31)+G31</f>
        <v>9540000</v>
      </c>
      <c r="J31" s="724">
        <v>9404900</v>
      </c>
      <c r="K31" s="726"/>
    </row>
    <row r="32" spans="1:11" ht="12" customHeight="1" x14ac:dyDescent="0.2">
      <c r="A32" s="722" t="s">
        <v>2090</v>
      </c>
      <c r="B32" s="723">
        <v>41668</v>
      </c>
      <c r="C32" s="724">
        <v>9440000</v>
      </c>
      <c r="D32" s="725">
        <v>6</v>
      </c>
      <c r="E32" s="724">
        <v>6025000</v>
      </c>
      <c r="F32" s="724"/>
      <c r="G32" s="724"/>
      <c r="H32" s="724">
        <v>1855000</v>
      </c>
      <c r="I32" s="1767">
        <f>((E32+F32)-H32)+G32</f>
        <v>4170000</v>
      </c>
      <c r="J32" s="724">
        <v>3128962</v>
      </c>
      <c r="K32" s="726"/>
    </row>
    <row r="33" spans="1:11" ht="12" customHeight="1" x14ac:dyDescent="0.2">
      <c r="A33" s="722"/>
      <c r="B33" s="723"/>
      <c r="C33" s="724"/>
      <c r="D33" s="725"/>
      <c r="E33" s="724"/>
      <c r="F33" s="724"/>
      <c r="G33" s="724"/>
      <c r="H33" s="724"/>
      <c r="I33" s="1767">
        <f t="shared" ref="I33:I48" si="1">((E33+F33)-H33)+G33</f>
        <v>0</v>
      </c>
      <c r="J33" s="724"/>
      <c r="K33" s="726"/>
    </row>
    <row r="34" spans="1:11" ht="12" customHeight="1" x14ac:dyDescent="0.2">
      <c r="A34" s="722"/>
      <c r="B34" s="723"/>
      <c r="C34" s="724"/>
      <c r="D34" s="725"/>
      <c r="E34" s="724"/>
      <c r="F34" s="724"/>
      <c r="G34" s="724"/>
      <c r="H34" s="724"/>
      <c r="I34" s="1767">
        <f t="shared" si="1"/>
        <v>0</v>
      </c>
      <c r="J34" s="724"/>
      <c r="K34" s="727"/>
    </row>
    <row r="35" spans="1:11" ht="12" customHeight="1" x14ac:dyDescent="0.2">
      <c r="A35" s="722"/>
      <c r="B35" s="723"/>
      <c r="C35" s="728"/>
      <c r="D35" s="725"/>
      <c r="E35" s="728"/>
      <c r="F35" s="728"/>
      <c r="G35" s="728"/>
      <c r="H35" s="728"/>
      <c r="I35" s="1767">
        <f t="shared" si="1"/>
        <v>0</v>
      </c>
      <c r="J35" s="728"/>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18980000</v>
      </c>
      <c r="D49" s="735"/>
      <c r="E49" s="1767">
        <f t="shared" ref="E49:J49" si="2">SUM(E31:E48)</f>
        <v>15565000</v>
      </c>
      <c r="F49" s="1767">
        <f t="shared" si="2"/>
        <v>0</v>
      </c>
      <c r="G49" s="1767">
        <f t="shared" si="2"/>
        <v>0</v>
      </c>
      <c r="H49" s="1767">
        <f t="shared" si="2"/>
        <v>1855000</v>
      </c>
      <c r="I49" s="1767">
        <f t="shared" si="2"/>
        <v>13710000</v>
      </c>
      <c r="J49" s="1767">
        <f t="shared" si="2"/>
        <v>12533862</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310" t="s">
        <v>605</v>
      </c>
      <c r="C52" s="2311"/>
      <c r="D52" s="2311"/>
      <c r="E52" s="739" t="s">
        <v>900</v>
      </c>
      <c r="F52" s="2312"/>
      <c r="G52" s="2313"/>
      <c r="H52" s="726"/>
      <c r="I52" s="726"/>
      <c r="J52" s="736"/>
    </row>
    <row r="53" spans="1:11" ht="11.25" customHeight="1" x14ac:dyDescent="0.2">
      <c r="A53" s="740" t="s">
        <v>969</v>
      </c>
      <c r="B53" s="741" t="s">
        <v>1008</v>
      </c>
      <c r="C53" s="736"/>
      <c r="D53" s="727"/>
      <c r="E53" s="739" t="s">
        <v>518</v>
      </c>
      <c r="F53" s="2314"/>
      <c r="G53" s="2315"/>
      <c r="H53" s="726"/>
      <c r="I53" s="726"/>
      <c r="J53" s="736"/>
    </row>
    <row r="54" spans="1:11" ht="11.25" customHeight="1" x14ac:dyDescent="0.2">
      <c r="A54" s="742" t="s">
        <v>970</v>
      </c>
      <c r="B54" s="737" t="s">
        <v>1009</v>
      </c>
      <c r="C54" s="736"/>
      <c r="D54" s="727"/>
      <c r="E54" s="739" t="s">
        <v>519</v>
      </c>
      <c r="F54" s="2314"/>
      <c r="G54" s="2315"/>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1" colorId="8" zoomScale="110" zoomScaleNormal="110" workbookViewId="0">
      <selection activeCell="L28" sqref="L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44" t="s">
        <v>911</v>
      </c>
      <c r="B1" s="2345"/>
      <c r="C1" s="2345"/>
      <c r="D1" s="2345"/>
      <c r="E1" s="2345"/>
      <c r="F1" s="2345"/>
      <c r="G1" s="2346"/>
      <c r="H1" s="1541"/>
      <c r="I1" s="750"/>
      <c r="J1" s="433"/>
    </row>
    <row r="2" spans="1:11" ht="26.25" x14ac:dyDescent="0.2">
      <c r="A2" s="2323" t="s">
        <v>1776</v>
      </c>
      <c r="B2" s="2324"/>
      <c r="C2" s="2324"/>
      <c r="D2" s="2324"/>
      <c r="E2" s="2325"/>
      <c r="F2" s="751" t="s">
        <v>960</v>
      </c>
      <c r="G2" s="752" t="s">
        <v>1773</v>
      </c>
      <c r="H2" s="752" t="s">
        <v>430</v>
      </c>
      <c r="I2" s="752" t="s">
        <v>1220</v>
      </c>
      <c r="J2" s="752" t="s">
        <v>1916</v>
      </c>
      <c r="K2" s="752" t="s">
        <v>140</v>
      </c>
    </row>
    <row r="3" spans="1:11" x14ac:dyDescent="0.2">
      <c r="A3" s="2326" t="s">
        <v>1698</v>
      </c>
      <c r="B3" s="2327"/>
      <c r="C3" s="2327"/>
      <c r="D3" s="2327"/>
      <c r="E3" s="2328"/>
      <c r="F3" s="753"/>
      <c r="G3" s="754"/>
      <c r="H3" s="754"/>
      <c r="I3" s="754"/>
      <c r="J3" s="755"/>
      <c r="K3" s="755"/>
    </row>
    <row r="4" spans="1:11" x14ac:dyDescent="0.2">
      <c r="A4" s="2329" t="s">
        <v>387</v>
      </c>
      <c r="B4" s="2330"/>
      <c r="C4" s="2330"/>
      <c r="D4" s="2330"/>
      <c r="E4" s="2311"/>
      <c r="F4" s="756"/>
      <c r="G4" s="757"/>
      <c r="H4" s="758"/>
      <c r="I4" s="757"/>
      <c r="J4" s="759"/>
      <c r="K4" s="759"/>
    </row>
    <row r="5" spans="1:11" x14ac:dyDescent="0.2">
      <c r="A5" s="2347" t="s">
        <v>1129</v>
      </c>
      <c r="B5" s="2320"/>
      <c r="C5" s="2320"/>
      <c r="D5" s="2320"/>
      <c r="E5" s="2348"/>
      <c r="F5" s="760" t="s">
        <v>903</v>
      </c>
      <c r="G5" s="761"/>
      <c r="H5" s="754">
        <f>+'Tax Sched 23'!B14</f>
        <v>443289</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f>+'Revenues 9-14'!C101</f>
        <v>37910</v>
      </c>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f>+'Revenues 9-14'!C147</f>
        <v>113152</v>
      </c>
    </row>
    <row r="10" spans="1:11" x14ac:dyDescent="0.2">
      <c r="A10" s="2347" t="s">
        <v>1917</v>
      </c>
      <c r="B10" s="2320"/>
      <c r="C10" s="2320"/>
      <c r="D10" s="2320"/>
      <c r="E10" s="2349"/>
      <c r="F10" s="773" t="s">
        <v>917</v>
      </c>
      <c r="G10" s="772"/>
      <c r="H10" s="774"/>
      <c r="I10" s="754"/>
      <c r="J10" s="755"/>
      <c r="K10" s="755"/>
    </row>
    <row r="11" spans="1:11" x14ac:dyDescent="0.2">
      <c r="A11" s="2347" t="s">
        <v>162</v>
      </c>
      <c r="B11" s="2320"/>
      <c r="C11" s="2320"/>
      <c r="D11" s="2320"/>
      <c r="E11" s="2348"/>
      <c r="F11" s="760" t="s">
        <v>907</v>
      </c>
      <c r="G11" s="761"/>
      <c r="H11" s="754"/>
      <c r="I11" s="754"/>
      <c r="J11" s="755"/>
      <c r="K11" s="763"/>
    </row>
    <row r="12" spans="1:11" ht="13.5" thickBot="1" x14ac:dyDescent="0.25">
      <c r="A12" s="2337" t="s">
        <v>961</v>
      </c>
      <c r="B12" s="2338"/>
      <c r="C12" s="2338"/>
      <c r="D12" s="2338"/>
      <c r="E12" s="2339"/>
      <c r="F12" s="1768"/>
      <c r="G12" s="1769">
        <f>SUM(G5:G11)</f>
        <v>0</v>
      </c>
      <c r="H12" s="1769">
        <f>SUM(H5:H11)</f>
        <v>443289</v>
      </c>
      <c r="I12" s="1769">
        <f>SUM(I5:I11)</f>
        <v>0</v>
      </c>
      <c r="J12" s="1769">
        <f>SUM(J5:J11)</f>
        <v>0</v>
      </c>
      <c r="K12" s="1769">
        <f>SUM(K5:K11)</f>
        <v>151062</v>
      </c>
    </row>
    <row r="13" spans="1:11" ht="13.5" thickTop="1" x14ac:dyDescent="0.2">
      <c r="A13" s="2331" t="s">
        <v>388</v>
      </c>
      <c r="B13" s="2332"/>
      <c r="C13" s="2332"/>
      <c r="D13" s="2332"/>
      <c r="E13" s="2333"/>
      <c r="F13" s="775"/>
      <c r="G13" s="776"/>
      <c r="H13" s="777"/>
      <c r="I13" s="778"/>
      <c r="J13" s="778"/>
      <c r="K13" s="778"/>
    </row>
    <row r="14" spans="1:11" x14ac:dyDescent="0.2">
      <c r="A14" s="2353" t="s">
        <v>476</v>
      </c>
      <c r="B14" s="2353"/>
      <c r="C14" s="2353"/>
      <c r="D14" s="2353"/>
      <c r="E14" s="2354"/>
      <c r="F14" s="779" t="s">
        <v>909</v>
      </c>
      <c r="G14" s="772"/>
      <c r="H14" s="754">
        <f>+H5</f>
        <v>443289</v>
      </c>
      <c r="I14" s="761"/>
      <c r="J14" s="763"/>
      <c r="K14" s="755">
        <f>+K7+K9</f>
        <v>151062</v>
      </c>
    </row>
    <row r="15" spans="1:11" x14ac:dyDescent="0.2">
      <c r="A15" s="2320" t="s">
        <v>4</v>
      </c>
      <c r="B15" s="2320"/>
      <c r="C15" s="2320"/>
      <c r="D15" s="2320"/>
      <c r="E15" s="2348"/>
      <c r="F15" s="779" t="s">
        <v>910</v>
      </c>
      <c r="G15" s="761"/>
      <c r="H15" s="754"/>
      <c r="I15" s="754"/>
      <c r="J15" s="755"/>
      <c r="K15" s="755"/>
    </row>
    <row r="16" spans="1:11" x14ac:dyDescent="0.2">
      <c r="A16" s="2320" t="s">
        <v>316</v>
      </c>
      <c r="B16" s="2320"/>
      <c r="C16" s="2320"/>
      <c r="D16" s="2320"/>
      <c r="E16" s="2348"/>
      <c r="F16" s="779" t="s">
        <v>980</v>
      </c>
      <c r="G16" s="762"/>
      <c r="H16" s="757"/>
      <c r="I16" s="757"/>
      <c r="J16" s="759"/>
      <c r="K16" s="759"/>
    </row>
    <row r="17" spans="1:11" x14ac:dyDescent="0.2">
      <c r="A17" s="2342" t="s">
        <v>992</v>
      </c>
      <c r="B17" s="2342"/>
      <c r="C17" s="2342"/>
      <c r="D17" s="2342"/>
      <c r="E17" s="2343"/>
      <c r="F17" s="780"/>
      <c r="G17" s="781"/>
      <c r="H17" s="782"/>
      <c r="I17" s="782"/>
      <c r="J17" s="783"/>
      <c r="K17" s="784"/>
    </row>
    <row r="18" spans="1:11" x14ac:dyDescent="0.2">
      <c r="A18" s="2334" t="s">
        <v>386</v>
      </c>
      <c r="B18" s="2335"/>
      <c r="C18" s="2335"/>
      <c r="D18" s="2335"/>
      <c r="E18" s="2336"/>
      <c r="F18" s="779" t="s">
        <v>989</v>
      </c>
      <c r="G18" s="772"/>
      <c r="H18" s="772"/>
      <c r="I18" s="772"/>
      <c r="J18" s="755"/>
      <c r="K18" s="785"/>
    </row>
    <row r="19" spans="1:11" ht="21.75" customHeight="1" x14ac:dyDescent="0.2">
      <c r="A19" s="2355" t="s">
        <v>1913</v>
      </c>
      <c r="B19" s="2355"/>
      <c r="C19" s="2355"/>
      <c r="D19" s="2355"/>
      <c r="E19" s="2356"/>
      <c r="F19" s="779" t="s">
        <v>990</v>
      </c>
      <c r="G19" s="772"/>
      <c r="H19" s="772"/>
      <c r="I19" s="772"/>
      <c r="J19" s="755"/>
      <c r="K19" s="785"/>
    </row>
    <row r="20" spans="1:11" x14ac:dyDescent="0.2">
      <c r="A20" s="2334" t="s">
        <v>1918</v>
      </c>
      <c r="B20" s="2335"/>
      <c r="C20" s="2335"/>
      <c r="D20" s="2335"/>
      <c r="E20" s="2336"/>
      <c r="F20" s="779" t="s">
        <v>991</v>
      </c>
      <c r="G20" s="772"/>
      <c r="H20" s="772"/>
      <c r="I20" s="772"/>
      <c r="J20" s="755"/>
      <c r="K20" s="785"/>
    </row>
    <row r="21" spans="1:11" ht="13.5" thickBot="1" x14ac:dyDescent="0.25">
      <c r="A21" s="2340" t="s">
        <v>659</v>
      </c>
      <c r="B21" s="2340"/>
      <c r="C21" s="2340"/>
      <c r="D21" s="2340"/>
      <c r="E21" s="2340"/>
      <c r="F21" s="1770"/>
      <c r="G21" s="782"/>
      <c r="H21" s="786"/>
      <c r="I21" s="786"/>
      <c r="J21" s="1771">
        <f>SUM(J18:J20)</f>
        <v>0</v>
      </c>
      <c r="K21" s="783"/>
    </row>
    <row r="22" spans="1:11" ht="13.5" thickTop="1" x14ac:dyDescent="0.2">
      <c r="A22" s="2320" t="s">
        <v>1919</v>
      </c>
      <c r="B22" s="2320"/>
      <c r="C22" s="2320"/>
      <c r="D22" s="2320"/>
      <c r="E22" s="2348"/>
      <c r="F22" s="779" t="s">
        <v>917</v>
      </c>
      <c r="G22" s="772"/>
      <c r="H22" s="754"/>
      <c r="I22" s="754"/>
      <c r="J22" s="787"/>
      <c r="K22" s="755"/>
    </row>
    <row r="23" spans="1:11" ht="13.5" thickBot="1" x14ac:dyDescent="0.25">
      <c r="A23" s="2341" t="s">
        <v>962</v>
      </c>
      <c r="B23" s="2340"/>
      <c r="C23" s="2340"/>
      <c r="D23" s="2340"/>
      <c r="E23" s="2340"/>
      <c r="F23" s="1772"/>
      <c r="G23" s="1769">
        <f>SUM(G14:G16,G21,G22)</f>
        <v>0</v>
      </c>
      <c r="H23" s="1769">
        <f>SUM(H14:H16,H21,H22)</f>
        <v>443289</v>
      </c>
      <c r="I23" s="1769">
        <f>SUM(I14:I16,I21,I22)</f>
        <v>0</v>
      </c>
      <c r="J23" s="1769">
        <f>SUM(J14:J16,J21,J22)</f>
        <v>0</v>
      </c>
      <c r="K23" s="1769">
        <f>SUM(K14:K16,K21,K22)</f>
        <v>151062</v>
      </c>
    </row>
    <row r="24" spans="1:11" ht="14.25" thickTop="1" thickBot="1" x14ac:dyDescent="0.25">
      <c r="A24" s="2341" t="s">
        <v>2023</v>
      </c>
      <c r="B24" s="2340"/>
      <c r="C24" s="2340"/>
      <c r="D24" s="2340"/>
      <c r="E24" s="2340"/>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2033</v>
      </c>
      <c r="B28" s="1895"/>
      <c r="C28" s="1895"/>
      <c r="D28" s="1895"/>
      <c r="E28" s="1896"/>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350"/>
      <c r="I31" s="2351"/>
      <c r="J31" s="2351"/>
      <c r="K31" s="2351"/>
    </row>
    <row r="32" spans="1:11" x14ac:dyDescent="0.2">
      <c r="A32" s="799"/>
      <c r="B32" s="237"/>
      <c r="C32" s="237"/>
      <c r="D32" s="237"/>
      <c r="E32" s="795"/>
      <c r="F32" s="801" t="s">
        <v>561</v>
      </c>
      <c r="G32" s="754"/>
      <c r="H32" s="2352"/>
      <c r="I32" s="2351"/>
      <c r="J32" s="2351"/>
      <c r="K32" s="2351"/>
    </row>
    <row r="33" spans="1:11" ht="1.5" customHeight="1" x14ac:dyDescent="0.2">
      <c r="A33" s="802" t="s">
        <v>1231</v>
      </c>
      <c r="B33" s="364"/>
      <c r="C33" s="364"/>
      <c r="D33" s="364"/>
      <c r="E33" s="364"/>
      <c r="F33" s="364"/>
      <c r="G33" s="803"/>
      <c r="H33" s="2352"/>
      <c r="I33" s="2351"/>
      <c r="J33" s="2351"/>
      <c r="K33" s="2351"/>
    </row>
    <row r="34" spans="1:11" x14ac:dyDescent="0.2">
      <c r="A34" s="804" t="s">
        <v>1920</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320" t="s">
        <v>562</v>
      </c>
      <c r="B41" s="2321"/>
      <c r="C41" s="2321"/>
      <c r="D41" s="2321"/>
      <c r="E41" s="2321"/>
      <c r="F41" s="2322"/>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1914</v>
      </c>
      <c r="B46" s="408" t="s">
        <v>1774</v>
      </c>
    </row>
    <row r="47" spans="1:11" s="813" customFormat="1" ht="12.75" customHeight="1" x14ac:dyDescent="0.2">
      <c r="A47" s="811"/>
      <c r="B47" s="812" t="s">
        <v>1775</v>
      </c>
      <c r="E47" s="812"/>
      <c r="K47" s="814"/>
    </row>
    <row r="48" spans="1:11" ht="12.75" customHeight="1" x14ac:dyDescent="0.2">
      <c r="A48" s="154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L28" sqref="L28"/>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59" t="s">
        <v>2032</v>
      </c>
      <c r="B1" s="2360"/>
      <c r="C1" s="2361"/>
      <c r="D1" s="816"/>
      <c r="E1" s="817"/>
      <c r="F1" s="817"/>
      <c r="G1" s="818"/>
      <c r="H1" s="819"/>
      <c r="I1" s="820"/>
      <c r="J1" s="2357"/>
      <c r="K1" s="2358"/>
      <c r="L1" s="2358"/>
    </row>
    <row r="2" spans="1:14" ht="69.75" customHeight="1" x14ac:dyDescent="0.2">
      <c r="A2" s="821" t="s">
        <v>1777</v>
      </c>
      <c r="B2" s="822" t="s">
        <v>396</v>
      </c>
      <c r="C2" s="823" t="s">
        <v>2027</v>
      </c>
      <c r="D2" s="823" t="s">
        <v>2024</v>
      </c>
      <c r="E2" s="823" t="s">
        <v>2025</v>
      </c>
      <c r="F2" s="823" t="s">
        <v>2026</v>
      </c>
      <c r="G2" s="823" t="s">
        <v>626</v>
      </c>
      <c r="H2" s="823" t="s">
        <v>2028</v>
      </c>
      <c r="I2" s="823" t="s">
        <v>2029</v>
      </c>
      <c r="J2" s="823" t="s">
        <v>2044</v>
      </c>
      <c r="K2" s="823" t="s">
        <v>2030</v>
      </c>
      <c r="L2" s="823" t="s">
        <v>2031</v>
      </c>
      <c r="M2" s="824"/>
      <c r="N2" s="824"/>
    </row>
    <row r="3" spans="1:14" ht="13.5" thickBot="1" x14ac:dyDescent="0.25">
      <c r="A3" s="1640" t="s">
        <v>948</v>
      </c>
      <c r="B3" s="1641">
        <v>210</v>
      </c>
      <c r="C3" s="825">
        <v>0</v>
      </c>
      <c r="D3" s="825">
        <v>0</v>
      </c>
      <c r="E3" s="825">
        <v>0</v>
      </c>
      <c r="F3" s="1771">
        <f>(C3+D3)-E3</f>
        <v>0</v>
      </c>
      <c r="G3" s="826"/>
      <c r="H3" s="825">
        <v>0</v>
      </c>
      <c r="I3" s="825">
        <v>0</v>
      </c>
      <c r="J3" s="825">
        <v>0</v>
      </c>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1130500</v>
      </c>
      <c r="D5" s="831">
        <v>0</v>
      </c>
      <c r="E5" s="831">
        <v>0</v>
      </c>
      <c r="F5" s="1771">
        <f>(C5+D5)-E5</f>
        <v>1130500</v>
      </c>
      <c r="G5" s="827"/>
      <c r="H5" s="832"/>
      <c r="I5" s="832"/>
      <c r="J5" s="832"/>
      <c r="K5" s="783"/>
      <c r="L5" s="1780">
        <f>F5-K5</f>
        <v>1130500</v>
      </c>
    </row>
    <row r="6" spans="1:14" ht="14.25" thickTop="1" thickBot="1" x14ac:dyDescent="0.25">
      <c r="A6" s="768" t="s">
        <v>1179</v>
      </c>
      <c r="B6" s="830">
        <v>222</v>
      </c>
      <c r="C6" s="755">
        <v>0</v>
      </c>
      <c r="D6" s="755">
        <v>0</v>
      </c>
      <c r="E6" s="755">
        <v>0</v>
      </c>
      <c r="F6" s="1771">
        <f>(C6+D6)-E6</f>
        <v>0</v>
      </c>
      <c r="G6" s="827">
        <v>50</v>
      </c>
      <c r="H6" s="755">
        <v>0</v>
      </c>
      <c r="I6" s="755">
        <v>0</v>
      </c>
      <c r="J6" s="755">
        <v>0</v>
      </c>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88129579</v>
      </c>
      <c r="D8" s="834">
        <v>1203512</v>
      </c>
      <c r="E8" s="834">
        <v>0</v>
      </c>
      <c r="F8" s="1771">
        <f>(C8+D8)-E8</f>
        <v>89333091</v>
      </c>
      <c r="G8" s="833">
        <v>50</v>
      </c>
      <c r="H8" s="755">
        <v>35014718</v>
      </c>
      <c r="I8" s="755">
        <v>2282233</v>
      </c>
      <c r="J8" s="755">
        <v>0</v>
      </c>
      <c r="K8" s="1780">
        <f>(H8+I8)-J8</f>
        <v>37296951</v>
      </c>
      <c r="L8" s="1780">
        <f>F8-K8</f>
        <v>52036140</v>
      </c>
    </row>
    <row r="9" spans="1:14" ht="14.25" thickTop="1" thickBot="1" x14ac:dyDescent="0.25">
      <c r="A9" s="768" t="s">
        <v>1181</v>
      </c>
      <c r="B9" s="830">
        <v>232</v>
      </c>
      <c r="C9" s="755">
        <v>0</v>
      </c>
      <c r="D9" s="755">
        <v>0</v>
      </c>
      <c r="E9" s="755">
        <v>0</v>
      </c>
      <c r="F9" s="1771">
        <f>(C9+D9)-E9</f>
        <v>0</v>
      </c>
      <c r="G9" s="833">
        <v>20</v>
      </c>
      <c r="H9" s="755">
        <v>0</v>
      </c>
      <c r="I9" s="755">
        <v>0</v>
      </c>
      <c r="J9" s="755">
        <v>0</v>
      </c>
      <c r="K9" s="1780">
        <f>(H9+I9)-J9</f>
        <v>0</v>
      </c>
      <c r="L9" s="1780">
        <f>F9-K9</f>
        <v>0</v>
      </c>
    </row>
    <row r="10" spans="1:14" ht="24" thickTop="1" thickBot="1" x14ac:dyDescent="0.25">
      <c r="A10" s="835" t="s">
        <v>1182</v>
      </c>
      <c r="B10" s="830">
        <v>240</v>
      </c>
      <c r="C10" s="836">
        <v>5390020</v>
      </c>
      <c r="D10" s="836">
        <v>0</v>
      </c>
      <c r="E10" s="836">
        <v>0</v>
      </c>
      <c r="F10" s="1775">
        <f>(C10+D10)-E10</f>
        <v>5390020</v>
      </c>
      <c r="G10" s="833">
        <v>20</v>
      </c>
      <c r="H10" s="837">
        <v>2795215</v>
      </c>
      <c r="I10" s="837">
        <v>199414</v>
      </c>
      <c r="J10" s="837">
        <v>0</v>
      </c>
      <c r="K10" s="1780">
        <f>(H10+I10)-J10</f>
        <v>2994629</v>
      </c>
      <c r="L10" s="1780">
        <f>F10-K10</f>
        <v>2395391</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17683089</v>
      </c>
      <c r="D12" s="834">
        <f>254667+13929</f>
        <v>268596</v>
      </c>
      <c r="E12" s="834">
        <v>56289</v>
      </c>
      <c r="F12" s="1771">
        <f>(C12+D12)-E12</f>
        <v>17895396</v>
      </c>
      <c r="G12" s="833">
        <v>10</v>
      </c>
      <c r="H12" s="755">
        <v>13480418</v>
      </c>
      <c r="I12" s="755">
        <v>923617</v>
      </c>
      <c r="J12" s="755">
        <v>54437</v>
      </c>
      <c r="K12" s="1780">
        <f>(H12+I12)-J12</f>
        <v>14349598</v>
      </c>
      <c r="L12" s="1780">
        <f>F12-K12</f>
        <v>3545798</v>
      </c>
    </row>
    <row r="13" spans="1:14" ht="14.25" thickTop="1" thickBot="1" x14ac:dyDescent="0.25">
      <c r="A13" s="838" t="s">
        <v>1184</v>
      </c>
      <c r="B13" s="830">
        <v>252</v>
      </c>
      <c r="C13" s="834">
        <v>0</v>
      </c>
      <c r="D13" s="834">
        <v>0</v>
      </c>
      <c r="E13" s="834">
        <v>0</v>
      </c>
      <c r="F13" s="1771">
        <f>(C13+D13)-E13</f>
        <v>0</v>
      </c>
      <c r="G13" s="833">
        <v>5</v>
      </c>
      <c r="H13" s="755">
        <v>0</v>
      </c>
      <c r="I13" s="755">
        <v>0</v>
      </c>
      <c r="J13" s="755">
        <v>0</v>
      </c>
      <c r="K13" s="1780">
        <f>(H13+I13)-J13</f>
        <v>0</v>
      </c>
      <c r="L13" s="1780">
        <f>F13-K13</f>
        <v>0</v>
      </c>
    </row>
    <row r="14" spans="1:14" ht="14.25" thickTop="1" thickBot="1" x14ac:dyDescent="0.25">
      <c r="A14" s="838" t="s">
        <v>1185</v>
      </c>
      <c r="B14" s="830">
        <v>253</v>
      </c>
      <c r="C14" s="755">
        <v>0</v>
      </c>
      <c r="D14" s="755">
        <v>0</v>
      </c>
      <c r="E14" s="755">
        <v>0</v>
      </c>
      <c r="F14" s="1771">
        <f>(C14+D14)-E14</f>
        <v>0</v>
      </c>
      <c r="G14" s="833">
        <v>3</v>
      </c>
      <c r="H14" s="755">
        <v>0</v>
      </c>
      <c r="I14" s="755">
        <v>0</v>
      </c>
      <c r="J14" s="755">
        <v>0</v>
      </c>
      <c r="K14" s="1780">
        <f>(H14+I14)-J14</f>
        <v>0</v>
      </c>
      <c r="L14" s="1780">
        <f>F14-K14</f>
        <v>0</v>
      </c>
    </row>
    <row r="15" spans="1:14" ht="15" customHeight="1" thickTop="1" thickBot="1" x14ac:dyDescent="0.25">
      <c r="A15" s="1642" t="s">
        <v>549</v>
      </c>
      <c r="B15" s="1641">
        <v>260</v>
      </c>
      <c r="C15" s="834">
        <v>571276</v>
      </c>
      <c r="D15" s="834">
        <v>0</v>
      </c>
      <c r="E15" s="834">
        <v>571276</v>
      </c>
      <c r="F15" s="1771">
        <f>(C15+D15)-E15</f>
        <v>0</v>
      </c>
      <c r="G15" s="839" t="s">
        <v>917</v>
      </c>
      <c r="H15" s="771"/>
      <c r="I15" s="771"/>
      <c r="J15" s="771"/>
      <c r="K15" s="771"/>
      <c r="L15" s="1780">
        <f>F15-K15</f>
        <v>0</v>
      </c>
    </row>
    <row r="16" spans="1:14" ht="15" customHeight="1" thickTop="1" thickBot="1" x14ac:dyDescent="0.25">
      <c r="A16" s="1776" t="s">
        <v>664</v>
      </c>
      <c r="B16" s="1777">
        <v>200</v>
      </c>
      <c r="C16" s="1771">
        <f>SUM(C3,C5:C6,C8:C10,C12:C15)</f>
        <v>112904464</v>
      </c>
      <c r="D16" s="1771">
        <f>SUM(D3,D5:D6,D8:D10,D12:D15)</f>
        <v>1472108</v>
      </c>
      <c r="E16" s="1771">
        <f>SUM(E3,E5:E6,E8:E10,E12:E15)</f>
        <v>627565</v>
      </c>
      <c r="F16" s="1771">
        <f>SUM(F3,F5:F6,F8:F10,F12:F15)</f>
        <v>113749007</v>
      </c>
      <c r="G16" s="833"/>
      <c r="H16" s="1771">
        <f>SUM(H3,H6,H8:H10,H12:H14,)</f>
        <v>51290351</v>
      </c>
      <c r="I16" s="1771">
        <f>SUM(I3,I6,I8:I10,I12:I14,)</f>
        <v>3405264</v>
      </c>
      <c r="J16" s="1771">
        <f>SUM(J3,J6,J8:J10,J12:J14,)</f>
        <v>54437</v>
      </c>
      <c r="K16" s="1771">
        <f>(H16+I16)-J16</f>
        <v>54641178</v>
      </c>
      <c r="L16" s="1771">
        <f>F16-K16</f>
        <v>59107829</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0</v>
      </c>
      <c r="G17" s="827">
        <v>10</v>
      </c>
      <c r="H17" s="759"/>
      <c r="I17" s="1780">
        <f>F17/G17</f>
        <v>0</v>
      </c>
      <c r="J17" s="759"/>
      <c r="K17" s="785"/>
      <c r="L17" s="785"/>
    </row>
    <row r="18" spans="1:12" ht="14.25" thickTop="1" thickBot="1" x14ac:dyDescent="0.25">
      <c r="A18" s="1778" t="s">
        <v>706</v>
      </c>
      <c r="B18" s="1779"/>
      <c r="C18" s="761"/>
      <c r="D18" s="761"/>
      <c r="E18" s="761"/>
      <c r="F18" s="840"/>
      <c r="G18" s="841"/>
      <c r="H18" s="763"/>
      <c r="I18" s="1771">
        <f>SUM(I16,I17)</f>
        <v>3405264</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F70" sqref="F70"/>
      <selection pane="bottomLeft" activeCell="F70" sqref="F70"/>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65" t="s">
        <v>1699</v>
      </c>
      <c r="B1" s="2366"/>
      <c r="C1" s="2366"/>
      <c r="D1" s="2366"/>
      <c r="E1" s="2366"/>
      <c r="F1" s="2367"/>
      <c r="G1" s="845"/>
    </row>
    <row r="2" spans="1:7" ht="15" customHeight="1" thickBot="1" x14ac:dyDescent="0.25">
      <c r="A2" s="2368" t="s">
        <v>498</v>
      </c>
      <c r="B2" s="2369"/>
      <c r="C2" s="2369"/>
      <c r="D2" s="2369"/>
      <c r="E2" s="2369"/>
      <c r="F2" s="2370"/>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371"/>
      <c r="B5" s="2372"/>
      <c r="C5" s="2372"/>
      <c r="D5" s="2372"/>
      <c r="E5" s="2372"/>
      <c r="F5" s="2372"/>
    </row>
    <row r="6" spans="1:7" ht="13.5" customHeight="1" thickBot="1" x14ac:dyDescent="0.25">
      <c r="A6" s="2362" t="s">
        <v>1166</v>
      </c>
      <c r="B6" s="2363"/>
      <c r="C6" s="2363"/>
      <c r="D6" s="2363"/>
      <c r="E6" s="2363"/>
      <c r="F6" s="2364"/>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3">
        <f>'Expenditures 15-22'!K114</f>
        <v>60695549</v>
      </c>
      <c r="G8" s="855"/>
    </row>
    <row r="9" spans="1:7" x14ac:dyDescent="0.2">
      <c r="A9" s="859" t="s">
        <v>480</v>
      </c>
      <c r="B9" s="860" t="s">
        <v>1986</v>
      </c>
      <c r="C9" s="861"/>
      <c r="D9" s="859" t="s">
        <v>522</v>
      </c>
      <c r="E9" s="858"/>
      <c r="F9" s="1924">
        <f>'Expenditures 15-22'!K151</f>
        <v>7808297</v>
      </c>
      <c r="G9" s="862"/>
    </row>
    <row r="10" spans="1:7" x14ac:dyDescent="0.2">
      <c r="A10" s="859" t="s">
        <v>520</v>
      </c>
      <c r="B10" s="860" t="s">
        <v>1987</v>
      </c>
      <c r="C10" s="861"/>
      <c r="D10" s="859" t="s">
        <v>522</v>
      </c>
      <c r="E10" s="858"/>
      <c r="F10" s="1924">
        <f>'Expenditures 15-22'!K174</f>
        <v>2363265</v>
      </c>
      <c r="G10" s="862"/>
    </row>
    <row r="11" spans="1:7" x14ac:dyDescent="0.2">
      <c r="A11" s="859" t="s">
        <v>481</v>
      </c>
      <c r="B11" s="860" t="s">
        <v>1988</v>
      </c>
      <c r="C11" s="861"/>
      <c r="D11" s="859" t="s">
        <v>522</v>
      </c>
      <c r="E11" s="858"/>
      <c r="F11" s="1924">
        <f>'Expenditures 15-22'!K210</f>
        <v>2705724</v>
      </c>
      <c r="G11" s="862"/>
    </row>
    <row r="12" spans="1:7" x14ac:dyDescent="0.2">
      <c r="A12" s="859" t="s">
        <v>482</v>
      </c>
      <c r="B12" s="860" t="s">
        <v>1989</v>
      </c>
      <c r="C12" s="861"/>
      <c r="D12" s="859" t="s">
        <v>522</v>
      </c>
      <c r="E12" s="858"/>
      <c r="F12" s="1924">
        <f>'Expenditures 15-22'!K295</f>
        <v>2462350</v>
      </c>
      <c r="G12" s="862"/>
    </row>
    <row r="13" spans="1:7" x14ac:dyDescent="0.2">
      <c r="A13" s="859" t="s">
        <v>108</v>
      </c>
      <c r="B13" s="860" t="s">
        <v>1990</v>
      </c>
      <c r="C13" s="861"/>
      <c r="D13" s="859" t="s">
        <v>522</v>
      </c>
      <c r="E13" s="858"/>
      <c r="F13" s="1924">
        <f>'Expenditures 15-22'!K342</f>
        <v>0</v>
      </c>
      <c r="G13" s="863"/>
    </row>
    <row r="14" spans="1:7" ht="12" customHeight="1" thickBot="1" x14ac:dyDescent="0.25">
      <c r="A14" s="1781"/>
      <c r="B14" s="1782"/>
      <c r="C14" s="1783"/>
      <c r="D14" s="1784" t="s">
        <v>522</v>
      </c>
      <c r="E14" s="1785" t="s">
        <v>1015</v>
      </c>
      <c r="F14" s="1786">
        <f>SUM(F8:F13)</f>
        <v>76035185</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5">
        <f>'Revenues 9-14'!F43</f>
        <v>0</v>
      </c>
      <c r="G18" s="855"/>
    </row>
    <row r="19" spans="1:7" x14ac:dyDescent="0.2">
      <c r="A19" s="859" t="s">
        <v>481</v>
      </c>
      <c r="B19" s="860" t="s">
        <v>1069</v>
      </c>
      <c r="C19" s="867">
        <f>'Revenues 9-14'!B47</f>
        <v>1421</v>
      </c>
      <c r="D19" s="868" t="str">
        <f>'Revenues 9-14'!A47</f>
        <v>Summer Sch - Transp. Fees from Pupils or Parents (In State)</v>
      </c>
      <c r="E19" s="869"/>
      <c r="F19" s="1926">
        <f>'Revenues 9-14'!F47</f>
        <v>0</v>
      </c>
      <c r="G19" s="855"/>
    </row>
    <row r="20" spans="1:7" x14ac:dyDescent="0.2">
      <c r="A20" s="859" t="s">
        <v>481</v>
      </c>
      <c r="B20" s="860" t="s">
        <v>1070</v>
      </c>
      <c r="C20" s="865">
        <f>'Revenues 9-14'!B48</f>
        <v>1422</v>
      </c>
      <c r="D20" s="866" t="str">
        <f>'Revenues 9-14'!A48</f>
        <v>Summer Sch - Transp. Fees from Other Districts (In State)</v>
      </c>
      <c r="E20" s="858"/>
      <c r="F20" s="1927">
        <f>'Revenues 9-14'!F48</f>
        <v>0</v>
      </c>
      <c r="G20" s="855"/>
    </row>
    <row r="21" spans="1:7" x14ac:dyDescent="0.2">
      <c r="A21" s="859" t="s">
        <v>481</v>
      </c>
      <c r="B21" s="860" t="s">
        <v>1071</v>
      </c>
      <c r="C21" s="867">
        <f>'Revenues 9-14'!B49</f>
        <v>1423</v>
      </c>
      <c r="D21" s="866" t="str">
        <f>'Revenues 9-14'!A49</f>
        <v>Summer Sch - Transp. Fees from Other Sources (In State)</v>
      </c>
      <c r="E21" s="858"/>
      <c r="F21" s="1928">
        <f>'Revenues 9-14'!F49</f>
        <v>0</v>
      </c>
      <c r="G21" s="855"/>
    </row>
    <row r="22" spans="1:7" x14ac:dyDescent="0.2">
      <c r="A22" s="859" t="s">
        <v>481</v>
      </c>
      <c r="B22" s="860" t="s">
        <v>1072</v>
      </c>
      <c r="C22" s="867">
        <f>'Revenues 9-14'!B50</f>
        <v>1424</v>
      </c>
      <c r="D22" s="866" t="str">
        <f>'Revenues 9-14'!A50</f>
        <v>Summer Sch - Transp. Fees from Other Sources (Out of State)</v>
      </c>
      <c r="E22" s="858"/>
      <c r="F22" s="1928">
        <f>'Revenues 9-14'!F50</f>
        <v>0</v>
      </c>
      <c r="G22" s="855"/>
    </row>
    <row r="23" spans="1:7" x14ac:dyDescent="0.2">
      <c r="A23" s="859" t="s">
        <v>481</v>
      </c>
      <c r="B23" s="860" t="s">
        <v>1073</v>
      </c>
      <c r="C23" s="865">
        <f>'Revenues 9-14'!B52</f>
        <v>1432</v>
      </c>
      <c r="D23" s="866" t="str">
        <f>'Revenues 9-14'!A52</f>
        <v>CTE - Transp Fees from Other Districts (In State)</v>
      </c>
      <c r="E23" s="858"/>
      <c r="F23" s="1928">
        <f>'Revenues 9-14'!F52</f>
        <v>0</v>
      </c>
      <c r="G23" s="855"/>
    </row>
    <row r="24" spans="1:7" x14ac:dyDescent="0.2">
      <c r="A24" s="859" t="s">
        <v>481</v>
      </c>
      <c r="B24" s="860" t="s">
        <v>1074</v>
      </c>
      <c r="C24" s="865">
        <f>'Revenues 9-14'!B56</f>
        <v>1442</v>
      </c>
      <c r="D24" s="866" t="str">
        <f>'Revenues 9-14'!A56</f>
        <v>Special Ed - Transp Fees from Other Districts (In State)</v>
      </c>
      <c r="E24" s="858"/>
      <c r="F24" s="1928">
        <f>'Revenues 9-14'!F56</f>
        <v>0</v>
      </c>
      <c r="G24" s="855"/>
    </row>
    <row r="25" spans="1:7" x14ac:dyDescent="0.2">
      <c r="A25" s="859" t="s">
        <v>481</v>
      </c>
      <c r="B25" s="860" t="s">
        <v>1075</v>
      </c>
      <c r="C25" s="865">
        <f>'Revenues 9-14'!B59</f>
        <v>1451</v>
      </c>
      <c r="D25" s="866" t="str">
        <f>'Revenues 9-14'!A59</f>
        <v>Adult - Transp Fees from Pupils or Parents (In State)</v>
      </c>
      <c r="E25" s="858"/>
      <c r="F25" s="1928">
        <f>'Revenues 9-14'!F59</f>
        <v>0</v>
      </c>
      <c r="G25" s="855"/>
    </row>
    <row r="26" spans="1:7" x14ac:dyDescent="0.2">
      <c r="A26" s="859" t="s">
        <v>481</v>
      </c>
      <c r="B26" s="860" t="s">
        <v>1076</v>
      </c>
      <c r="C26" s="865">
        <f>'Revenues 9-14'!B60</f>
        <v>1452</v>
      </c>
      <c r="D26" s="866" t="str">
        <f>'Revenues 9-14'!A60</f>
        <v>Adult - Transp Fees from Other Districts (In State)</v>
      </c>
      <c r="E26" s="858"/>
      <c r="F26" s="1928">
        <f>'Revenues 9-14'!F60</f>
        <v>0</v>
      </c>
      <c r="G26" s="855"/>
    </row>
    <row r="27" spans="1:7" x14ac:dyDescent="0.2">
      <c r="A27" s="859" t="s">
        <v>481</v>
      </c>
      <c r="B27" s="860" t="s">
        <v>1077</v>
      </c>
      <c r="C27" s="865">
        <f>'Revenues 9-14'!B61</f>
        <v>1453</v>
      </c>
      <c r="D27" s="866" t="str">
        <f>'Revenues 9-14'!A61</f>
        <v>Adult - Transp Fees from Other Sources (In State)</v>
      </c>
      <c r="E27" s="858"/>
      <c r="F27" s="1928">
        <f>'Revenues 9-14'!F61</f>
        <v>0</v>
      </c>
      <c r="G27" s="855"/>
    </row>
    <row r="28" spans="1:7" x14ac:dyDescent="0.2">
      <c r="A28" s="859" t="s">
        <v>481</v>
      </c>
      <c r="B28" s="860" t="s">
        <v>1078</v>
      </c>
      <c r="C28" s="865">
        <f>'Revenues 9-14'!B62</f>
        <v>1454</v>
      </c>
      <c r="D28" s="866" t="str">
        <f>'Revenues 9-14'!A62</f>
        <v>Adult - Transp Fees from Other Sources (Out of State)</v>
      </c>
      <c r="E28" s="858"/>
      <c r="F28" s="1928">
        <f>'Revenues 9-14'!F62</f>
        <v>0</v>
      </c>
      <c r="G28" s="855"/>
    </row>
    <row r="29" spans="1:7" x14ac:dyDescent="0.2">
      <c r="A29" s="859" t="s">
        <v>1159</v>
      </c>
      <c r="B29" s="860" t="s">
        <v>1683</v>
      </c>
      <c r="C29" s="870">
        <f>'Revenues 9-14'!B148</f>
        <v>3410</v>
      </c>
      <c r="D29" s="871" t="str">
        <f>'Revenues 9-14'!A148</f>
        <v>Adult Ed (from ICCB)</v>
      </c>
      <c r="E29" s="858"/>
      <c r="F29" s="1928">
        <f>SUM('Revenues 9-14'!D148,F149)</f>
        <v>0</v>
      </c>
      <c r="G29" s="855"/>
    </row>
    <row r="30" spans="1:7" x14ac:dyDescent="0.2">
      <c r="A30" s="859" t="s">
        <v>1159</v>
      </c>
      <c r="B30" s="860" t="s">
        <v>861</v>
      </c>
      <c r="C30" s="870">
        <f>'Revenues 9-14'!B149</f>
        <v>3499</v>
      </c>
      <c r="D30" s="871" t="str">
        <f>'Revenues 9-14'!A149</f>
        <v>Adult Ed - Other (Describe &amp; Itemize)</v>
      </c>
      <c r="E30" s="858"/>
      <c r="F30" s="1929">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8">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8">
        <f>SUM('Revenues 9-14'!D219,'Revenues 9-14'!F219)</f>
        <v>0</v>
      </c>
      <c r="G32" s="855"/>
    </row>
    <row r="33" spans="1:7" x14ac:dyDescent="0.2">
      <c r="A33" s="859" t="s">
        <v>480</v>
      </c>
      <c r="B33" s="860" t="s">
        <v>801</v>
      </c>
      <c r="C33" s="865">
        <f>'Revenues 9-14'!B229</f>
        <v>4810</v>
      </c>
      <c r="D33" s="873" t="str">
        <f>'Revenues 9-14'!A229</f>
        <v>Federal - Adult Education</v>
      </c>
      <c r="E33" s="858"/>
      <c r="F33" s="1928">
        <f>'Revenues 9-14'!D229</f>
        <v>0</v>
      </c>
      <c r="G33" s="855"/>
    </row>
    <row r="34" spans="1:7" x14ac:dyDescent="0.2">
      <c r="A34" s="859" t="s">
        <v>479</v>
      </c>
      <c r="B34" s="859" t="s">
        <v>1545</v>
      </c>
      <c r="C34" s="876" t="str">
        <f>'Expenditures 15-22'!B7</f>
        <v>1125</v>
      </c>
      <c r="D34" s="877" t="str">
        <f>'Expenditures 15-22'!A7</f>
        <v>Pre-K Programs</v>
      </c>
      <c r="E34" s="858"/>
      <c r="F34" s="1928">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8">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8">
        <f>'Expenditures 15-22'!K12-SUM('Expenditures 15-22'!G12+'Expenditures 15-22'!I12)</f>
        <v>119468</v>
      </c>
      <c r="G37" s="855"/>
    </row>
    <row r="38" spans="1:7" x14ac:dyDescent="0.2">
      <c r="A38" s="859" t="s">
        <v>479</v>
      </c>
      <c r="B38" s="859" t="s">
        <v>1548</v>
      </c>
      <c r="C38" s="876">
        <f>'Expenditures 15-22'!B15</f>
        <v>1600</v>
      </c>
      <c r="D38" s="878" t="str">
        <f>'Expenditures 15-22'!A15</f>
        <v>Summer School Programs</v>
      </c>
      <c r="E38" s="858"/>
      <c r="F38" s="1928">
        <f>'Expenditures 15-22'!K15-SUM('Expenditures 15-22'!G15,'Expenditures 15-22'!I15)</f>
        <v>300571</v>
      </c>
      <c r="G38" s="855"/>
    </row>
    <row r="39" spans="1:7" x14ac:dyDescent="0.2">
      <c r="A39" s="859" t="s">
        <v>479</v>
      </c>
      <c r="B39" s="859" t="s">
        <v>119</v>
      </c>
      <c r="C39" s="876" t="str">
        <f>'Expenditures 15-22'!B20</f>
        <v>1910</v>
      </c>
      <c r="D39" s="878" t="str">
        <f>'Expenditures 15-22'!A20</f>
        <v>Pre-K Programs - Private Tuition</v>
      </c>
      <c r="E39" s="858"/>
      <c r="F39" s="1928">
        <f>'Expenditures 15-22'!K20</f>
        <v>0</v>
      </c>
      <c r="G39" s="855"/>
    </row>
    <row r="40" spans="1:7" x14ac:dyDescent="0.2">
      <c r="A40" s="859" t="s">
        <v>479</v>
      </c>
      <c r="B40" s="859" t="s">
        <v>120</v>
      </c>
      <c r="C40" s="876" t="str">
        <f>'Expenditures 15-22'!B21</f>
        <v>1911</v>
      </c>
      <c r="D40" s="878" t="str">
        <f>'Expenditures 15-22'!A21</f>
        <v>Regular K-12 Programs - Private Tuition</v>
      </c>
      <c r="E40" s="858"/>
      <c r="F40" s="1928">
        <f>'Expenditures 15-22'!K21</f>
        <v>257055</v>
      </c>
      <c r="G40" s="855"/>
    </row>
    <row r="41" spans="1:7" x14ac:dyDescent="0.2">
      <c r="A41" s="859" t="s">
        <v>479</v>
      </c>
      <c r="B41" s="859" t="s">
        <v>121</v>
      </c>
      <c r="C41" s="876" t="str">
        <f>'Expenditures 15-22'!B22</f>
        <v>1912</v>
      </c>
      <c r="D41" s="878" t="str">
        <f>'Expenditures 15-22'!A22</f>
        <v>Special Education Programs K-12 - Private Tuition</v>
      </c>
      <c r="E41" s="858"/>
      <c r="F41" s="1928">
        <f>'Expenditures 15-22'!K22</f>
        <v>2807003</v>
      </c>
      <c r="G41" s="855"/>
    </row>
    <row r="42" spans="1:7" x14ac:dyDescent="0.2">
      <c r="A42" s="859" t="s">
        <v>479</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8">
        <f>'Expenditures 15-22'!K24</f>
        <v>23145</v>
      </c>
      <c r="G43" s="855"/>
    </row>
    <row r="44" spans="1:7" x14ac:dyDescent="0.2">
      <c r="A44" s="859" t="s">
        <v>479</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8">
        <f>'Expenditures 15-22'!K26</f>
        <v>0</v>
      </c>
      <c r="G45" s="855"/>
    </row>
    <row r="46" spans="1:7" x14ac:dyDescent="0.2">
      <c r="A46" s="859" t="s">
        <v>479</v>
      </c>
      <c r="B46" s="859" t="s">
        <v>126</v>
      </c>
      <c r="C46" s="876" t="str">
        <f>'Expenditures 15-22'!B27</f>
        <v>1917</v>
      </c>
      <c r="D46" s="878" t="str">
        <f>'Expenditures 15-22'!A27</f>
        <v>CTE Programs - Private Tuition</v>
      </c>
      <c r="E46" s="858"/>
      <c r="F46" s="1928">
        <f>'Expenditures 15-22'!K27</f>
        <v>199660</v>
      </c>
      <c r="G46" s="855"/>
    </row>
    <row r="47" spans="1:7" x14ac:dyDescent="0.2">
      <c r="A47" s="859" t="s">
        <v>479</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479</v>
      </c>
      <c r="B49" s="859" t="s">
        <v>129</v>
      </c>
      <c r="C49" s="876" t="str">
        <f>'Expenditures 15-22'!B30</f>
        <v>1920</v>
      </c>
      <c r="D49" s="878" t="str">
        <f>'Expenditures 15-22'!A30</f>
        <v>Gifted Programs - Private Tuition</v>
      </c>
      <c r="E49" s="858"/>
      <c r="F49" s="1928">
        <f>'Expenditures 15-22'!K30</f>
        <v>0</v>
      </c>
      <c r="G49" s="855"/>
    </row>
    <row r="50" spans="1:7" x14ac:dyDescent="0.2">
      <c r="A50" s="859" t="s">
        <v>479</v>
      </c>
      <c r="B50" s="859" t="s">
        <v>130</v>
      </c>
      <c r="C50" s="876" t="str">
        <f>'Expenditures 15-22'!B31</f>
        <v>1921</v>
      </c>
      <c r="D50" s="878" t="str">
        <f>'Expenditures 15-22'!A31</f>
        <v>Bilingual Programs - Private Tuition</v>
      </c>
      <c r="E50" s="858"/>
      <c r="F50" s="1928">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8">
        <f>'Expenditures 15-22'!K32</f>
        <v>0</v>
      </c>
      <c r="G51" s="855"/>
    </row>
    <row r="52" spans="1:7" x14ac:dyDescent="0.2">
      <c r="A52" s="859" t="s">
        <v>479</v>
      </c>
      <c r="B52" s="859" t="s">
        <v>1550</v>
      </c>
      <c r="C52" s="879" t="str">
        <f>'Expenditures 15-22'!B75</f>
        <v>3000</v>
      </c>
      <c r="D52" s="878" t="s">
        <v>469</v>
      </c>
      <c r="E52" s="858"/>
      <c r="F52" s="1928">
        <f>'Expenditures 15-22'!K75-SUM('Expenditures 15-22'!G75,'Expenditures 15-22'!I75)</f>
        <v>309782</v>
      </c>
      <c r="G52" s="855"/>
    </row>
    <row r="53" spans="1:7" x14ac:dyDescent="0.2">
      <c r="A53" s="859" t="s">
        <v>479</v>
      </c>
      <c r="B53" s="859" t="s">
        <v>1551</v>
      </c>
      <c r="C53" s="879">
        <f>'Expenditures 15-22'!B102</f>
        <v>4000</v>
      </c>
      <c r="D53" s="878" t="str">
        <f>'Expenditures 15-22'!A102</f>
        <v>Total Payments to Other Govt Units</v>
      </c>
      <c r="E53" s="858"/>
      <c r="F53" s="1928">
        <f>'Expenditures 15-22'!K102</f>
        <v>757208</v>
      </c>
      <c r="G53" s="855"/>
    </row>
    <row r="54" spans="1:7" x14ac:dyDescent="0.2">
      <c r="A54" s="859" t="s">
        <v>479</v>
      </c>
      <c r="B54" s="859" t="s">
        <v>1552</v>
      </c>
      <c r="C54" s="879" t="s">
        <v>1039</v>
      </c>
      <c r="D54" s="875" t="s">
        <v>1157</v>
      </c>
      <c r="E54" s="858"/>
      <c r="F54" s="1928">
        <f>'Expenditures 15-22'!G114</f>
        <v>254667</v>
      </c>
      <c r="G54" s="855"/>
    </row>
    <row r="55" spans="1:7" x14ac:dyDescent="0.2">
      <c r="A55" s="859" t="s">
        <v>479</v>
      </c>
      <c r="B55" s="859" t="s">
        <v>1553</v>
      </c>
      <c r="C55" s="879" t="s">
        <v>1039</v>
      </c>
      <c r="D55" s="875" t="s">
        <v>309</v>
      </c>
      <c r="E55" s="858"/>
      <c r="F55" s="1928">
        <f>'Expenditures 15-22'!I114</f>
        <v>0</v>
      </c>
      <c r="G55" s="855"/>
    </row>
    <row r="56" spans="1:7" x14ac:dyDescent="0.2">
      <c r="A56" s="859" t="s">
        <v>480</v>
      </c>
      <c r="B56" s="859" t="s">
        <v>1554</v>
      </c>
      <c r="C56" s="876" t="str">
        <f>'Expenditures 15-22'!B130</f>
        <v>3000</v>
      </c>
      <c r="D56" s="882" t="s">
        <v>469</v>
      </c>
      <c r="E56" s="858"/>
      <c r="F56" s="1928">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28">
        <f>'Expenditures 15-22'!K139</f>
        <v>0</v>
      </c>
      <c r="G57" s="855"/>
    </row>
    <row r="58" spans="1:7" x14ac:dyDescent="0.2">
      <c r="A58" s="859" t="s">
        <v>480</v>
      </c>
      <c r="B58" s="859" t="s">
        <v>1992</v>
      </c>
      <c r="C58" s="876" t="s">
        <v>1039</v>
      </c>
      <c r="D58" s="875" t="s">
        <v>1157</v>
      </c>
      <c r="E58" s="858"/>
      <c r="F58" s="1930">
        <f>'Expenditures 15-22'!G151</f>
        <v>646165</v>
      </c>
      <c r="G58" s="855"/>
    </row>
    <row r="59" spans="1:7" x14ac:dyDescent="0.2">
      <c r="A59" s="883" t="s">
        <v>480</v>
      </c>
      <c r="B59" s="846" t="s">
        <v>1993</v>
      </c>
      <c r="C59" s="884" t="s">
        <v>1039</v>
      </c>
      <c r="D59" s="846" t="s">
        <v>309</v>
      </c>
      <c r="F59" s="1931">
        <f>'Expenditures 15-22'!I151</f>
        <v>0</v>
      </c>
      <c r="G59" s="855"/>
    </row>
    <row r="60" spans="1:7" x14ac:dyDescent="0.2">
      <c r="A60" s="883" t="s">
        <v>520</v>
      </c>
      <c r="B60" s="846" t="s">
        <v>1994</v>
      </c>
      <c r="C60" s="884">
        <v>4000</v>
      </c>
      <c r="D60" s="846" t="s">
        <v>330</v>
      </c>
      <c r="F60" s="1929">
        <f>'Expenditures 15-22'!K160</f>
        <v>0</v>
      </c>
      <c r="G60" s="855"/>
    </row>
    <row r="61" spans="1:7" x14ac:dyDescent="0.2">
      <c r="A61" s="885" t="s">
        <v>520</v>
      </c>
      <c r="B61" s="885" t="s">
        <v>1995</v>
      </c>
      <c r="C61" s="886" t="str">
        <f>'Expenditures 15-22'!B170</f>
        <v>5300</v>
      </c>
      <c r="D61" s="887" t="s">
        <v>329</v>
      </c>
      <c r="E61" s="869"/>
      <c r="F61" s="1928">
        <f>'Expenditures 15-22'!K170</f>
        <v>1855000</v>
      </c>
      <c r="G61" s="855"/>
    </row>
    <row r="62" spans="1:7" x14ac:dyDescent="0.2">
      <c r="A62" s="859" t="s">
        <v>481</v>
      </c>
      <c r="B62" s="859" t="s">
        <v>1996</v>
      </c>
      <c r="C62" s="876">
        <f>'Expenditures 15-22'!B185</f>
        <v>3000</v>
      </c>
      <c r="D62" s="866" t="s">
        <v>469</v>
      </c>
      <c r="E62" s="858"/>
      <c r="F62" s="1928">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28">
        <f>'Expenditures 15-22'!K196</f>
        <v>0</v>
      </c>
      <c r="G63" s="855"/>
    </row>
    <row r="64" spans="1:7" x14ac:dyDescent="0.2">
      <c r="A64" s="885" t="s">
        <v>481</v>
      </c>
      <c r="B64" s="885" t="s">
        <v>1998</v>
      </c>
      <c r="C64" s="886" t="str">
        <f>'Expenditures 15-22'!B206</f>
        <v>5300</v>
      </c>
      <c r="D64" s="882" t="s">
        <v>329</v>
      </c>
      <c r="E64" s="858"/>
      <c r="F64" s="1928">
        <f>'Expenditures 15-22'!K206</f>
        <v>0</v>
      </c>
      <c r="G64" s="855"/>
    </row>
    <row r="65" spans="1:8" x14ac:dyDescent="0.2">
      <c r="A65" s="859" t="s">
        <v>481</v>
      </c>
      <c r="B65" s="859" t="s">
        <v>1999</v>
      </c>
      <c r="C65" s="876" t="s">
        <v>1039</v>
      </c>
      <c r="D65" s="875" t="s">
        <v>1157</v>
      </c>
      <c r="E65" s="858"/>
      <c r="F65" s="1928">
        <f>'Expenditures 15-22'!G210</f>
        <v>0</v>
      </c>
      <c r="G65" s="855"/>
    </row>
    <row r="66" spans="1:8" x14ac:dyDescent="0.2">
      <c r="A66" s="859" t="s">
        <v>481</v>
      </c>
      <c r="B66" s="859" t="s">
        <v>2000</v>
      </c>
      <c r="C66" s="876" t="s">
        <v>1039</v>
      </c>
      <c r="D66" s="875" t="s">
        <v>309</v>
      </c>
      <c r="E66" s="858"/>
      <c r="F66" s="1928">
        <f>'Expenditures 15-22'!I210</f>
        <v>0</v>
      </c>
      <c r="G66" s="855"/>
    </row>
    <row r="67" spans="1:8" x14ac:dyDescent="0.2">
      <c r="A67" s="859" t="s">
        <v>482</v>
      </c>
      <c r="B67" s="859" t="s">
        <v>2001</v>
      </c>
      <c r="C67" s="876" t="str">
        <f>'Expenditures 15-22'!B216</f>
        <v>1125</v>
      </c>
      <c r="D67" s="882" t="str">
        <f>'Expenditures 15-22'!A216</f>
        <v>Pre-K Programs</v>
      </c>
      <c r="E67" s="858"/>
      <c r="F67" s="1928">
        <f>'Expenditures 15-22'!K216</f>
        <v>0</v>
      </c>
      <c r="G67" s="855"/>
    </row>
    <row r="68" spans="1:8" x14ac:dyDescent="0.2">
      <c r="A68" s="859" t="s">
        <v>482</v>
      </c>
      <c r="B68" s="859" t="s">
        <v>1555</v>
      </c>
      <c r="C68" s="876" t="str">
        <f>'Expenditures 15-22'!B218</f>
        <v>1225</v>
      </c>
      <c r="D68" s="882" t="str">
        <f>'Expenditures 15-22'!A218</f>
        <v>Special Education Programs - Pre-K</v>
      </c>
      <c r="E68" s="858"/>
      <c r="F68" s="1928">
        <f>'Expenditures 15-22'!K218</f>
        <v>0</v>
      </c>
      <c r="G68" s="855"/>
    </row>
    <row r="69" spans="1:8" x14ac:dyDescent="0.2">
      <c r="A69" s="859" t="s">
        <v>482</v>
      </c>
      <c r="B69" s="859" t="s">
        <v>2002</v>
      </c>
      <c r="C69" s="876" t="str">
        <f>'Expenditures 15-22'!B220</f>
        <v>1275</v>
      </c>
      <c r="D69" s="882" t="str">
        <f>'Expenditures 15-22'!A220</f>
        <v>Remedial and Supplemental Programs - Pre-K</v>
      </c>
      <c r="E69" s="858"/>
      <c r="F69" s="1928">
        <f>'Expenditures 15-22'!K220</f>
        <v>0</v>
      </c>
      <c r="G69" s="855"/>
    </row>
    <row r="70" spans="1:8" x14ac:dyDescent="0.2">
      <c r="A70" s="859" t="s">
        <v>482</v>
      </c>
      <c r="B70" s="859" t="s">
        <v>2003</v>
      </c>
      <c r="C70" s="876">
        <f>'Expenditures 15-22'!B221</f>
        <v>1300</v>
      </c>
      <c r="D70" s="877" t="str">
        <f>'Expenditures 15-22'!A221</f>
        <v>Adult/Continuing Education Programs</v>
      </c>
      <c r="E70" s="858"/>
      <c r="F70" s="1928">
        <f>'Expenditures 15-22'!K221</f>
        <v>5562</v>
      </c>
      <c r="G70" s="855"/>
    </row>
    <row r="71" spans="1:8" x14ac:dyDescent="0.2">
      <c r="A71" s="859" t="s">
        <v>482</v>
      </c>
      <c r="B71" s="859" t="s">
        <v>2004</v>
      </c>
      <c r="C71" s="876">
        <f>'Expenditures 15-22'!B224</f>
        <v>1600</v>
      </c>
      <c r="D71" s="877" t="str">
        <f>'Expenditures 15-22'!A224</f>
        <v>Summer School Programs</v>
      </c>
      <c r="E71" s="858"/>
      <c r="F71" s="1928">
        <f>'Expenditures 15-22'!K224</f>
        <v>16690</v>
      </c>
      <c r="G71" s="855"/>
    </row>
    <row r="72" spans="1:8" x14ac:dyDescent="0.2">
      <c r="A72" s="859" t="s">
        <v>482</v>
      </c>
      <c r="B72" s="859" t="s">
        <v>2005</v>
      </c>
      <c r="C72" s="876">
        <f>'Expenditures 15-22'!B280</f>
        <v>3000</v>
      </c>
      <c r="D72" s="866" t="s">
        <v>469</v>
      </c>
      <c r="E72" s="858"/>
      <c r="F72" s="1928">
        <f>'Expenditures 15-22'!K280</f>
        <v>15342</v>
      </c>
      <c r="G72" s="855"/>
    </row>
    <row r="73" spans="1:8" x14ac:dyDescent="0.2">
      <c r="A73" s="859" t="s">
        <v>482</v>
      </c>
      <c r="B73" s="859" t="s">
        <v>2006</v>
      </c>
      <c r="C73" s="876" t="str">
        <f>'Expenditures 15-22'!B285</f>
        <v>4000</v>
      </c>
      <c r="D73" s="877" t="str">
        <f>'Expenditures 15-22'!A285</f>
        <v>Total Payments to Other Govt Units</v>
      </c>
      <c r="E73" s="858"/>
      <c r="F73" s="1928">
        <f>'Expenditures 15-22'!K285</f>
        <v>0</v>
      </c>
      <c r="G73" s="855"/>
    </row>
    <row r="74" spans="1:8" x14ac:dyDescent="0.2">
      <c r="A74" s="859" t="s">
        <v>456</v>
      </c>
      <c r="B74" s="859" t="s">
        <v>2007</v>
      </c>
      <c r="C74" s="876" t="s">
        <v>915</v>
      </c>
      <c r="D74" s="877" t="s">
        <v>1567</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2008</v>
      </c>
      <c r="E76" s="1785" t="s">
        <v>1015</v>
      </c>
      <c r="F76" s="1789">
        <f>SUM(F18:F74)</f>
        <v>7567318</v>
      </c>
      <c r="G76" s="855"/>
    </row>
    <row r="77" spans="1:8" s="883" customFormat="1" ht="12" customHeight="1" thickTop="1" thickBot="1" x14ac:dyDescent="0.25">
      <c r="A77" s="1790"/>
      <c r="B77" s="1787"/>
      <c r="C77" s="1783"/>
      <c r="D77" s="1788" t="s">
        <v>2009</v>
      </c>
      <c r="E77" s="1785"/>
      <c r="F77" s="1791">
        <f>(F14-F76)</f>
        <v>68467867</v>
      </c>
      <c r="G77" s="859"/>
    </row>
    <row r="78" spans="1:8" s="883" customFormat="1" ht="12" customHeight="1" thickTop="1" x14ac:dyDescent="0.2">
      <c r="A78" s="1792"/>
      <c r="B78" s="1787"/>
      <c r="C78" s="1783"/>
      <c r="D78" s="1788" t="s">
        <v>2056</v>
      </c>
      <c r="E78" s="1785"/>
      <c r="F78" s="888">
        <v>3769.97</v>
      </c>
      <c r="G78" s="889"/>
      <c r="H78" s="859"/>
    </row>
    <row r="79" spans="1:8" s="883" customFormat="1" ht="12" customHeight="1" thickBot="1" x14ac:dyDescent="0.25">
      <c r="A79" s="1793"/>
      <c r="B79" s="1787"/>
      <c r="C79" s="1783"/>
      <c r="D79" s="1788" t="s">
        <v>2010</v>
      </c>
      <c r="E79" s="1785" t="s">
        <v>1015</v>
      </c>
      <c r="F79" s="1794">
        <f>IF(F78&gt;0,F77/F78," Complete Line 78")</f>
        <v>18161.382451319241</v>
      </c>
      <c r="G79" s="859"/>
    </row>
    <row r="80" spans="1:8" s="883" customFormat="1" ht="8.25" customHeight="1" thickTop="1" x14ac:dyDescent="0.2">
      <c r="A80" s="890"/>
      <c r="B80" s="859"/>
      <c r="C80" s="861"/>
      <c r="D80" s="891"/>
      <c r="E80" s="858"/>
      <c r="F80" s="892"/>
      <c r="G80" s="859"/>
    </row>
    <row r="81" spans="1:7" s="883" customFormat="1" ht="12" thickBot="1" x14ac:dyDescent="0.25">
      <c r="A81" s="2362" t="s">
        <v>1167</v>
      </c>
      <c r="B81" s="2363"/>
      <c r="C81" s="2363"/>
      <c r="D81" s="2363"/>
      <c r="E81" s="2363"/>
      <c r="F81" s="2364"/>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2">
        <f>'Revenues 9-14'!F42</f>
        <v>0</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830721</v>
      </c>
      <c r="G94" s="902"/>
    </row>
    <row r="95" spans="1:7" x14ac:dyDescent="0.2">
      <c r="A95" s="898" t="s">
        <v>142</v>
      </c>
      <c r="B95" s="898" t="s">
        <v>177</v>
      </c>
      <c r="C95" s="900">
        <v>1700</v>
      </c>
      <c r="D95" s="908" t="str">
        <f>'Revenues 9-14'!A82</f>
        <v>Total District/School Activity Income</v>
      </c>
      <c r="E95" s="896"/>
      <c r="F95" s="1800">
        <f>SUM('Revenues 9-14'!C82,'Revenues 9-14'!D82)</f>
        <v>530489</v>
      </c>
      <c r="G95" s="902"/>
    </row>
    <row r="96" spans="1:7" x14ac:dyDescent="0.2">
      <c r="A96" s="898" t="s">
        <v>479</v>
      </c>
      <c r="B96" s="898" t="s">
        <v>178</v>
      </c>
      <c r="C96" s="900">
        <f>'Revenues 9-14'!B84</f>
        <v>1811</v>
      </c>
      <c r="D96" s="901" t="str">
        <f>'Revenues 9-14'!A84</f>
        <v>Rentals - Regular Textbooks</v>
      </c>
      <c r="E96" s="896"/>
      <c r="F96" s="1800">
        <f>'Revenues 9-14'!C84</f>
        <v>248564</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434307</v>
      </c>
      <c r="G98" s="902"/>
    </row>
    <row r="99" spans="1:7" x14ac:dyDescent="0.2">
      <c r="A99" s="898" t="s">
        <v>479</v>
      </c>
      <c r="B99" s="898" t="s">
        <v>181</v>
      </c>
      <c r="C99" s="900">
        <f>'Revenues 9-14'!B91</f>
        <v>1829</v>
      </c>
      <c r="D99" s="901" t="str">
        <f>'Revenues 9-14'!A91</f>
        <v>Sales - Other (Describe &amp; Itemize)</v>
      </c>
      <c r="E99" s="896"/>
      <c r="F99" s="1800">
        <f>'Revenues 9-14'!C91</f>
        <v>-75441</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172569</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789924</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74117</v>
      </c>
      <c r="G106" s="902"/>
    </row>
    <row r="107" spans="1:7" x14ac:dyDescent="0.2">
      <c r="A107" s="911" t="s">
        <v>685</v>
      </c>
      <c r="B107" s="898" t="s">
        <v>843</v>
      </c>
      <c r="C107" s="910">
        <v>3300</v>
      </c>
      <c r="D107" s="901" t="str">
        <f>'Revenues 9-14'!A144</f>
        <v>Total Bilingual Ed</v>
      </c>
      <c r="E107" s="896"/>
      <c r="F107" s="1800">
        <f>SUM('Revenues 9-14'!C144,'Revenues 9-14'!G144)</f>
        <v>10385</v>
      </c>
      <c r="G107" s="902"/>
    </row>
    <row r="108" spans="1:7" x14ac:dyDescent="0.2">
      <c r="A108" s="898" t="s">
        <v>479</v>
      </c>
      <c r="B108" s="898" t="s">
        <v>844</v>
      </c>
      <c r="C108" s="910">
        <f>'Revenues 9-14'!B145</f>
        <v>3360</v>
      </c>
      <c r="D108" s="901" t="str">
        <f>'Revenues 9-14'!A145</f>
        <v>State Free Lunch &amp; Breakfast</v>
      </c>
      <c r="E108" s="896"/>
      <c r="F108" s="1800">
        <f>'Revenues 9-14'!C145</f>
        <v>2351</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113152</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985416</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2">
        <f>SUM('Revenues 9-14'!C166:G166)</f>
        <v>0</v>
      </c>
      <c r="G122" s="902"/>
    </row>
    <row r="123" spans="1:7" x14ac:dyDescent="0.2">
      <c r="A123" s="913" t="s">
        <v>525</v>
      </c>
      <c r="B123" s="913" t="s">
        <v>853</v>
      </c>
      <c r="C123" s="914">
        <f>'Revenues 9-14'!B167</f>
        <v>3815</v>
      </c>
      <c r="D123" s="915" t="str">
        <f>'Revenues 9-14'!A167</f>
        <v>State Charter Schools</v>
      </c>
      <c r="E123" s="896"/>
      <c r="F123" s="1922">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138831</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12609</v>
      </c>
      <c r="G129" s="920"/>
    </row>
    <row r="130" spans="1:7" x14ac:dyDescent="0.2">
      <c r="A130" s="917" t="s">
        <v>689</v>
      </c>
      <c r="B130" s="917" t="s">
        <v>804</v>
      </c>
      <c r="C130" s="922">
        <v>4300</v>
      </c>
      <c r="D130" s="923" t="str">
        <f>'Revenues 9-14'!A211</f>
        <v>Total Title I</v>
      </c>
      <c r="E130" s="896"/>
      <c r="F130" s="1800">
        <f>SUM('Revenues 9-14'!C211,'Revenues 9-14'!D211,'Revenues 9-14'!F211,'Revenues 9-14'!G211)</f>
        <v>266057</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200979</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232532</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39084</v>
      </c>
      <c r="G136" s="920">
        <v>6303</v>
      </c>
    </row>
    <row r="137" spans="1:7" s="857" customFormat="1" hidden="1" x14ac:dyDescent="0.2">
      <c r="A137" s="924" t="s">
        <v>215</v>
      </c>
      <c r="B137" s="924" t="s">
        <v>1484</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2">
        <f>SUM('Revenues 9-14'!C268,'Revenues 9-14'!D268,'Revenues 9-14'!F268,'Revenues 9-14'!G268)</f>
        <v>85294</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38284</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79565</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3" t="s">
        <v>5</v>
      </c>
      <c r="B175" s="1934" t="s">
        <v>2055</v>
      </c>
      <c r="C175" s="1935">
        <v>3100</v>
      </c>
      <c r="D175" s="1936" t="s">
        <v>2058</v>
      </c>
      <c r="E175" s="896"/>
      <c r="F175" s="1920"/>
      <c r="G175" s="917"/>
    </row>
    <row r="176" spans="1:7" x14ac:dyDescent="0.2">
      <c r="A176" s="1933" t="s">
        <v>685</v>
      </c>
      <c r="B176" s="1934" t="s">
        <v>2055</v>
      </c>
      <c r="C176" s="1935">
        <v>3300</v>
      </c>
      <c r="D176" s="1936" t="s">
        <v>2059</v>
      </c>
      <c r="E176" s="896"/>
      <c r="F176" s="1920"/>
      <c r="G176" s="917"/>
    </row>
    <row r="177" spans="1:7" ht="6" customHeight="1" x14ac:dyDescent="0.2">
      <c r="A177" s="917"/>
      <c r="B177" s="917"/>
      <c r="C177" s="939"/>
      <c r="D177" s="917"/>
      <c r="E177" s="896"/>
      <c r="F177" s="940"/>
      <c r="G177" s="937"/>
    </row>
    <row r="178" spans="1:7" x14ac:dyDescent="0.2">
      <c r="A178" s="1781"/>
      <c r="B178" s="1795"/>
      <c r="C178" s="1796"/>
      <c r="D178" s="1797" t="s">
        <v>2011</v>
      </c>
      <c r="E178" s="1798" t="s">
        <v>1015</v>
      </c>
      <c r="F178" s="1799">
        <f>SUM(F84:F136,F161:F176)</f>
        <v>5209789</v>
      </c>
    </row>
    <row r="179" spans="1:7" ht="12" customHeight="1" x14ac:dyDescent="0.2">
      <c r="A179" s="1781"/>
      <c r="B179" s="1795"/>
      <c r="C179" s="1796"/>
      <c r="D179" s="1797" t="s">
        <v>2012</v>
      </c>
      <c r="E179" s="1798"/>
      <c r="F179" s="1800">
        <f>'PCTC-OEPP 27-28'!F77-F178</f>
        <v>63258078</v>
      </c>
    </row>
    <row r="180" spans="1:7" ht="12" customHeight="1" x14ac:dyDescent="0.2">
      <c r="A180" s="1781"/>
      <c r="B180" s="1795"/>
      <c r="C180" s="1796"/>
      <c r="D180" s="1797" t="s">
        <v>1921</v>
      </c>
      <c r="E180" s="1798"/>
      <c r="F180" s="1800">
        <f>'Cap Outlay Deprec 26'!I18</f>
        <v>3405264</v>
      </c>
    </row>
    <row r="181" spans="1:7" ht="12" customHeight="1" x14ac:dyDescent="0.2">
      <c r="A181" s="1781"/>
      <c r="B181" s="1795"/>
      <c r="C181" s="1796"/>
      <c r="D181" s="1797" t="s">
        <v>2013</v>
      </c>
      <c r="E181" s="1798"/>
      <c r="F181" s="1800">
        <f>F179+F180</f>
        <v>66663342</v>
      </c>
    </row>
    <row r="182" spans="1:7" ht="12" customHeight="1" x14ac:dyDescent="0.2">
      <c r="A182" s="1781"/>
      <c r="B182" s="1801"/>
      <c r="C182" s="1796"/>
      <c r="D182" s="1797" t="str">
        <f>D78</f>
        <v>9 Month ADA from District Average Daily Attendance/Prior General State Aid Inquiry 2017-2018</v>
      </c>
      <c r="E182" s="1798"/>
      <c r="F182" s="1802">
        <f>'PCTC-OEPP 27-28'!F78</f>
        <v>3769.97</v>
      </c>
      <c r="G182" s="920"/>
    </row>
    <row r="183" spans="1:7" ht="12" customHeight="1" thickBot="1" x14ac:dyDescent="0.25">
      <c r="A183" s="1781"/>
      <c r="B183" s="1801"/>
      <c r="C183" s="1796"/>
      <c r="D183" s="1797" t="s">
        <v>2014</v>
      </c>
      <c r="E183" s="1798" t="s">
        <v>1626</v>
      </c>
      <c r="F183" s="1803">
        <f>F181/F182</f>
        <v>17682.724796218539</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39"/>
      <c r="D188" s="920"/>
      <c r="E188" s="939"/>
      <c r="F188" s="920"/>
      <c r="G188" s="920"/>
    </row>
    <row r="189" spans="1:7" x14ac:dyDescent="0.2">
      <c r="A189" s="1941" t="s">
        <v>2061</v>
      </c>
      <c r="B189" s="1942"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F70" sqref="F70"/>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1937</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376" t="s">
        <v>1922</v>
      </c>
      <c r="B4" s="2377"/>
      <c r="C4" s="2377"/>
      <c r="D4" s="2377"/>
      <c r="E4" s="2377"/>
      <c r="F4" s="2377"/>
      <c r="G4" s="2378"/>
    </row>
    <row r="5" spans="1:7" x14ac:dyDescent="0.25">
      <c r="A5" s="2379"/>
      <c r="B5" s="2380"/>
      <c r="C5" s="2380"/>
      <c r="D5" s="2380"/>
      <c r="E5" s="2380"/>
      <c r="F5" s="2380"/>
      <c r="G5" s="2381"/>
    </row>
    <row r="6" spans="1:7" ht="18.75" x14ac:dyDescent="0.25">
      <c r="A6" s="1545" t="s">
        <v>1923</v>
      </c>
      <c r="B6" s="1546"/>
      <c r="C6" s="1546"/>
      <c r="D6" s="1546"/>
      <c r="E6" s="1546"/>
      <c r="F6" s="1546"/>
      <c r="G6" s="1547"/>
    </row>
    <row r="7" spans="1:7" ht="30.75" customHeight="1" x14ac:dyDescent="0.25">
      <c r="A7" s="2382" t="s">
        <v>2072</v>
      </c>
      <c r="B7" s="2383"/>
      <c r="C7" s="2383"/>
      <c r="D7" s="2383"/>
      <c r="E7" s="2383"/>
      <c r="F7" s="2383"/>
      <c r="G7" s="2384"/>
    </row>
    <row r="8" spans="1:7" ht="15.75" customHeight="1" x14ac:dyDescent="0.25">
      <c r="A8" s="2385" t="s">
        <v>2021</v>
      </c>
      <c r="B8" s="2386"/>
      <c r="C8" s="2386"/>
      <c r="D8" s="2386"/>
      <c r="E8" s="2386"/>
      <c r="F8" s="2386"/>
      <c r="G8" s="2387"/>
    </row>
    <row r="9" spans="1:7" ht="35.25" customHeight="1" x14ac:dyDescent="0.25">
      <c r="A9" s="2382" t="s">
        <v>2020</v>
      </c>
      <c r="B9" s="2383"/>
      <c r="C9" s="2383"/>
      <c r="D9" s="2383"/>
      <c r="E9" s="2383"/>
      <c r="F9" s="2383"/>
      <c r="G9" s="2384"/>
    </row>
    <row r="10" spans="1:7" ht="15" customHeight="1" x14ac:dyDescent="0.25">
      <c r="A10" s="1548" t="s">
        <v>1924</v>
      </c>
      <c r="B10" s="1549"/>
      <c r="C10" s="1549"/>
      <c r="D10" s="1549"/>
      <c r="E10" s="1549"/>
      <c r="F10" s="1549"/>
      <c r="G10" s="1550"/>
    </row>
    <row r="11" spans="1:7" ht="17.25" customHeight="1" x14ac:dyDescent="0.25">
      <c r="A11" s="2382" t="s">
        <v>1938</v>
      </c>
      <c r="B11" s="2383"/>
      <c r="C11" s="2383"/>
      <c r="D11" s="2383"/>
      <c r="E11" s="2383"/>
      <c r="F11" s="2383"/>
      <c r="G11" s="2384"/>
    </row>
    <row r="12" spans="1:7" ht="15" customHeight="1" x14ac:dyDescent="0.25">
      <c r="A12" s="1548" t="s">
        <v>1929</v>
      </c>
      <c r="B12" s="1549"/>
      <c r="C12" s="1549"/>
      <c r="D12" s="1549"/>
      <c r="E12" s="1549"/>
      <c r="F12" s="1549"/>
      <c r="G12" s="1550"/>
    </row>
    <row r="13" spans="1:7" ht="32.25" customHeight="1" x14ac:dyDescent="0.25">
      <c r="A13" s="2373" t="s">
        <v>1930</v>
      </c>
      <c r="B13" s="2374"/>
      <c r="C13" s="2374"/>
      <c r="D13" s="2374"/>
      <c r="E13" s="2374"/>
      <c r="F13" s="2374"/>
      <c r="G13" s="2375"/>
    </row>
    <row r="14" spans="1:7" x14ac:dyDescent="0.25">
      <c r="A14" s="1672" t="s">
        <v>1939</v>
      </c>
      <c r="B14" s="1673"/>
      <c r="C14" s="1673"/>
      <c r="D14" s="1673"/>
      <c r="E14" s="1673"/>
      <c r="F14" s="1673"/>
      <c r="G14" s="1674"/>
    </row>
    <row r="15" spans="1:7" ht="61.5" customHeight="1" x14ac:dyDescent="0.25">
      <c r="A15" s="1557" t="s">
        <v>1931</v>
      </c>
      <c r="B15" s="1557" t="s">
        <v>1932</v>
      </c>
      <c r="C15" s="1557" t="s">
        <v>1933</v>
      </c>
      <c r="D15" s="1558" t="s">
        <v>1934</v>
      </c>
      <c r="E15" s="1558" t="s">
        <v>1925</v>
      </c>
      <c r="F15" s="1558" t="s">
        <v>1935</v>
      </c>
      <c r="G15" s="1558" t="s">
        <v>1936</v>
      </c>
    </row>
    <row r="16" spans="1:7" x14ac:dyDescent="0.25">
      <c r="A16" s="1659" t="s">
        <v>1940</v>
      </c>
      <c r="B16" s="1660" t="s">
        <v>1928</v>
      </c>
      <c r="C16" s="1661" t="s">
        <v>1926</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7" t="s">
        <v>2105</v>
      </c>
      <c r="B17" s="1945" t="s">
        <v>2103</v>
      </c>
      <c r="C17" s="1946" t="s">
        <v>2104</v>
      </c>
      <c r="D17" s="1856">
        <v>25422</v>
      </c>
      <c r="E17" s="1551">
        <f t="shared" ref="E17:E141" si="1">IF(D17&lt;=25000,D17,IF(D17&gt;25000,25000,0))</f>
        <v>25000</v>
      </c>
      <c r="F17" s="1804">
        <f t="shared" si="0"/>
        <v>25000</v>
      </c>
      <c r="G17" s="1805">
        <f>IF(F17=0,0,D17-F17)</f>
        <v>422</v>
      </c>
      <c r="H17" s="1658"/>
    </row>
    <row r="18" spans="1:8" x14ac:dyDescent="0.25">
      <c r="A18" s="1947" t="s">
        <v>2106</v>
      </c>
      <c r="B18" s="1945" t="s">
        <v>2107</v>
      </c>
      <c r="C18" s="1946" t="s">
        <v>2108</v>
      </c>
      <c r="D18" s="1856">
        <v>1322662</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1297662</v>
      </c>
    </row>
    <row r="19" spans="1:8" x14ac:dyDescent="0.25">
      <c r="A19" s="1664"/>
      <c r="B19" s="1858"/>
      <c r="C19" s="1667"/>
      <c r="D19" s="1856"/>
      <c r="E19" s="1551">
        <f t="shared" si="2"/>
        <v>0</v>
      </c>
      <c r="F19" s="1804">
        <f t="shared" si="3"/>
        <v>0</v>
      </c>
      <c r="G19" s="1805">
        <f t="shared" si="4"/>
        <v>0</v>
      </c>
    </row>
    <row r="20" spans="1:8" x14ac:dyDescent="0.25">
      <c r="A20" s="1664"/>
      <c r="B20" s="1945"/>
      <c r="C20" s="1667"/>
      <c r="D20" s="1856"/>
      <c r="E20" s="1551">
        <f t="shared" si="2"/>
        <v>0</v>
      </c>
      <c r="F20" s="1804">
        <f t="shared" si="3"/>
        <v>0</v>
      </c>
      <c r="G20" s="1805">
        <f t="shared" si="4"/>
        <v>0</v>
      </c>
    </row>
    <row r="21" spans="1:8" x14ac:dyDescent="0.25">
      <c r="A21" s="1664"/>
      <c r="B21" s="1857"/>
      <c r="C21" s="1667"/>
      <c r="D21" s="1856"/>
      <c r="E21" s="1551">
        <f t="shared" si="2"/>
        <v>0</v>
      </c>
      <c r="F21" s="1804">
        <f t="shared" si="3"/>
        <v>0</v>
      </c>
      <c r="G21" s="1805">
        <f t="shared" si="4"/>
        <v>0</v>
      </c>
    </row>
    <row r="22" spans="1:8" x14ac:dyDescent="0.25">
      <c r="A22" s="1664"/>
      <c r="B22" s="1857"/>
      <c r="C22" s="1667"/>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1348084</v>
      </c>
      <c r="E141" s="1552">
        <f t="shared" si="1"/>
        <v>25000</v>
      </c>
      <c r="F141" s="1806">
        <f>SUM(F17:F140)</f>
        <v>50000</v>
      </c>
      <c r="G141" s="1807">
        <f>SUM(G17:G140)</f>
        <v>1298084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F70" sqref="F7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388" t="s">
        <v>1778</v>
      </c>
      <c r="B5" s="2389"/>
      <c r="C5" s="2389"/>
      <c r="D5" s="2389"/>
      <c r="E5" s="2389"/>
      <c r="F5" s="2389"/>
      <c r="G5" s="2390"/>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2073</v>
      </c>
      <c r="B10" s="961"/>
      <c r="C10" s="966"/>
      <c r="D10" s="962"/>
      <c r="E10" s="963">
        <f>MIN('Revenues 9-14'!C201,('Expenditures 15-22'!E63+'Expenditures 15-22'!F63))</f>
        <v>12609</v>
      </c>
      <c r="F10" s="964"/>
      <c r="G10" s="965"/>
      <c r="H10" s="162"/>
      <c r="I10" s="162"/>
    </row>
    <row r="11" spans="1:9" s="659" customFormat="1" ht="22.5" customHeight="1" x14ac:dyDescent="0.2">
      <c r="A11" s="2393" t="s">
        <v>1942</v>
      </c>
      <c r="B11" s="2394"/>
      <c r="C11" s="2394"/>
      <c r="D11" s="2395"/>
      <c r="E11" s="967">
        <v>0</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43112000</v>
      </c>
      <c r="F19" s="1811"/>
      <c r="G19" s="1813">
        <f>'Expenditures 15-22'!K33-SUM('Expenditures 15-22'!G33,'Expenditures 15-22'!I33)+'Expenditures 15-22'!D229</f>
        <v>43112000</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6128540</v>
      </c>
      <c r="F21" s="1814"/>
      <c r="G21" s="1817">
        <f>'Expenditures 15-22'!K42-SUM('Expenditures 15-22'!G42,'Expenditures 15-22'!I42)+'Expenditures 15-22'!K120-SUM('Expenditures 15-22'!G120,'Expenditures 15-22'!I120)+'Expenditures 15-22'!K180-SUM('Expenditures 15-22'!G180,'Expenditures 15-22'!I180)+'Expenditures 15-22'!D238</f>
        <v>6128540</v>
      </c>
      <c r="H21" s="977"/>
      <c r="I21" s="162"/>
    </row>
    <row r="22" spans="1:9" s="659" customFormat="1" ht="12" customHeight="1" x14ac:dyDescent="0.2">
      <c r="A22" s="984" t="s">
        <v>585</v>
      </c>
      <c r="B22" s="985"/>
      <c r="C22" s="983">
        <v>2200</v>
      </c>
      <c r="D22" s="1814"/>
      <c r="E22" s="1816">
        <f>'Expenditures 15-22'!K47-SUM('Expenditures 15-22'!G47,'Expenditures 15-22'!I47)+'Expenditures 15-22'!D243</f>
        <v>2851111</v>
      </c>
      <c r="F22" s="1814"/>
      <c r="G22" s="1817">
        <f>'Expenditures 15-22'!K47-SUM('Expenditures 15-22'!G47,'Expenditures 15-22'!I47)+'Expenditures 15-22'!D243</f>
        <v>2851111</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978403</v>
      </c>
      <c r="F23" s="1814"/>
      <c r="G23" s="1816">
        <f>'Expenditures 15-22'!K53-SUM('Expenditures 15-22'!G53,'Expenditures 15-22'!I53)+'Expenditures 15-22'!D257+'Expenditures 15-22'!K330-SUM('Expenditures 15-22'!G330,'Expenditures 15-22'!I330)</f>
        <v>978403</v>
      </c>
      <c r="H23" s="977"/>
      <c r="I23" s="162"/>
    </row>
    <row r="24" spans="1:9" s="659" customFormat="1" ht="12" customHeight="1" x14ac:dyDescent="0.2">
      <c r="A24" s="984" t="s">
        <v>587</v>
      </c>
      <c r="B24" s="985"/>
      <c r="C24" s="983">
        <v>2400</v>
      </c>
      <c r="D24" s="1814"/>
      <c r="E24" s="1816">
        <f>'Expenditures 15-22'!K57-SUM('Expenditures 15-22'!G57,'Expenditures 15-22'!I57)+'Expenditures 15-22'!D261</f>
        <v>3737455</v>
      </c>
      <c r="F24" s="1814"/>
      <c r="G24" s="1817">
        <f>'Expenditures 15-22'!K57-SUM('Expenditures 15-22'!G57,'Expenditures 15-22'!I57)+'Expenditures 15-22'!D261</f>
        <v>3737455</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216698</v>
      </c>
      <c r="E26" s="1816">
        <f>'Expenditures 15-22'!K122-SUM('Expenditures 15-22'!G122,'Expenditures 15-22'!I122)+E7</f>
        <v>0</v>
      </c>
      <c r="F26" s="1816">
        <f>'Expenditures 15-22'!K59-SUM('Expenditures 15-22'!G59,'Expenditures 15-22'!I59)+'Expenditures 15-22'!D263-E7</f>
        <v>216698</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533270</v>
      </c>
      <c r="E27" s="1816">
        <f>E8</f>
        <v>0</v>
      </c>
      <c r="F27" s="1816">
        <f>'Expenditures 15-22'!K60-SUM('Expenditures 15-22'!G60,'Expenditures 15-22'!I60)+'Expenditures 15-22'!D264-E8</f>
        <v>533270</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7898971</v>
      </c>
      <c r="F28" s="1818">
        <f>'Expenditures 15-22'!K61-SUM('Expenditures 15-22'!G61,'Expenditures 15-22'!I61)+'Expenditures 15-22'!K124-SUM('Expenditures 15-22'!G124,'Expenditures 15-22'!I124)+'Expenditures 15-22'!D266-E9</f>
        <v>7898971</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2705724</v>
      </c>
      <c r="F29" s="1814"/>
      <c r="G29" s="1817">
        <f>'Expenditures 15-22'!K62-SUM('Expenditures 15-22'!G62,'Expenditures 15-22'!I62)+'Expenditures 15-22'!K125-SUM('Expenditures 15-22'!G125,'Expenditures 15-22'!I125)+'Expenditures 15-22'!K182-SUM('Expenditures 15-22'!G182,'Expenditures 15-22'!I182)+'Expenditures 15-22'!D267</f>
        <v>2705724</v>
      </c>
      <c r="H29" s="975"/>
    </row>
    <row r="30" spans="1:9" ht="12" customHeight="1" x14ac:dyDescent="0.2">
      <c r="A30" s="984" t="s">
        <v>102</v>
      </c>
      <c r="B30" s="987"/>
      <c r="C30" s="983">
        <v>2560</v>
      </c>
      <c r="D30" s="1814"/>
      <c r="E30" s="1816">
        <f>'Expenditures 15-22'!K63-SUM('Expenditures 15-22'!G63,'Expenditures 15-22'!I63)+'Expenditures 15-22'!D268-E10</f>
        <v>1056592</v>
      </c>
      <c r="F30" s="1814"/>
      <c r="G30" s="1816">
        <f>'Expenditures 15-22'!K63-SUM('Expenditures 15-22'!G63,'Expenditures 15-22'!I63)+'Expenditures 15-22'!D268-E10</f>
        <v>1056592</v>
      </c>
    </row>
    <row r="31" spans="1:9" ht="12" customHeight="1" x14ac:dyDescent="0.2">
      <c r="A31" s="984" t="s">
        <v>103</v>
      </c>
      <c r="B31" s="987"/>
      <c r="C31" s="983">
        <v>2570</v>
      </c>
      <c r="D31" s="1816">
        <f>'Expenditures 15-22'!K64-SUM('Expenditures 15-22'!G64,'Expenditures 15-22'!I64)+'Expenditures 15-22'!D269-E12</f>
        <v>725460</v>
      </c>
      <c r="E31" s="1816">
        <f>E12</f>
        <v>0</v>
      </c>
      <c r="F31" s="1816">
        <f>'Expenditures 15-22'!K64-SUM('Expenditures 15-22'!G64,'Expenditures 15-22'!I64)+'Expenditures 15-22'!D269-E12</f>
        <v>725460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223507</v>
      </c>
      <c r="F35" s="1814"/>
      <c r="G35" s="1816">
        <f>'Expenditures 15-22'!K69-SUM('Expenditures 15-22'!G69,'Expenditures 15-22'!I69)+'Expenditures 15-22'!D274</f>
        <v>223507</v>
      </c>
    </row>
    <row r="36" spans="1:7" ht="12" customHeight="1" x14ac:dyDescent="0.2">
      <c r="A36" s="984" t="s">
        <v>423</v>
      </c>
      <c r="B36" s="987"/>
      <c r="C36" s="983">
        <v>2640</v>
      </c>
      <c r="D36" s="1816">
        <f>'Expenditures 15-22'!K70-SUM('Expenditures 15-22'!G70,'Expenditures 15-22'!I70)+'Expenditures 15-22'!D275-E13</f>
        <v>463911</v>
      </c>
      <c r="E36" s="1816">
        <f>E13</f>
        <v>0</v>
      </c>
      <c r="F36" s="1816">
        <f>'Expenditures 15-22'!K70-SUM('Expenditures 15-22'!G70,'Expenditures 15-22'!I70)+'Expenditures 15-22'!D275-E13</f>
        <v>463911</v>
      </c>
      <c r="G36" s="1816">
        <f>E13</f>
        <v>0</v>
      </c>
    </row>
    <row r="37" spans="1:7" ht="12" customHeight="1" x14ac:dyDescent="0.2">
      <c r="A37" s="984" t="s">
        <v>424</v>
      </c>
      <c r="B37" s="987"/>
      <c r="C37" s="983">
        <v>2660</v>
      </c>
      <c r="D37" s="1816">
        <f>'Expenditures 15-22'!K71-SUM('Expenditures 15-22'!G71,'Expenditures 15-22'!I71)+'Expenditures 15-22'!D276-E14</f>
        <v>377086</v>
      </c>
      <c r="E37" s="1816">
        <f>E14</f>
        <v>0</v>
      </c>
      <c r="F37" s="1816">
        <f>'Expenditures 15-22'!K71-SUM('Expenditures 15-22'!G71,'Expenditures 15-22'!I71)+'Expenditures 15-22'!D276-E14</f>
        <v>377086</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667419</v>
      </c>
      <c r="F38" s="1814"/>
      <c r="G38" s="1816">
        <f>'Expenditures 15-22'!K73-SUM('Expenditures 15-22'!G73,'Expenditures 15-22'!I73)+'Expenditures 15-22'!K128-SUM('Expenditures 15-22'!G128,'Expenditures 15-22'!I128)+'Expenditures 15-22'!K183-SUM('Expenditures 15-22'!G183,'Expenditures 15-22'!I183)+'Expenditures 15-22'!D278</f>
        <v>667419</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325124</v>
      </c>
      <c r="F39" s="1814"/>
      <c r="G39" s="1816">
        <f>'Expenditures 15-22'!K75-SUM('Expenditures 15-22'!G75,'Expenditures 15-22'!I75)+'Expenditures 15-22'!K130-SUM('Expenditures 15-22'!G130,'Expenditures 15-22'!I130)+'Expenditures 15-22'!K185-SUM('Expenditures 15-22'!G185,'Expenditures 15-22'!I185)+'Expenditures 15-22'!D280</f>
        <v>325124</v>
      </c>
    </row>
    <row r="40" spans="1:7" ht="12" customHeight="1" x14ac:dyDescent="0.2">
      <c r="A40" s="980" t="s">
        <v>1927</v>
      </c>
      <c r="B40" s="981"/>
      <c r="C40" s="983"/>
      <c r="D40" s="1814"/>
      <c r="E40" s="1818">
        <f>-'Contracts Paid in CY 29'!G141</f>
        <v>-1298084</v>
      </c>
      <c r="F40" s="1814"/>
      <c r="G40" s="1818">
        <f>-'Contracts Paid in CY 29'!G141</f>
        <v>-1298084</v>
      </c>
    </row>
    <row r="41" spans="1:7" ht="12" customHeight="1" x14ac:dyDescent="0.2">
      <c r="A41" s="988" t="s">
        <v>158</v>
      </c>
      <c r="B41" s="989"/>
      <c r="C41" s="990"/>
      <c r="D41" s="1818">
        <f>SUM(D19:D39)</f>
        <v>2316425</v>
      </c>
      <c r="E41" s="1818">
        <f>SUM(E19:E40)</f>
        <v>68386762</v>
      </c>
      <c r="F41" s="1818">
        <f>SUM(F19:F39)</f>
        <v>10215396</v>
      </c>
      <c r="G41" s="1818">
        <f>SUM(G19:G40)</f>
        <v>60487791</v>
      </c>
    </row>
    <row r="42" spans="1:7" x14ac:dyDescent="0.2">
      <c r="A42" s="977"/>
      <c r="B42" s="162"/>
      <c r="C42" s="991"/>
      <c r="D42" s="2391" t="s">
        <v>543</v>
      </c>
      <c r="E42" s="2392"/>
      <c r="F42" s="992" t="s">
        <v>544</v>
      </c>
      <c r="G42" s="993"/>
    </row>
    <row r="43" spans="1:7" ht="12" customHeight="1" x14ac:dyDescent="0.2">
      <c r="A43" s="977"/>
      <c r="B43" s="162"/>
      <c r="C43" s="991"/>
      <c r="D43" s="1819" t="s">
        <v>493</v>
      </c>
      <c r="E43" s="1820">
        <f>D41</f>
        <v>2316425</v>
      </c>
      <c r="F43" s="1819" t="s">
        <v>495</v>
      </c>
      <c r="G43" s="1820">
        <f>F41</f>
        <v>10215396</v>
      </c>
    </row>
    <row r="44" spans="1:7" ht="12" customHeight="1" x14ac:dyDescent="0.2">
      <c r="A44" s="977"/>
      <c r="B44" s="162"/>
      <c r="C44" s="991"/>
      <c r="D44" s="1819" t="s">
        <v>494</v>
      </c>
      <c r="E44" s="1820">
        <f>E41</f>
        <v>68386762</v>
      </c>
      <c r="F44" s="1819" t="s">
        <v>494</v>
      </c>
      <c r="G44" s="1820">
        <f>G41</f>
        <v>60487791</v>
      </c>
    </row>
    <row r="45" spans="1:7" ht="12" customHeight="1" x14ac:dyDescent="0.2">
      <c r="A45" s="977"/>
      <c r="B45" s="162"/>
      <c r="C45" s="162"/>
      <c r="D45" s="1821" t="s">
        <v>1063</v>
      </c>
      <c r="E45" s="1822">
        <f>(E43/E44)</f>
        <v>3.387241817356406E-2</v>
      </c>
      <c r="F45" s="1821" t="s">
        <v>1063</v>
      </c>
      <c r="G45" s="1822">
        <f>(G43/G44)</f>
        <v>0.16888360165111668</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F70" sqref="F70"/>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99" t="s">
        <v>1446</v>
      </c>
      <c r="B1" s="2399"/>
      <c r="C1" s="2399"/>
      <c r="D1" s="2399"/>
      <c r="E1" s="2399"/>
      <c r="F1" s="2399"/>
    </row>
    <row r="2" spans="1:10" x14ac:dyDescent="0.2">
      <c r="A2" s="1901" t="s">
        <v>2045</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400" t="s">
        <v>1627</v>
      </c>
      <c r="B5" s="2401"/>
      <c r="C5" s="2402"/>
      <c r="D5" s="2402"/>
      <c r="E5" s="2402"/>
      <c r="F5" s="2402"/>
    </row>
    <row r="6" spans="1:10" ht="12" customHeight="1" x14ac:dyDescent="0.25">
      <c r="A6" s="1864"/>
      <c r="B6" s="1865"/>
      <c r="C6" s="2403" t="str">
        <f>COVER!A17</f>
        <v>Lyons Twp HSD 204</v>
      </c>
      <c r="D6" s="2403"/>
      <c r="E6" s="2403"/>
      <c r="F6" s="1866"/>
    </row>
    <row r="7" spans="1:10" ht="11.25" customHeight="1" thickBot="1" x14ac:dyDescent="0.3">
      <c r="A7" s="1864"/>
      <c r="B7" s="1865"/>
      <c r="C7" s="2404">
        <f>COVER!A13</f>
        <v>6016204017</v>
      </c>
      <c r="D7" s="2404"/>
      <c r="E7" s="2404"/>
      <c r="F7" s="1866"/>
    </row>
    <row r="8" spans="1:10" ht="25.5" customHeight="1" thickBot="1" x14ac:dyDescent="0.25">
      <c r="A8" s="1907" t="s">
        <v>2022</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t="s">
        <v>2081</v>
      </c>
      <c r="D14" s="1879" t="s">
        <v>2081</v>
      </c>
      <c r="E14" s="1882"/>
      <c r="F14" s="1881" t="s">
        <v>2091</v>
      </c>
      <c r="H14" s="1892">
        <f t="shared" si="0"/>
        <v>5</v>
      </c>
      <c r="I14" s="1892">
        <f t="shared" si="1"/>
        <v>5</v>
      </c>
      <c r="J14" s="1892">
        <f t="shared" si="2"/>
        <v>0</v>
      </c>
    </row>
    <row r="15" spans="1:10" ht="12" customHeight="1" x14ac:dyDescent="0.2">
      <c r="A15" s="1877" t="s">
        <v>1454</v>
      </c>
      <c r="B15" s="1878"/>
      <c r="C15" s="1879" t="s">
        <v>2081</v>
      </c>
      <c r="D15" s="1879" t="s">
        <v>2081</v>
      </c>
      <c r="E15" s="1882"/>
      <c r="F15" s="1881" t="s">
        <v>2092</v>
      </c>
      <c r="H15" s="1892">
        <f t="shared" si="0"/>
        <v>5</v>
      </c>
      <c r="I15" s="1892">
        <f t="shared" si="1"/>
        <v>5</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2081</v>
      </c>
      <c r="D19" s="1879" t="s">
        <v>2081</v>
      </c>
      <c r="E19" s="1882"/>
      <c r="F19" s="1881" t="s">
        <v>2109</v>
      </c>
      <c r="H19" s="1892">
        <f t="shared" si="0"/>
        <v>5</v>
      </c>
      <c r="I19" s="1892">
        <f t="shared" si="1"/>
        <v>5</v>
      </c>
      <c r="J19" s="1892">
        <f t="shared" si="2"/>
        <v>0</v>
      </c>
    </row>
    <row r="20" spans="1:12" ht="12" customHeight="1" x14ac:dyDescent="0.2">
      <c r="A20" s="1877" t="s">
        <v>1609</v>
      </c>
      <c r="B20" s="1878"/>
      <c r="C20" s="1879" t="s">
        <v>2081</v>
      </c>
      <c r="D20" s="1879" t="s">
        <v>2081</v>
      </c>
      <c r="E20" s="1882"/>
      <c r="F20" s="1881" t="s">
        <v>2093</v>
      </c>
      <c r="H20" s="1892">
        <f t="shared" si="0"/>
        <v>5</v>
      </c>
      <c r="I20" s="1892">
        <f t="shared" si="1"/>
        <v>5</v>
      </c>
      <c r="J20" s="1892">
        <f t="shared" si="2"/>
        <v>0</v>
      </c>
    </row>
    <row r="21" spans="1:12" ht="12" customHeight="1" x14ac:dyDescent="0.2">
      <c r="A21" s="1877" t="s">
        <v>1610</v>
      </c>
      <c r="B21" s="1878"/>
      <c r="C21" s="1879" t="s">
        <v>2081</v>
      </c>
      <c r="D21" s="1879" t="s">
        <v>2081</v>
      </c>
      <c r="E21" s="1882"/>
      <c r="F21" s="1881" t="s">
        <v>2094</v>
      </c>
      <c r="H21" s="1892">
        <f t="shared" si="0"/>
        <v>5</v>
      </c>
      <c r="I21" s="1892">
        <f t="shared" si="1"/>
        <v>5</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2081</v>
      </c>
      <c r="D26" s="1879" t="s">
        <v>2081</v>
      </c>
      <c r="E26" s="1882"/>
      <c r="F26" s="1881" t="s">
        <v>2095</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t="s">
        <v>2081</v>
      </c>
      <c r="D30" s="1879" t="s">
        <v>2081</v>
      </c>
      <c r="E30" s="1882"/>
      <c r="F30" s="1881" t="s">
        <v>2110</v>
      </c>
      <c r="H30" s="1892">
        <f t="shared" si="0"/>
        <v>5</v>
      </c>
      <c r="I30" s="1892">
        <f t="shared" si="1"/>
        <v>5</v>
      </c>
      <c r="J30" s="1892">
        <f t="shared" si="2"/>
        <v>0</v>
      </c>
    </row>
    <row r="31" spans="1:12" ht="12" customHeight="1" x14ac:dyDescent="0.2">
      <c r="A31" s="1877" t="s">
        <v>1620</v>
      </c>
      <c r="B31" s="1878"/>
      <c r="C31" s="1879" t="s">
        <v>2081</v>
      </c>
      <c r="D31" s="1879" t="s">
        <v>2081</v>
      </c>
      <c r="E31" s="1882"/>
      <c r="F31" s="1881" t="s">
        <v>2111</v>
      </c>
      <c r="H31" s="1892">
        <f t="shared" si="0"/>
        <v>5</v>
      </c>
      <c r="I31" s="1892">
        <f t="shared" si="1"/>
        <v>5</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40</v>
      </c>
      <c r="I34" s="1892">
        <f>SUM(I11:I32)</f>
        <v>40</v>
      </c>
      <c r="J34" s="1892">
        <f>SUM(J11:J32)</f>
        <v>0</v>
      </c>
      <c r="K34" s="1892">
        <f>SUM(H34:J34)</f>
        <v>80</v>
      </c>
    </row>
    <row r="35" spans="1:11" ht="12" customHeight="1" x14ac:dyDescent="0.2">
      <c r="A35" s="1885" t="s">
        <v>1459</v>
      </c>
      <c r="B35" s="1886"/>
      <c r="C35" s="2405"/>
      <c r="D35" s="2405"/>
      <c r="E35" s="2405"/>
      <c r="F35" s="2406"/>
    </row>
    <row r="36" spans="1:11" ht="12" customHeight="1" x14ac:dyDescent="0.2">
      <c r="A36" s="2396"/>
      <c r="B36" s="2397"/>
      <c r="C36" s="2397"/>
      <c r="D36" s="2397"/>
      <c r="E36" s="2397"/>
      <c r="F36" s="2398"/>
    </row>
    <row r="37" spans="1:11" ht="12" customHeight="1" x14ac:dyDescent="0.2">
      <c r="A37" s="2396"/>
      <c r="B37" s="2397"/>
      <c r="C37" s="2397"/>
      <c r="D37" s="2397"/>
      <c r="E37" s="2397"/>
      <c r="F37" s="2398"/>
    </row>
    <row r="38" spans="1:11" ht="12" customHeight="1" x14ac:dyDescent="0.2">
      <c r="A38" s="2410"/>
      <c r="B38" s="2411"/>
      <c r="C38" s="2411"/>
      <c r="D38" s="2411"/>
      <c r="E38" s="2411"/>
      <c r="F38" s="2412"/>
    </row>
    <row r="39" spans="1:11" ht="4.5" hidden="1" customHeight="1" x14ac:dyDescent="0.2">
      <c r="A39" s="1887"/>
      <c r="B39" s="1887"/>
      <c r="C39" s="1887"/>
      <c r="D39" s="1887"/>
      <c r="E39" s="1887"/>
      <c r="F39" s="1887"/>
    </row>
    <row r="40" spans="1:11" s="1884" customFormat="1" ht="12" customHeight="1" x14ac:dyDescent="0.25">
      <c r="A40" s="1888" t="s">
        <v>1458</v>
      </c>
      <c r="B40" s="1889"/>
      <c r="C40" s="2413"/>
      <c r="D40" s="2413"/>
      <c r="E40" s="2413"/>
      <c r="F40" s="2414"/>
      <c r="H40" s="1893"/>
      <c r="I40" s="1893"/>
      <c r="J40" s="1893"/>
      <c r="K40" s="1893"/>
    </row>
    <row r="41" spans="1:11" s="1884" customFormat="1" ht="12" customHeight="1" x14ac:dyDescent="0.25">
      <c r="A41" s="2415"/>
      <c r="B41" s="2416"/>
      <c r="C41" s="2416"/>
      <c r="D41" s="2416"/>
      <c r="E41" s="2416"/>
      <c r="F41" s="2417"/>
      <c r="H41" s="1893"/>
      <c r="I41" s="1893"/>
      <c r="J41" s="1893"/>
      <c r="K41" s="1893"/>
    </row>
    <row r="42" spans="1:11" s="1884" customFormat="1" ht="12" customHeight="1" x14ac:dyDescent="0.25">
      <c r="A42" s="2415"/>
      <c r="B42" s="2416"/>
      <c r="C42" s="2416"/>
      <c r="D42" s="2416"/>
      <c r="E42" s="2416"/>
      <c r="F42" s="2417"/>
      <c r="H42" s="1893"/>
      <c r="I42" s="1893"/>
      <c r="J42" s="1893"/>
      <c r="K42" s="1893"/>
    </row>
    <row r="43" spans="1:11" s="1884" customFormat="1" ht="15" x14ac:dyDescent="0.25">
      <c r="A43" s="2407"/>
      <c r="B43" s="2408"/>
      <c r="C43" s="2408"/>
      <c r="D43" s="2408"/>
      <c r="E43" s="2408"/>
      <c r="F43" s="2409"/>
      <c r="H43" s="1893"/>
      <c r="I43" s="1893"/>
      <c r="J43" s="1893"/>
      <c r="K43" s="1893"/>
    </row>
    <row r="44" spans="1:11" s="1884" customFormat="1" ht="12" hidden="1" customHeight="1" x14ac:dyDescent="0.25">
      <c r="A44" s="2407"/>
      <c r="B44" s="2408"/>
      <c r="C44" s="2408"/>
      <c r="D44" s="2408"/>
      <c r="E44" s="2408"/>
      <c r="F44" s="2409"/>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0" sqref="F70"/>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8" t="s">
        <v>693</v>
      </c>
      <c r="B6" s="1653"/>
      <c r="C6" s="1653"/>
      <c r="D6" s="1653"/>
      <c r="E6" s="1654"/>
      <c r="F6" s="1005"/>
      <c r="G6" s="999"/>
      <c r="H6" s="1006" t="s">
        <v>1086</v>
      </c>
      <c r="I6" s="2423" t="str">
        <f>COVER!A17</f>
        <v>Lyons Twp HSD 204</v>
      </c>
      <c r="J6" s="2424"/>
      <c r="Q6" s="1675"/>
    </row>
    <row r="7" spans="1:17" x14ac:dyDescent="0.2">
      <c r="A7" s="2425" t="s">
        <v>924</v>
      </c>
      <c r="B7" s="2426"/>
      <c r="C7" s="2426"/>
      <c r="D7" s="2426"/>
      <c r="E7" s="2427"/>
      <c r="F7" s="1007"/>
      <c r="G7" s="999"/>
      <c r="H7" s="1006" t="s">
        <v>390</v>
      </c>
      <c r="I7" s="2428">
        <f>COVER!A13</f>
        <v>6016204017</v>
      </c>
      <c r="J7" s="2428"/>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1701</v>
      </c>
      <c r="F9" s="1013"/>
      <c r="G9" s="1013"/>
      <c r="H9" s="1910"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429" t="s">
        <v>502</v>
      </c>
      <c r="B11" s="2430"/>
      <c r="C11" s="2431"/>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429705</v>
      </c>
      <c r="F12" s="1029"/>
      <c r="G12" s="1823">
        <f t="shared" ref="G12:G18" si="0">SUM(E12:F12)</f>
        <v>429705</v>
      </c>
      <c r="H12" s="1030">
        <v>477701</v>
      </c>
      <c r="I12" s="1029"/>
      <c r="J12" s="1823">
        <f t="shared" ref="J12:J18" si="1">SUM(H12:I12)</f>
        <v>477701</v>
      </c>
    </row>
    <row r="13" spans="1:17" ht="15" customHeight="1" x14ac:dyDescent="0.2">
      <c r="A13" s="1025">
        <v>2</v>
      </c>
      <c r="B13" s="1026" t="s">
        <v>44</v>
      </c>
      <c r="C13" s="1027"/>
      <c r="D13" s="1028">
        <v>2330</v>
      </c>
      <c r="E13" s="1823">
        <f>'Expenditures 15-22'!K51</f>
        <v>0</v>
      </c>
      <c r="F13" s="1029"/>
      <c r="G13" s="1823">
        <f t="shared" si="0"/>
        <v>0</v>
      </c>
      <c r="H13" s="1030">
        <v>0</v>
      </c>
      <c r="I13" s="1029"/>
      <c r="J13" s="1823">
        <f t="shared" si="1"/>
        <v>0</v>
      </c>
    </row>
    <row r="14" spans="1:17" ht="15" customHeight="1" x14ac:dyDescent="0.2">
      <c r="A14" s="1025">
        <v>3</v>
      </c>
      <c r="B14" s="1026" t="s">
        <v>45</v>
      </c>
      <c r="C14" s="1027"/>
      <c r="D14" s="1031">
        <v>2490</v>
      </c>
      <c r="E14" s="1823">
        <f>'Expenditures 15-22'!K56</f>
        <v>47796</v>
      </c>
      <c r="F14" s="1029"/>
      <c r="G14" s="1823">
        <f t="shared" si="0"/>
        <v>47796</v>
      </c>
      <c r="H14" s="1030">
        <v>36250</v>
      </c>
      <c r="I14" s="1029"/>
      <c r="J14" s="1823">
        <f t="shared" si="1"/>
        <v>36250</v>
      </c>
    </row>
    <row r="15" spans="1:17" ht="15" customHeight="1" x14ac:dyDescent="0.2">
      <c r="A15" s="1025">
        <v>4</v>
      </c>
      <c r="B15" s="1026" t="s">
        <v>1128</v>
      </c>
      <c r="C15" s="1027"/>
      <c r="D15" s="1028">
        <v>2510</v>
      </c>
      <c r="E15" s="1823">
        <f>'Expenditures 15-22'!K59</f>
        <v>214305</v>
      </c>
      <c r="F15" s="1823">
        <f>'Expenditures 15-22'!K122</f>
        <v>0</v>
      </c>
      <c r="G15" s="1823">
        <f t="shared" si="0"/>
        <v>214305</v>
      </c>
      <c r="H15" s="1030">
        <v>221833</v>
      </c>
      <c r="I15" s="1030">
        <v>0</v>
      </c>
      <c r="J15" s="1823">
        <f t="shared" si="1"/>
        <v>221833</v>
      </c>
    </row>
    <row r="16" spans="1:17" ht="15" customHeight="1" x14ac:dyDescent="0.2">
      <c r="A16" s="1025">
        <v>5</v>
      </c>
      <c r="B16" s="1026" t="s">
        <v>103</v>
      </c>
      <c r="C16" s="1027"/>
      <c r="D16" s="1028">
        <v>2570</v>
      </c>
      <c r="E16" s="1823">
        <f>'Expenditures 15-22'!K64</f>
        <v>804145</v>
      </c>
      <c r="F16" s="1029"/>
      <c r="G16" s="1823">
        <f t="shared" si="0"/>
        <v>804145</v>
      </c>
      <c r="H16" s="1030">
        <v>831162</v>
      </c>
      <c r="I16" s="1029"/>
      <c r="J16" s="1823">
        <f t="shared" si="1"/>
        <v>831162</v>
      </c>
    </row>
    <row r="17" spans="1:10" ht="15" customHeight="1" x14ac:dyDescent="0.2">
      <c r="A17" s="1025">
        <v>6</v>
      </c>
      <c r="B17" s="1026" t="s">
        <v>1120</v>
      </c>
      <c r="C17" s="1027"/>
      <c r="D17" s="1028">
        <v>2610</v>
      </c>
      <c r="E17" s="1823">
        <f>'Expenditures 15-22'!K67</f>
        <v>0</v>
      </c>
      <c r="F17" s="1029"/>
      <c r="G17" s="1823">
        <f t="shared" si="0"/>
        <v>0</v>
      </c>
      <c r="H17" s="1030">
        <v>0</v>
      </c>
      <c r="I17" s="1029"/>
      <c r="J17" s="1823">
        <f t="shared" si="1"/>
        <v>0</v>
      </c>
    </row>
    <row r="18" spans="1:10" ht="22.5" customHeight="1" x14ac:dyDescent="0.2">
      <c r="A18" s="1032">
        <v>7</v>
      </c>
      <c r="B18" s="2432" t="s">
        <v>7</v>
      </c>
      <c r="C18" s="2433"/>
      <c r="D18" s="2434"/>
      <c r="E18" s="1033">
        <v>0</v>
      </c>
      <c r="F18" s="1033">
        <v>0</v>
      </c>
      <c r="G18" s="1824">
        <f t="shared" si="0"/>
        <v>0</v>
      </c>
      <c r="H18" s="1030">
        <v>0</v>
      </c>
      <c r="I18" s="1030">
        <v>0</v>
      </c>
      <c r="J18" s="1823">
        <f t="shared" si="1"/>
        <v>0</v>
      </c>
    </row>
    <row r="19" spans="1:10" ht="12.75" customHeight="1" thickBot="1" x14ac:dyDescent="0.25">
      <c r="A19" s="1025">
        <v>8</v>
      </c>
      <c r="B19" s="1034" t="s">
        <v>1223</v>
      </c>
      <c r="D19" s="1035"/>
      <c r="E19" s="1825">
        <f t="shared" ref="E19:J19" si="2">SUM(E12:E17)-E18</f>
        <v>1495951</v>
      </c>
      <c r="F19" s="1825">
        <f t="shared" si="2"/>
        <v>0</v>
      </c>
      <c r="G19" s="1825">
        <f t="shared" si="2"/>
        <v>1495951</v>
      </c>
      <c r="H19" s="1825">
        <f t="shared" si="2"/>
        <v>1566946</v>
      </c>
      <c r="I19" s="1825">
        <f t="shared" si="2"/>
        <v>0</v>
      </c>
      <c r="J19" s="1825">
        <f t="shared" si="2"/>
        <v>1566946</v>
      </c>
    </row>
    <row r="20" spans="1:10" ht="13.5" thickTop="1" x14ac:dyDescent="0.2">
      <c r="A20" s="1025">
        <v>9</v>
      </c>
      <c r="B20" s="2435" t="s">
        <v>1703</v>
      </c>
      <c r="C20" s="2435"/>
      <c r="D20" s="2436"/>
      <c r="E20" s="1036"/>
      <c r="F20" s="1036"/>
      <c r="G20" s="1036"/>
      <c r="H20" s="1036"/>
      <c r="I20" s="1036"/>
      <c r="J20" s="1826">
        <f>IF(AND(G19&gt;0,J19&gt;0),(((J19-G19)/G19)),"Enter Budget Data")</f>
        <v>4.7458105245425819E-2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441"/>
      <c r="D26" s="2441"/>
      <c r="E26" s="1040"/>
      <c r="F26" s="2440"/>
      <c r="G26" s="2440"/>
    </row>
    <row r="27" spans="1:10" x14ac:dyDescent="0.2">
      <c r="B27" s="1037"/>
      <c r="C27" s="1041" t="s">
        <v>1093</v>
      </c>
      <c r="D27" s="1042"/>
      <c r="E27" s="1043"/>
      <c r="F27" s="2437" t="s">
        <v>1589</v>
      </c>
      <c r="G27" s="2437"/>
    </row>
    <row r="28" spans="1:10" ht="28.5" customHeight="1" x14ac:dyDescent="0.2">
      <c r="B28" s="1037"/>
      <c r="C28" s="2439"/>
      <c r="D28" s="2439"/>
      <c r="E28" s="1044"/>
      <c r="F28" s="2439"/>
      <c r="G28" s="2439"/>
    </row>
    <row r="29" spans="1:10" x14ac:dyDescent="0.2">
      <c r="B29" s="1037"/>
      <c r="C29" s="1045" t="s">
        <v>1642</v>
      </c>
      <c r="E29" s="1046"/>
      <c r="F29" s="2438" t="s">
        <v>1590</v>
      </c>
      <c r="G29" s="2438"/>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420" t="s">
        <v>134</v>
      </c>
      <c r="D33" s="2421"/>
      <c r="E33" s="2421"/>
      <c r="F33" s="2421"/>
      <c r="G33" s="2421"/>
      <c r="H33" s="2421"/>
      <c r="I33" s="2421"/>
    </row>
    <row r="34" spans="1:10" ht="10.35" customHeight="1" x14ac:dyDescent="0.2">
      <c r="C34" s="2421"/>
      <c r="D34" s="2421"/>
      <c r="E34" s="2421"/>
      <c r="F34" s="2421"/>
      <c r="G34" s="2421"/>
      <c r="H34" s="2421"/>
      <c r="I34" s="2421"/>
    </row>
    <row r="35" spans="1:10" ht="7.5" customHeight="1" x14ac:dyDescent="0.2">
      <c r="C35" s="1052"/>
    </row>
    <row r="36" spans="1:10" ht="13.5" customHeight="1" x14ac:dyDescent="0.2">
      <c r="B36" s="1051"/>
      <c r="C36" s="2422" t="s">
        <v>1941</v>
      </c>
      <c r="D36" s="2421"/>
      <c r="E36" s="2421"/>
      <c r="F36" s="2421"/>
      <c r="G36" s="2421"/>
      <c r="H36" s="2421"/>
      <c r="I36" s="2421"/>
      <c r="J36" s="1053"/>
    </row>
    <row r="37" spans="1:10" ht="22.5" customHeight="1" x14ac:dyDescent="0.2">
      <c r="C37" s="2421"/>
      <c r="D37" s="2421"/>
      <c r="E37" s="2421"/>
      <c r="F37" s="2421"/>
      <c r="G37" s="2421"/>
      <c r="H37" s="2421"/>
      <c r="I37" s="2421"/>
      <c r="J37" s="1053"/>
    </row>
    <row r="38" spans="1:10" ht="7.5" customHeight="1" x14ac:dyDescent="0.2">
      <c r="C38" s="1052"/>
      <c r="D38" s="1054"/>
      <c r="E38" s="1055"/>
      <c r="F38" s="1056"/>
      <c r="G38" s="1055"/>
    </row>
    <row r="39" spans="1:10" ht="13.5" customHeight="1" x14ac:dyDescent="0.2">
      <c r="B39" s="1051"/>
      <c r="C39" s="2418" t="s">
        <v>937</v>
      </c>
      <c r="D39" s="2419"/>
      <c r="E39" s="2419"/>
      <c r="F39" s="2419"/>
      <c r="G39" s="2419"/>
      <c r="H39" s="2419"/>
      <c r="I39" s="2419"/>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9" sqref="C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Lyons Twp HSD 204</v>
      </c>
    </row>
    <row r="65" spans="2:2" x14ac:dyDescent="0.2">
      <c r="B65" s="1060">
        <f>COVER!A13</f>
        <v>6016204017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election activeCell="L28" sqref="L2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8" t="s">
        <v>1709</v>
      </c>
    </row>
    <row r="23" spans="1:5" x14ac:dyDescent="0.2">
      <c r="A23" s="168"/>
      <c r="B23" s="162" t="s">
        <v>1966</v>
      </c>
      <c r="D23" s="167" t="s">
        <v>658</v>
      </c>
      <c r="E23" s="184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59" t="s">
        <v>1125</v>
      </c>
      <c r="B35" s="2159"/>
      <c r="C35" s="2159"/>
      <c r="D35" s="2159"/>
      <c r="E35" s="21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56" t="s">
        <v>715</v>
      </c>
      <c r="B40" s="2156"/>
      <c r="C40" s="2156"/>
      <c r="D40" s="2156"/>
      <c r="E40" s="2156"/>
    </row>
    <row r="41" spans="1:5" x14ac:dyDescent="0.2">
      <c r="A41" s="2157" t="s">
        <v>1706</v>
      </c>
      <c r="B41" s="2157"/>
      <c r="C41" s="2157"/>
      <c r="D41" s="2157"/>
      <c r="E41" s="2157"/>
    </row>
    <row r="42" spans="1:5" ht="12.75" customHeight="1" x14ac:dyDescent="0.2">
      <c r="A42" s="2158" t="s">
        <v>1080</v>
      </c>
      <c r="B42" s="2158"/>
      <c r="C42" s="2158"/>
      <c r="D42" s="2158"/>
      <c r="E42" s="2158"/>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6" t="s">
        <v>1876</v>
      </c>
    </row>
    <row r="60" spans="1:3" x14ac:dyDescent="0.2">
      <c r="A60" s="196"/>
      <c r="B60" s="149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442" t="s">
        <v>1784</v>
      </c>
      <c r="B18" s="24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57150</xdr:colOff>
                <xdr:row>0</xdr:row>
                <xdr:rowOff>47625</xdr:rowOff>
              </from>
              <to>
                <xdr:col>1</xdr:col>
                <xdr:colOff>847725</xdr:colOff>
                <xdr:row>4</xdr:row>
                <xdr:rowOff>85725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933450</xdr:colOff>
                <xdr:row>0</xdr:row>
                <xdr:rowOff>57150</xdr:rowOff>
              </from>
              <to>
                <xdr:col>1</xdr:col>
                <xdr:colOff>1847850</xdr:colOff>
                <xdr:row>4</xdr:row>
                <xdr:rowOff>95250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1924050</xdr:colOff>
                <xdr:row>0</xdr:row>
                <xdr:rowOff>76200</xdr:rowOff>
              </from>
              <to>
                <xdr:col>1</xdr:col>
                <xdr:colOff>2838450</xdr:colOff>
                <xdr:row>4</xdr:row>
                <xdr:rowOff>114300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0</xdr:col>
                <xdr:colOff>57150</xdr:colOff>
                <xdr:row>5</xdr:row>
                <xdr:rowOff>9525</xdr:rowOff>
              </from>
              <to>
                <xdr:col>1</xdr:col>
                <xdr:colOff>847725</xdr:colOff>
                <xdr:row>9</xdr:row>
                <xdr:rowOff>47625</xdr:rowOff>
              </to>
            </anchor>
          </objectPr>
        </oleObject>
      </mc:Choice>
      <mc:Fallback>
        <oleObject progId="Acrobat Document"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933450</xdr:colOff>
                <xdr:row>5</xdr:row>
                <xdr:rowOff>9525</xdr:rowOff>
              </from>
              <to>
                <xdr:col>1</xdr:col>
                <xdr:colOff>1847850</xdr:colOff>
                <xdr:row>9</xdr:row>
                <xdr:rowOff>47625</xdr:rowOff>
              </to>
            </anchor>
          </objectPr>
        </oleObject>
      </mc:Choice>
      <mc:Fallback>
        <oleObject progId="Acrobat Document" dvAspect="DVASPECT_ICON" shapeId="5120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K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43" t="s">
        <v>1790</v>
      </c>
      <c r="B1" s="2444"/>
      <c r="C1" s="2444"/>
      <c r="D1" s="2444"/>
      <c r="E1" s="2444"/>
      <c r="F1" s="2445"/>
    </row>
    <row r="2" spans="1:8" ht="45" customHeight="1" x14ac:dyDescent="0.2">
      <c r="A2" s="2453" t="s">
        <v>1791</v>
      </c>
      <c r="B2" s="2454"/>
      <c r="C2" s="2454"/>
      <c r="D2" s="2454"/>
      <c r="E2" s="2454"/>
      <c r="F2" s="2455"/>
      <c r="G2" s="1064"/>
      <c r="H2" s="1064"/>
    </row>
    <row r="3" spans="1:8" ht="57" customHeight="1" x14ac:dyDescent="0.2">
      <c r="A3" s="2456" t="s">
        <v>1786</v>
      </c>
      <c r="B3" s="2457"/>
      <c r="C3" s="2457"/>
      <c r="D3" s="2457"/>
      <c r="E3" s="2457"/>
      <c r="F3" s="2458"/>
      <c r="G3" s="1064"/>
      <c r="H3" s="1064"/>
    </row>
    <row r="4" spans="1:8" ht="14.25" customHeight="1" x14ac:dyDescent="0.2">
      <c r="A4" s="2462" t="s">
        <v>2053</v>
      </c>
      <c r="B4" s="2463"/>
      <c r="C4" s="2463"/>
      <c r="D4" s="2463"/>
      <c r="E4" s="2463"/>
      <c r="F4" s="2464"/>
      <c r="G4" s="1064"/>
      <c r="H4" s="1064"/>
    </row>
    <row r="5" spans="1:8" ht="14.25" customHeight="1" x14ac:dyDescent="0.2">
      <c r="A5" s="2465" t="s">
        <v>2054</v>
      </c>
      <c r="B5" s="2466"/>
      <c r="C5" s="2466"/>
      <c r="D5" s="2466"/>
      <c r="E5" s="2466"/>
      <c r="F5" s="2467"/>
      <c r="G5" s="1064"/>
      <c r="H5" s="1064"/>
    </row>
    <row r="6" spans="1:8" s="1065" customFormat="1" ht="41.25" customHeight="1" x14ac:dyDescent="0.2">
      <c r="A6" s="2459" t="s">
        <v>1792</v>
      </c>
      <c r="B6" s="2460"/>
      <c r="C6" s="2460"/>
      <c r="D6" s="2460"/>
      <c r="E6" s="2460"/>
      <c r="F6" s="2461"/>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60888488</v>
      </c>
      <c r="C8" s="1827">
        <f>'Acct Summary 7-8'!D8</f>
        <v>8576761</v>
      </c>
      <c r="D8" s="1827">
        <f>'Acct Summary 7-8'!F8</f>
        <v>2752133</v>
      </c>
      <c r="E8" s="1827">
        <f>'Acct Summary 7-8'!I8</f>
        <v>51801</v>
      </c>
      <c r="F8" s="1827">
        <f>SUM(B8:E8)</f>
        <v>72269183</v>
      </c>
    </row>
    <row r="9" spans="1:8" s="1069" customFormat="1" ht="14.25" customHeight="1" thickBot="1" x14ac:dyDescent="0.25">
      <c r="A9" s="1068" t="s">
        <v>1436</v>
      </c>
      <c r="B9" s="1828">
        <f>'Acct Summary 7-8'!C17</f>
        <v>60695549</v>
      </c>
      <c r="C9" s="1828">
        <f>'Acct Summary 7-8'!D17</f>
        <v>7808297</v>
      </c>
      <c r="D9" s="1828">
        <f>'Acct Summary 7-8'!F17</f>
        <v>2705724</v>
      </c>
      <c r="E9" s="1827"/>
      <c r="F9" s="1827">
        <f>SUM(B9:E9)</f>
        <v>71209570</v>
      </c>
    </row>
    <row r="10" spans="1:8" s="1069" customFormat="1" ht="14.25" thickTop="1" thickBot="1" x14ac:dyDescent="0.25">
      <c r="A10" s="1070" t="s">
        <v>1437</v>
      </c>
      <c r="B10" s="1829">
        <f>(B8-B9)</f>
        <v>192939</v>
      </c>
      <c r="C10" s="1829">
        <f>(C8-C9)</f>
        <v>768464</v>
      </c>
      <c r="D10" s="1829">
        <f>(D8-D9)</f>
        <v>46409</v>
      </c>
      <c r="E10" s="1828">
        <f>(E8-E9)</f>
        <v>51801</v>
      </c>
      <c r="F10" s="1830">
        <f>SUM(F8-F9)</f>
        <v>1059613</v>
      </c>
    </row>
    <row r="11" spans="1:8" s="1069" customFormat="1" ht="14.25" thickTop="1" thickBot="1" x14ac:dyDescent="0.25">
      <c r="A11" s="1071" t="s">
        <v>1785</v>
      </c>
      <c r="B11" s="1831">
        <f>'Acct Summary 7-8'!C81</f>
        <v>26845193</v>
      </c>
      <c r="C11" s="1831">
        <f>'Acct Summary 7-8'!D81</f>
        <v>7259073</v>
      </c>
      <c r="D11" s="1831">
        <f>'Acct Summary 7-8'!F81</f>
        <v>665129</v>
      </c>
      <c r="E11" s="1831">
        <f>'Acct Summary 7-8'!I81</f>
        <v>3771072</v>
      </c>
      <c r="F11" s="1832">
        <f>SUM(B11:E11)</f>
        <v>38540467</v>
      </c>
    </row>
    <row r="12" spans="1:8" ht="16.5" customHeight="1" thickTop="1" x14ac:dyDescent="0.2">
      <c r="A12" s="1072"/>
      <c r="B12" s="1073"/>
      <c r="C12" s="2447" t="str">
        <f>IF(AND(F10&lt;0,F11&gt;=0,ABS(F10*3)&gt;ABS(F11)),A16,IF(AND(F10&lt;0,F11&gt;0,ABS(F10*3)&lt;=ABS(F11)),A17,IF(AND(F10&lt;0,F11&lt;0),A16,IF(F11=0,A19,A18))))</f>
        <v>Balanced - no deficit reduction plan is required.</v>
      </c>
      <c r="D12" s="2448"/>
      <c r="E12" s="2448"/>
      <c r="F12" s="2449"/>
    </row>
    <row r="13" spans="1:8" ht="19.5" customHeight="1" x14ac:dyDescent="0.2">
      <c r="A13" s="1074"/>
      <c r="B13" s="1075"/>
      <c r="C13" s="2447"/>
      <c r="D13" s="2448"/>
      <c r="E13" s="2448"/>
      <c r="F13" s="2449"/>
      <c r="H13" s="1064"/>
    </row>
    <row r="14" spans="1:8" ht="19.5" customHeight="1" x14ac:dyDescent="0.2">
      <c r="A14" s="1074"/>
      <c r="B14" s="1075"/>
      <c r="C14" s="2447"/>
      <c r="D14" s="2448"/>
      <c r="E14" s="2448"/>
      <c r="F14" s="2449"/>
      <c r="H14" s="1064"/>
    </row>
    <row r="15" spans="1:8" ht="17.25" customHeight="1" x14ac:dyDescent="0.2">
      <c r="A15" s="1074"/>
      <c r="B15" s="1075"/>
      <c r="C15" s="2450"/>
      <c r="D15" s="2451"/>
      <c r="E15" s="2451"/>
      <c r="F15" s="2452"/>
      <c r="H15" s="1064"/>
    </row>
    <row r="16" spans="1:8" s="310" customFormat="1" ht="51.75" hidden="1" customHeight="1" x14ac:dyDescent="0.2">
      <c r="A16" s="2446" t="s">
        <v>1787</v>
      </c>
      <c r="B16" s="2446"/>
      <c r="C16" s="2446"/>
      <c r="D16" s="2446"/>
      <c r="E16" s="2446"/>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4" zoomScale="110" zoomScaleNormal="110" workbookViewId="0">
      <selection sqref="A1:K1"/>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68" t="s">
        <v>1253</v>
      </c>
      <c r="B2" s="2468"/>
      <c r="C2" s="2468"/>
      <c r="D2" s="2468"/>
      <c r="E2" s="2468"/>
      <c r="F2" s="2468"/>
      <c r="G2" s="2468"/>
      <c r="H2" s="2468"/>
      <c r="I2" s="2468"/>
      <c r="J2" s="2468"/>
      <c r="K2" s="2468"/>
      <c r="L2" s="2468"/>
    </row>
    <row r="3" spans="1:29" ht="13.5" customHeight="1" x14ac:dyDescent="0.2">
      <c r="A3" s="2499" t="s">
        <v>1252</v>
      </c>
      <c r="B3" s="2499"/>
      <c r="C3" s="2499"/>
      <c r="D3" s="2499"/>
      <c r="E3" s="2499"/>
      <c r="F3" s="2499"/>
      <c r="G3" s="2499"/>
      <c r="H3" s="2499"/>
      <c r="I3" s="2499"/>
      <c r="J3" s="2499"/>
      <c r="K3" s="2499"/>
      <c r="L3" s="2499"/>
    </row>
    <row r="4" spans="1:29" ht="13.5" customHeight="1" x14ac:dyDescent="0.2">
      <c r="A4" s="2468" t="s">
        <v>1799</v>
      </c>
      <c r="B4" s="2489"/>
      <c r="C4" s="2489"/>
      <c r="D4" s="2489"/>
      <c r="E4" s="2489"/>
      <c r="F4" s="2489"/>
      <c r="G4" s="2489"/>
      <c r="H4" s="2489"/>
      <c r="I4" s="2489"/>
      <c r="J4" s="2489"/>
      <c r="K4" s="2489"/>
      <c r="L4" s="2489"/>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490" t="str">
        <f>COVER!A17</f>
        <v>Lyons Twp HSD 204</v>
      </c>
      <c r="B7" s="2491"/>
      <c r="C7" s="2491"/>
      <c r="D7" s="2492"/>
      <c r="E7" s="2493">
        <f>COVER!A13</f>
        <v>6016204017</v>
      </c>
      <c r="F7" s="2494"/>
      <c r="G7" s="2500">
        <f>COVER!T23</f>
        <v>66003412</v>
      </c>
      <c r="H7" s="2501"/>
      <c r="I7" s="2501"/>
      <c r="J7" s="2501"/>
      <c r="K7" s="2501"/>
      <c r="L7" s="2502"/>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503"/>
      <c r="B9" s="2504"/>
      <c r="C9" s="2504"/>
      <c r="D9" s="2504"/>
      <c r="E9" s="2504"/>
      <c r="F9" s="2505"/>
      <c r="G9" s="2474" t="str">
        <f>COVER!T13</f>
        <v>Mathieson, Moyski, Austin &amp; Co. LLP</v>
      </c>
      <c r="H9" s="2506"/>
      <c r="I9" s="2506"/>
      <c r="J9" s="2506"/>
      <c r="K9" s="2506"/>
      <c r="L9" s="2507"/>
    </row>
    <row r="10" spans="1:29" ht="13.5" customHeight="1" x14ac:dyDescent="0.2">
      <c r="A10" s="2480">
        <f>COVER!A38</f>
        <v>0</v>
      </c>
      <c r="B10" s="2481"/>
      <c r="C10" s="2481"/>
      <c r="D10" s="2481"/>
      <c r="E10" s="2481"/>
      <c r="F10" s="2482"/>
      <c r="G10" s="2474" t="str">
        <f>COVER!T17</f>
        <v>211 South Wheaton Avenue, Suite 300</v>
      </c>
      <c r="H10" s="2475"/>
      <c r="I10" s="2475"/>
      <c r="J10" s="2475"/>
      <c r="K10" s="2475"/>
      <c r="L10" s="2476"/>
    </row>
    <row r="11" spans="1:29" ht="13.5" customHeight="1" x14ac:dyDescent="0.2">
      <c r="A11" s="1174" t="s">
        <v>1599</v>
      </c>
      <c r="B11" s="1175"/>
      <c r="C11" s="1176"/>
      <c r="D11" s="1181"/>
      <c r="E11" s="1176"/>
      <c r="F11" s="1180"/>
      <c r="G11" s="2474" t="str">
        <f>COVER!T19</f>
        <v>Wheaton</v>
      </c>
      <c r="H11" s="2475"/>
      <c r="I11" s="2475"/>
      <c r="J11" s="2475"/>
      <c r="K11" s="2475"/>
      <c r="L11" s="2476"/>
    </row>
    <row r="12" spans="1:29" ht="13.5" customHeight="1" x14ac:dyDescent="0.2">
      <c r="A12" s="2483" t="s">
        <v>1598</v>
      </c>
      <c r="B12" s="2484"/>
      <c r="C12" s="2484"/>
      <c r="D12" s="2484"/>
      <c r="E12" s="2484"/>
      <c r="F12" s="2485"/>
      <c r="G12" s="2477"/>
      <c r="H12" s="2478"/>
      <c r="I12" s="2478"/>
      <c r="J12" s="2478"/>
      <c r="K12" s="2478"/>
      <c r="L12" s="2479"/>
    </row>
    <row r="13" spans="1:29" ht="13.5" customHeight="1" x14ac:dyDescent="0.2">
      <c r="A13" s="2474"/>
      <c r="B13" s="2475"/>
      <c r="C13" s="2475"/>
      <c r="D13" s="2475"/>
      <c r="E13" s="2475"/>
      <c r="F13" s="2476"/>
      <c r="G13" s="2469" t="s">
        <v>1600</v>
      </c>
      <c r="H13" s="2470"/>
      <c r="I13" s="2486" t="str">
        <f>COVER!T25</f>
        <v>mmoyski@mmaadvisors.com</v>
      </c>
      <c r="J13" s="2487"/>
      <c r="K13" s="2487"/>
      <c r="L13" s="2488"/>
    </row>
    <row r="14" spans="1:29" ht="13.5" customHeight="1" x14ac:dyDescent="0.2">
      <c r="A14" s="2474" t="str">
        <f>COVER!A19</f>
        <v>100 South Brainard Avenue</v>
      </c>
      <c r="B14" s="2475"/>
      <c r="C14" s="2475"/>
      <c r="D14" s="2475"/>
      <c r="E14" s="2475"/>
      <c r="F14" s="2476"/>
      <c r="G14" s="1185" t="s">
        <v>1247</v>
      </c>
      <c r="H14" s="1183"/>
      <c r="I14" s="1183"/>
      <c r="J14" s="1183"/>
      <c r="K14" s="1183"/>
      <c r="L14" s="1184"/>
    </row>
    <row r="15" spans="1:29" ht="13.5" customHeight="1" x14ac:dyDescent="0.2">
      <c r="A15" s="2474" t="str">
        <f>COVER!A21</f>
        <v>LaGrange</v>
      </c>
      <c r="B15" s="2475"/>
      <c r="C15" s="2475"/>
      <c r="D15" s="2475"/>
      <c r="E15" s="2475"/>
      <c r="F15" s="2476"/>
      <c r="G15" s="2471" t="str">
        <f>COVER!T15</f>
        <v>Michael A. Moyski</v>
      </c>
      <c r="H15" s="2472"/>
      <c r="I15" s="2472"/>
      <c r="J15" s="2472"/>
      <c r="K15" s="2472"/>
      <c r="L15" s="2473"/>
    </row>
    <row r="16" spans="1:29" ht="12.2" customHeight="1" x14ac:dyDescent="0.2">
      <c r="A16" s="2496">
        <f>COVER!A25</f>
        <v>60525</v>
      </c>
      <c r="B16" s="2497"/>
      <c r="C16" s="2497"/>
      <c r="D16" s="2497"/>
      <c r="E16" s="2497"/>
      <c r="F16" s="2498"/>
      <c r="G16" s="2508"/>
      <c r="H16" s="2509"/>
      <c r="I16" s="2509"/>
      <c r="J16" s="2509"/>
      <c r="K16" s="2509"/>
      <c r="L16" s="2510"/>
    </row>
    <row r="17" spans="1:13" ht="12.2" customHeight="1" x14ac:dyDescent="0.2">
      <c r="A17" s="2511"/>
      <c r="B17" s="2497"/>
      <c r="C17" s="2497"/>
      <c r="D17" s="2497"/>
      <c r="E17" s="2497"/>
      <c r="F17" s="2498"/>
      <c r="G17" s="1185" t="s">
        <v>1246</v>
      </c>
      <c r="H17" s="1183"/>
      <c r="I17" s="1183"/>
      <c r="J17" s="1183"/>
      <c r="K17" s="1187" t="s">
        <v>1245</v>
      </c>
      <c r="L17" s="1180"/>
      <c r="M17" s="1173"/>
    </row>
    <row r="18" spans="1:13" ht="12.2" customHeight="1" x14ac:dyDescent="0.2">
      <c r="A18" s="2480"/>
      <c r="B18" s="2481"/>
      <c r="C18" s="2481"/>
      <c r="D18" s="2481"/>
      <c r="E18" s="2481"/>
      <c r="F18" s="2482"/>
      <c r="G18" s="2490" t="str">
        <f>COVER!T21</f>
        <v>630-653-1616</v>
      </c>
      <c r="H18" s="2491"/>
      <c r="I18" s="2491"/>
      <c r="J18" s="2491"/>
      <c r="K18" s="2490" t="str">
        <f>COVER!X21</f>
        <v>630-653-1735</v>
      </c>
      <c r="L18" s="2495"/>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512" t="s">
        <v>686</v>
      </c>
      <c r="B3" s="2513"/>
      <c r="C3" s="2513"/>
      <c r="D3" s="2514"/>
    </row>
    <row r="4" spans="1:4" x14ac:dyDescent="0.2">
      <c r="A4" s="1142" t="s">
        <v>1793</v>
      </c>
      <c r="B4" s="1143"/>
      <c r="C4" s="1144"/>
      <c r="D4" s="1145"/>
    </row>
    <row r="5" spans="1:4" ht="21" customHeight="1" x14ac:dyDescent="0.2">
      <c r="A5" s="1138"/>
      <c r="B5" s="1139">
        <v>1</v>
      </c>
      <c r="C5" s="1140" t="s">
        <v>1943</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23" t="s">
        <v>1584</v>
      </c>
      <c r="D7" s="2524"/>
    </row>
    <row r="8" spans="1:4" s="659" customFormat="1" ht="12.75" x14ac:dyDescent="0.2">
      <c r="A8" s="1128"/>
      <c r="B8" s="1083"/>
      <c r="C8" s="1086" t="s">
        <v>1583</v>
      </c>
      <c r="D8" s="1087"/>
    </row>
    <row r="9" spans="1:4" s="659" customFormat="1" ht="14.25" customHeight="1" x14ac:dyDescent="0.2">
      <c r="A9" s="1128"/>
      <c r="B9" s="1083">
        <f>B7+1</f>
        <v>4</v>
      </c>
      <c r="C9" s="1084" t="s">
        <v>2046</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515" t="s">
        <v>1065</v>
      </c>
      <c r="B15" s="2516"/>
      <c r="C15" s="2516"/>
      <c r="D15" s="2517"/>
    </row>
    <row r="16" spans="1:4" s="659" customFormat="1" ht="24" customHeight="1" x14ac:dyDescent="0.2">
      <c r="A16" s="2518" t="s">
        <v>684</v>
      </c>
      <c r="B16" s="2519"/>
      <c r="C16" s="2519"/>
      <c r="D16" s="2520"/>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27" t="s">
        <v>332</v>
      </c>
      <c r="D21" s="2528"/>
    </row>
    <row r="22" spans="1:10" ht="12.75" x14ac:dyDescent="0.2">
      <c r="A22" s="1129"/>
      <c r="B22" s="1130">
        <v>2</v>
      </c>
      <c r="C22" s="2525" t="s">
        <v>1605</v>
      </c>
      <c r="D22" s="2526"/>
    </row>
    <row r="23" spans="1:10" ht="12.2" customHeight="1" x14ac:dyDescent="0.2">
      <c r="A23" s="1129"/>
      <c r="B23" s="1130"/>
      <c r="C23" s="1131" t="s">
        <v>1011</v>
      </c>
      <c r="D23" s="1132" t="str">
        <f>IF(COVER!O11="X","CASH",IF(COVER!O12="X","ACCRUAL ","PLEASE CHECK AN ACCOUNTING BASIS."))</f>
        <v xml:space="preserve">ACCRUAL </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29" t="s">
        <v>557</v>
      </c>
      <c r="D43" s="2530"/>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21" t="s">
        <v>817</v>
      </c>
      <c r="D56" s="2522"/>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1079</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521" t="s">
        <v>1797</v>
      </c>
      <c r="D70" s="2522"/>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2051</v>
      </c>
      <c r="D78" s="1114" t="str">
        <f>IF(ISNUMBER('Acct Summary 7-8'!C9),"OK","ENTRY IS REQUIRED!")</f>
        <v>OK</v>
      </c>
    </row>
    <row r="79" spans="1:4" x14ac:dyDescent="0.2">
      <c r="A79" s="1109"/>
      <c r="B79" s="1110">
        <f>B74+1+1</f>
        <v>12</v>
      </c>
      <c r="C79" s="1120" t="s">
        <v>2016</v>
      </c>
      <c r="D79" s="1121" t="str">
        <f>IF(OR(COVER!$B$6="X",'PCTC-OEPP 27-28'!F78&gt;0),"OK","PLEASE ENTER 9 MO ADA.")</f>
        <v>OK</v>
      </c>
    </row>
    <row r="80" spans="1:4" x14ac:dyDescent="0.2">
      <c r="A80" s="1088"/>
      <c r="B80" s="1110">
        <v>13</v>
      </c>
      <c r="C80" s="1120" t="s">
        <v>2052</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6016204017</v>
      </c>
    </row>
    <row r="3" spans="1:2" x14ac:dyDescent="0.2">
      <c r="A3" t="s">
        <v>1013</v>
      </c>
      <c r="B3" s="138" t="str">
        <f>COVER!A15</f>
        <v>Cook</v>
      </c>
    </row>
    <row r="4" spans="1:2" x14ac:dyDescent="0.2">
      <c r="A4" t="s">
        <v>1064</v>
      </c>
      <c r="B4" s="138" t="str">
        <f>COVER!A17</f>
        <v>Lyons Twp HSD 204</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Michael A. Moyski</v>
      </c>
    </row>
    <row r="18" spans="1:2" x14ac:dyDescent="0.2">
      <c r="A18" t="s">
        <v>1212</v>
      </c>
      <c r="B18" s="138" t="str">
        <f>COVER!T17</f>
        <v>211 South Wheaton Avenue, Suite 300</v>
      </c>
    </row>
    <row r="19" spans="1:2" x14ac:dyDescent="0.2">
      <c r="A19" t="s">
        <v>941</v>
      </c>
      <c r="B19" s="138" t="str">
        <f>COVER!T25</f>
        <v>mmoyski@mmaadvisors.com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25373089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1955511</v>
      </c>
      <c r="D72" s="2" t="str">
        <f t="shared" si="0"/>
        <v>Error?</v>
      </c>
    </row>
    <row r="73" spans="1:4" x14ac:dyDescent="0.2">
      <c r="A73" s="5">
        <v>12</v>
      </c>
      <c r="B73" s="138">
        <f>'Assets-Liab 5-6'!C5</f>
        <v>26930262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55157580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34798</v>
      </c>
      <c r="D86" s="2" t="str">
        <f t="shared" si="0"/>
        <v>Error?</v>
      </c>
    </row>
    <row r="87" spans="1:4" x14ac:dyDescent="0.2">
      <c r="A87" s="10">
        <v>26</v>
      </c>
      <c r="D87" s="2" t="str">
        <f t="shared" si="0"/>
        <v>OK</v>
      </c>
    </row>
    <row r="88" spans="1:4" x14ac:dyDescent="0.2">
      <c r="A88" s="5">
        <v>27</v>
      </c>
      <c r="B88" s="138">
        <f>'Assets-Liab 5-6'!C32</f>
        <v>27221170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28312387</v>
      </c>
      <c r="C91" s="2" t="s">
        <v>594</v>
      </c>
      <c r="D91" s="2" t="str">
        <f t="shared" si="0"/>
        <v>Error?</v>
      </c>
    </row>
    <row r="92" spans="1:4" x14ac:dyDescent="0.2">
      <c r="A92" s="5">
        <v>31</v>
      </c>
      <c r="B92" s="138">
        <f>'Assets-Liab 5-6'!C39</f>
        <v>24880476</v>
      </c>
      <c r="D92" s="2" t="str">
        <f t="shared" si="0"/>
        <v>Error?</v>
      </c>
    </row>
    <row r="93" spans="1:4" x14ac:dyDescent="0.2">
      <c r="A93" s="5">
        <v>32</v>
      </c>
      <c r="B93" s="138">
        <f>'Assets-Liab 5-6'!C41</f>
        <v>55157580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4103235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7467240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11608089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4259112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4349016</v>
      </c>
      <c r="C122" s="2" t="s">
        <v>594</v>
      </c>
      <c r="D122" s="2" t="str">
        <f t="shared" si="0"/>
        <v>Error?</v>
      </c>
    </row>
    <row r="123" spans="1:4" x14ac:dyDescent="0.2">
      <c r="A123" s="5">
        <v>62</v>
      </c>
      <c r="B123" s="138">
        <f>'Assets-Liab 5-6'!D39</f>
        <v>7259073</v>
      </c>
      <c r="D123" s="2" t="str">
        <f t="shared" si="0"/>
        <v>Error?</v>
      </c>
    </row>
    <row r="124" spans="1:4" x14ac:dyDescent="0.2">
      <c r="A124" s="5">
        <v>63</v>
      </c>
      <c r="B124" s="138">
        <f>'Assets-Liab 5-6'!D41</f>
        <v>11608089</v>
      </c>
      <c r="C124" s="2" t="s">
        <v>594</v>
      </c>
      <c r="D124" s="2" t="str">
        <f t="shared" si="0"/>
        <v>Error?</v>
      </c>
    </row>
    <row r="125" spans="1:4" x14ac:dyDescent="0.2">
      <c r="A125" s="10">
        <v>64</v>
      </c>
      <c r="D125" s="2" t="str">
        <f t="shared" si="0"/>
        <v>OK</v>
      </c>
    </row>
    <row r="126" spans="1:4" x14ac:dyDescent="0.2">
      <c r="A126" s="5">
        <v>65</v>
      </c>
      <c r="B126" s="138">
        <f>'Assets-Liab 5-6'!E6</f>
        <v>1188525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1187654</v>
      </c>
      <c r="D129" s="2" t="str">
        <f t="shared" si="1"/>
        <v>Error?</v>
      </c>
    </row>
    <row r="130" spans="1:4" x14ac:dyDescent="0.2">
      <c r="A130" s="5">
        <v>69</v>
      </c>
      <c r="B130" s="138">
        <f>'Assets-Liab 5-6'!E12</f>
        <v>0</v>
      </c>
      <c r="D130" s="2" t="str">
        <f t="shared" si="1"/>
        <v>Error?</v>
      </c>
    </row>
    <row r="131" spans="1:4" x14ac:dyDescent="0.2">
      <c r="A131" s="5">
        <v>70</v>
      </c>
      <c r="B131" s="138">
        <f>'Assets-Liab 5-6'!E13</f>
        <v>2376179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1200041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1200041</v>
      </c>
      <c r="C139" s="2" t="s">
        <v>594</v>
      </c>
      <c r="D139" s="2" t="str">
        <f t="shared" si="1"/>
        <v>Error?</v>
      </c>
    </row>
    <row r="140" spans="1:4" x14ac:dyDescent="0.2">
      <c r="A140" s="5">
        <v>79</v>
      </c>
      <c r="B140" s="138">
        <f>'Assets-Liab 5-6'!E39</f>
        <v>1176138</v>
      </c>
      <c r="D140" s="2" t="str">
        <f t="shared" si="1"/>
        <v>Error?</v>
      </c>
    </row>
    <row r="141" spans="1:4" x14ac:dyDescent="0.2">
      <c r="A141" s="5">
        <v>80</v>
      </c>
      <c r="B141" s="138">
        <f>'Assets-Liab 5-6'!E41</f>
        <v>2376179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868881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748725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1871900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1131377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1206771</v>
      </c>
      <c r="C169" s="2" t="s">
        <v>594</v>
      </c>
      <c r="D169" s="2" t="str">
        <f t="shared" si="1"/>
        <v>Error?</v>
      </c>
    </row>
    <row r="170" spans="1:4" x14ac:dyDescent="0.2">
      <c r="A170" s="5">
        <v>109</v>
      </c>
      <c r="B170" s="138">
        <f>'Assets-Liab 5-6'!F39</f>
        <v>665129</v>
      </c>
      <c r="D170" s="2" t="str">
        <f t="shared" si="1"/>
        <v>Error?</v>
      </c>
    </row>
    <row r="171" spans="1:4" x14ac:dyDescent="0.2">
      <c r="A171" s="5">
        <v>110</v>
      </c>
      <c r="B171" s="138">
        <f>'Assets-Liab 5-6'!F41</f>
        <v>1871900</v>
      </c>
      <c r="C171" s="2" t="s">
        <v>594</v>
      </c>
      <c r="D171" s="2" t="str">
        <f t="shared" si="1"/>
        <v>Error?</v>
      </c>
    </row>
    <row r="172" spans="1:4" x14ac:dyDescent="0.2">
      <c r="A172" s="10">
        <v>111</v>
      </c>
      <c r="D172" s="2" t="str">
        <f t="shared" si="1"/>
        <v>OK</v>
      </c>
    </row>
    <row r="173" spans="1:4" x14ac:dyDescent="0.2">
      <c r="A173" s="5">
        <v>112</v>
      </c>
      <c r="B173" s="138">
        <f>'Assets-Liab 5-6'!G6</f>
        <v>1031569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740304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1771873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1041802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1041802</v>
      </c>
      <c r="C188" s="2" t="s">
        <v>594</v>
      </c>
      <c r="D188" s="2" t="str">
        <f t="shared" si="1"/>
        <v>Error?</v>
      </c>
    </row>
    <row r="189" spans="1:4" x14ac:dyDescent="0.2">
      <c r="A189" s="5">
        <v>128</v>
      </c>
      <c r="B189" s="138">
        <f>'Assets-Liab 5-6'!G39</f>
        <v>730071</v>
      </c>
      <c r="D189" s="2" t="str">
        <f t="shared" si="1"/>
        <v>Error?</v>
      </c>
    </row>
    <row r="190" spans="1:4" x14ac:dyDescent="0.2">
      <c r="A190" s="5">
        <v>129</v>
      </c>
      <c r="B190" s="138">
        <f>'Assets-Liab 5-6'!G41</f>
        <v>1771873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1130500</v>
      </c>
      <c r="D273" s="2" t="str">
        <f t="shared" si="3"/>
        <v>Error?</v>
      </c>
    </row>
    <row r="274" spans="1:4" x14ac:dyDescent="0.2">
      <c r="A274" s="5">
        <v>213</v>
      </c>
      <c r="B274" s="138">
        <f>'Assets-Liab 5-6'!M17</f>
        <v>89333091</v>
      </c>
      <c r="D274" s="2" t="str">
        <f t="shared" si="3"/>
        <v>Error?</v>
      </c>
    </row>
    <row r="275" spans="1:4" x14ac:dyDescent="0.2">
      <c r="A275" s="5">
        <v>214</v>
      </c>
      <c r="B275" s="138">
        <f>'Assets-Liab 5-6'!M18</f>
        <v>5390020</v>
      </c>
      <c r="D275" s="2" t="str">
        <f t="shared" si="3"/>
        <v>Error?</v>
      </c>
    </row>
    <row r="276" spans="1:4" x14ac:dyDescent="0.2">
      <c r="A276" s="5">
        <v>215</v>
      </c>
      <c r="B276" s="138">
        <f>'Assets-Liab 5-6'!M19</f>
        <v>17895396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113749007</v>
      </c>
      <c r="C279" s="2" t="s">
        <v>594</v>
      </c>
      <c r="D279" s="2" t="str">
        <f t="shared" si="3"/>
        <v>Error?</v>
      </c>
    </row>
    <row r="280" spans="1:4" x14ac:dyDescent="0.2">
      <c r="A280" s="5">
        <v>219</v>
      </c>
      <c r="B280" s="138">
        <f>'Assets-Liab 5-6'!M40</f>
        <v>113749007</v>
      </c>
      <c r="D280" s="2" t="str">
        <f t="shared" si="3"/>
        <v>Error?</v>
      </c>
    </row>
    <row r="281" spans="1:4" x14ac:dyDescent="0.2">
      <c r="A281" s="5">
        <v>220</v>
      </c>
      <c r="B281" s="138">
        <f>'Assets-Liab 5-6'!M41</f>
        <v>113749007</v>
      </c>
      <c r="C281" s="2" t="s">
        <v>594</v>
      </c>
      <c r="D281" s="2" t="str">
        <f t="shared" si="3"/>
        <v>Error?</v>
      </c>
    </row>
    <row r="282" spans="1:4" x14ac:dyDescent="0.2">
      <c r="A282" s="5">
        <v>221</v>
      </c>
      <c r="B282" s="138">
        <f>'Assets-Liab 5-6'!N21</f>
        <v>1176138</v>
      </c>
      <c r="D282" s="2" t="str">
        <f t="shared" si="3"/>
        <v>Error?</v>
      </c>
    </row>
    <row r="283" spans="1:4" x14ac:dyDescent="0.2">
      <c r="A283" s="5">
        <v>222</v>
      </c>
      <c r="B283" s="138">
        <f>'Assets-Liab 5-6'!N22</f>
        <v>12533862</v>
      </c>
      <c r="D283" s="2" t="str">
        <f t="shared" si="3"/>
        <v>Error?</v>
      </c>
    </row>
    <row r="284" spans="1:4" x14ac:dyDescent="0.2">
      <c r="A284" s="5">
        <v>223</v>
      </c>
      <c r="B284" s="138">
        <f>'Assets-Liab 5-6'!N23</f>
        <v>13710000</v>
      </c>
      <c r="C284" s="2" t="s">
        <v>594</v>
      </c>
      <c r="D284" s="2" t="str">
        <f t="shared" si="3"/>
        <v>Error?</v>
      </c>
    </row>
    <row r="285" spans="1:4" x14ac:dyDescent="0.2">
      <c r="A285" s="5">
        <v>224</v>
      </c>
      <c r="B285" s="138">
        <f>'Assets-Liab 5-6'!N36</f>
        <v>13710000</v>
      </c>
      <c r="D285" s="2" t="str">
        <f t="shared" si="3"/>
        <v>Error?</v>
      </c>
    </row>
    <row r="286" spans="1:4" x14ac:dyDescent="0.2">
      <c r="A286" s="10">
        <v>225</v>
      </c>
      <c r="D286" s="2" t="str">
        <f t="shared" si="3"/>
        <v>OK</v>
      </c>
    </row>
    <row r="287" spans="1:4" x14ac:dyDescent="0.2">
      <c r="A287" s="5">
        <v>226</v>
      </c>
      <c r="B287" s="138">
        <f>'Assets-Liab 5-6'!N37</f>
        <v>13710000</v>
      </c>
      <c r="C287" s="2" t="s">
        <v>594</v>
      </c>
      <c r="D287" s="2" t="str">
        <f t="shared" si="3"/>
        <v>Error?</v>
      </c>
    </row>
    <row r="288" spans="1:4" x14ac:dyDescent="0.2">
      <c r="A288" s="5">
        <v>227</v>
      </c>
      <c r="B288" s="138">
        <f>'Assets-Liab 5-6'!N41</f>
        <v>13710000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24253242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70106</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1444272</v>
      </c>
      <c r="D718" s="2" t="str">
        <f t="shared" si="10"/>
        <v>Error?</v>
      </c>
    </row>
    <row r="719" spans="1:4" x14ac:dyDescent="0.2">
      <c r="A719" s="5">
        <v>658</v>
      </c>
      <c r="B719" s="138">
        <f>'Expenditures 15-22'!C15</f>
        <v>260434</v>
      </c>
      <c r="D719" s="2" t="str">
        <f t="shared" si="10"/>
        <v>Error?</v>
      </c>
    </row>
    <row r="720" spans="1:4" x14ac:dyDescent="0.2">
      <c r="A720" s="5">
        <v>659</v>
      </c>
      <c r="B720" s="138">
        <f>'Expenditures 15-22'!C33</f>
        <v>32449701</v>
      </c>
      <c r="C720" s="2" t="s">
        <v>594</v>
      </c>
      <c r="D720" s="2" t="str">
        <f t="shared" si="10"/>
        <v>Error?</v>
      </c>
    </row>
    <row r="721" spans="1:4" x14ac:dyDescent="0.2">
      <c r="A721" s="5">
        <v>660</v>
      </c>
      <c r="B721" s="138">
        <f>'Expenditures 15-22'!C36</f>
        <v>1248055</v>
      </c>
      <c r="D721" s="2" t="str">
        <f t="shared" si="10"/>
        <v>Error?</v>
      </c>
    </row>
    <row r="722" spans="1:4" x14ac:dyDescent="0.2">
      <c r="A722" s="5">
        <v>661</v>
      </c>
      <c r="B722" s="138">
        <f>'Expenditures 15-22'!C37</f>
        <v>3151412</v>
      </c>
      <c r="D722" s="2" t="str">
        <f t="shared" si="10"/>
        <v>Error?</v>
      </c>
    </row>
    <row r="723" spans="1:4" x14ac:dyDescent="0.2">
      <c r="A723" s="5">
        <v>662</v>
      </c>
      <c r="B723" s="138">
        <f>'Expenditures 15-22'!C38</f>
        <v>177545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143134</v>
      </c>
      <c r="D726" s="2" t="str">
        <f t="shared" si="10"/>
        <v>Error?</v>
      </c>
    </row>
    <row r="727" spans="1:4" x14ac:dyDescent="0.2">
      <c r="A727" s="5">
        <v>666</v>
      </c>
      <c r="B727" s="138">
        <f>'Expenditures 15-22'!C42</f>
        <v>4720146</v>
      </c>
      <c r="C727" s="2" t="s">
        <v>594</v>
      </c>
      <c r="D727" s="2" t="str">
        <f t="shared" si="10"/>
        <v>Error?</v>
      </c>
    </row>
    <row r="728" spans="1:4" x14ac:dyDescent="0.2">
      <c r="A728" s="5">
        <v>667</v>
      </c>
      <c r="B728" s="138">
        <f>'Expenditures 15-22'!C44</f>
        <v>311245</v>
      </c>
      <c r="D728" s="2" t="str">
        <f t="shared" si="10"/>
        <v>Error?</v>
      </c>
    </row>
    <row r="729" spans="1:4" x14ac:dyDescent="0.2">
      <c r="A729" s="5">
        <v>668</v>
      </c>
      <c r="B729" s="138">
        <f>'Expenditures 15-22'!C45</f>
        <v>1587627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1898872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360115</v>
      </c>
      <c r="D733" s="2" t="str">
        <f t="shared" si="10"/>
        <v>Error?</v>
      </c>
    </row>
    <row r="734" spans="1:4" x14ac:dyDescent="0.2">
      <c r="A734" s="5">
        <v>673</v>
      </c>
      <c r="B734" s="138">
        <f>'Expenditures 15-22'!C53</f>
        <v>360115</v>
      </c>
      <c r="C734" s="2" t="s">
        <v>594</v>
      </c>
      <c r="D734" s="2" t="str">
        <f t="shared" si="10"/>
        <v>Error?</v>
      </c>
    </row>
    <row r="735" spans="1:4" x14ac:dyDescent="0.2">
      <c r="A735" s="5">
        <v>674</v>
      </c>
      <c r="B735" s="138">
        <f>'Expenditures 15-22'!C55</f>
        <v>2981485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2981485</v>
      </c>
      <c r="C737" s="2" t="s">
        <v>594</v>
      </c>
      <c r="D737" s="2" t="str">
        <f t="shared" si="10"/>
        <v>Error?</v>
      </c>
    </row>
    <row r="738" spans="1:4" x14ac:dyDescent="0.2">
      <c r="A738" s="5">
        <v>677</v>
      </c>
      <c r="B738" s="138">
        <f>'Expenditures 15-22'!C59</f>
        <v>171239</v>
      </c>
      <c r="D738" s="2" t="str">
        <f t="shared" si="10"/>
        <v>Error?</v>
      </c>
    </row>
    <row r="739" spans="1:4" x14ac:dyDescent="0.2">
      <c r="A739" s="5">
        <v>678</v>
      </c>
      <c r="B739" s="138">
        <f>'Expenditures 15-22'!C60</f>
        <v>356543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171773</v>
      </c>
      <c r="D743" s="2" t="str">
        <f t="shared" si="10"/>
        <v>Error?</v>
      </c>
    </row>
    <row r="744" spans="1:4" x14ac:dyDescent="0.2">
      <c r="A744" s="10">
        <v>683</v>
      </c>
      <c r="D744" s="2" t="str">
        <f t="shared" si="10"/>
        <v>OK</v>
      </c>
    </row>
    <row r="745" spans="1:4" x14ac:dyDescent="0.2">
      <c r="A745" s="5">
        <v>684</v>
      </c>
      <c r="B745" s="138">
        <f>'Expenditures 15-22'!C65</f>
        <v>699555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147656</v>
      </c>
      <c r="D748" s="2" t="str">
        <f t="shared" si="10"/>
        <v>Error?</v>
      </c>
    </row>
    <row r="749" spans="1:4" x14ac:dyDescent="0.2">
      <c r="A749" s="5">
        <v>688</v>
      </c>
      <c r="B749" s="138">
        <f>'Expenditures 15-22'!C70</f>
        <v>327529</v>
      </c>
      <c r="D749" s="2" t="str">
        <f t="shared" si="10"/>
        <v>Error?</v>
      </c>
    </row>
    <row r="750" spans="1:4" x14ac:dyDescent="0.2">
      <c r="A750" s="10">
        <v>689</v>
      </c>
      <c r="D750" s="2" t="str">
        <f t="shared" si="10"/>
        <v>OK</v>
      </c>
    </row>
    <row r="751" spans="1:4" x14ac:dyDescent="0.2">
      <c r="A751" s="5">
        <v>690</v>
      </c>
      <c r="B751" s="138">
        <f>'Expenditures 15-22'!C71</f>
        <v>201098</v>
      </c>
      <c r="D751" s="2" t="str">
        <f t="shared" si="10"/>
        <v>Error?</v>
      </c>
    </row>
    <row r="752" spans="1:4" x14ac:dyDescent="0.2">
      <c r="A752" s="10">
        <v>691</v>
      </c>
      <c r="D752" s="2" t="str">
        <f t="shared" si="10"/>
        <v>OK</v>
      </c>
    </row>
    <row r="753" spans="1:4" x14ac:dyDescent="0.2">
      <c r="A753" s="5">
        <v>692</v>
      </c>
      <c r="B753" s="138">
        <f>'Expenditures 15-22'!C72</f>
        <v>676283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11336456</v>
      </c>
      <c r="C755" s="2" t="s">
        <v>594</v>
      </c>
      <c r="D755" s="2" t="str">
        <f t="shared" si="10"/>
        <v>Error?</v>
      </c>
    </row>
    <row r="756" spans="1:4" x14ac:dyDescent="0.2">
      <c r="A756" s="5">
        <v>695</v>
      </c>
      <c r="B756" s="138">
        <f>'Expenditures 15-22'!C75</f>
        <v>239666</v>
      </c>
      <c r="D756" s="2" t="str">
        <f t="shared" si="10"/>
        <v>Error?</v>
      </c>
    </row>
    <row r="757" spans="1:4" x14ac:dyDescent="0.2">
      <c r="A757" s="5">
        <v>696</v>
      </c>
      <c r="B757" s="138">
        <f>'Expenditures 15-22'!C114</f>
        <v>44025823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3226445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6787</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20255</v>
      </c>
      <c r="D776" s="2" t="str">
        <f t="shared" si="11"/>
        <v>Error?</v>
      </c>
    </row>
    <row r="777" spans="1:4" x14ac:dyDescent="0.2">
      <c r="A777" s="5">
        <v>716</v>
      </c>
      <c r="B777" s="138">
        <f>'Expenditures 15-22'!D15</f>
        <v>2495</v>
      </c>
      <c r="D777" s="2" t="str">
        <f t="shared" si="11"/>
        <v>Error?</v>
      </c>
    </row>
    <row r="778" spans="1:4" x14ac:dyDescent="0.2">
      <c r="A778" s="5">
        <v>717</v>
      </c>
      <c r="B778" s="138">
        <f>'Expenditures 15-22'!D33</f>
        <v>4644934</v>
      </c>
      <c r="C778" s="2" t="s">
        <v>594</v>
      </c>
      <c r="D778" s="2" t="str">
        <f t="shared" si="11"/>
        <v>Error?</v>
      </c>
    </row>
    <row r="779" spans="1:4" x14ac:dyDescent="0.2">
      <c r="A779" s="5">
        <v>718</v>
      </c>
      <c r="B779" s="138">
        <f>'Expenditures 15-22'!D36</f>
        <v>343821</v>
      </c>
      <c r="D779" s="2" t="str">
        <f t="shared" si="11"/>
        <v>Error?</v>
      </c>
    </row>
    <row r="780" spans="1:4" x14ac:dyDescent="0.2">
      <c r="A780" s="5">
        <v>719</v>
      </c>
      <c r="B780" s="138">
        <f>'Expenditures 15-22'!D37</f>
        <v>429482</v>
      </c>
      <c r="D780" s="2" t="str">
        <f t="shared" si="11"/>
        <v>Error?</v>
      </c>
    </row>
    <row r="781" spans="1:4" x14ac:dyDescent="0.2">
      <c r="A781" s="5">
        <v>720</v>
      </c>
      <c r="B781" s="138">
        <f>'Expenditures 15-22'!D38</f>
        <v>60102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489</v>
      </c>
      <c r="D784" s="2" t="str">
        <f t="shared" si="11"/>
        <v>Error?</v>
      </c>
    </row>
    <row r="785" spans="1:4" x14ac:dyDescent="0.2">
      <c r="A785" s="5">
        <v>724</v>
      </c>
      <c r="B785" s="138">
        <f>'Expenditures 15-22'!D42</f>
        <v>833894</v>
      </c>
      <c r="C785" s="2" t="s">
        <v>594</v>
      </c>
      <c r="D785" s="2" t="str">
        <f t="shared" si="11"/>
        <v>Error?</v>
      </c>
    </row>
    <row r="786" spans="1:4" x14ac:dyDescent="0.2">
      <c r="A786" s="5">
        <v>725</v>
      </c>
      <c r="B786" s="138">
        <f>'Expenditures 15-22'!D44</f>
        <v>60385</v>
      </c>
      <c r="D786" s="2" t="str">
        <f t="shared" si="11"/>
        <v>Error?</v>
      </c>
    </row>
    <row r="787" spans="1:4" x14ac:dyDescent="0.2">
      <c r="A787" s="5">
        <v>726</v>
      </c>
      <c r="B787" s="138">
        <f>'Expenditures 15-22'!D45</f>
        <v>271549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331934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59524</v>
      </c>
      <c r="D791" s="2" t="str">
        <f t="shared" si="11"/>
        <v>Error?</v>
      </c>
    </row>
    <row r="792" spans="1:4" x14ac:dyDescent="0.2">
      <c r="A792" s="5">
        <v>731</v>
      </c>
      <c r="B792" s="138">
        <f>'Expenditures 15-22'!D53</f>
        <v>59524</v>
      </c>
      <c r="C792" s="2" t="s">
        <v>594</v>
      </c>
      <c r="D792" s="2" t="str">
        <f t="shared" si="11"/>
        <v>Error?</v>
      </c>
    </row>
    <row r="793" spans="1:4" x14ac:dyDescent="0.2">
      <c r="A793" s="5">
        <v>732</v>
      </c>
      <c r="B793" s="138">
        <f>'Expenditures 15-22'!D55</f>
        <v>499983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499983</v>
      </c>
      <c r="C795" s="2" t="s">
        <v>594</v>
      </c>
      <c r="D795" s="2" t="str">
        <f t="shared" si="11"/>
        <v>Error?</v>
      </c>
    </row>
    <row r="796" spans="1:4" x14ac:dyDescent="0.2">
      <c r="A796" s="5">
        <v>735</v>
      </c>
      <c r="B796" s="138">
        <f>'Expenditures 15-22'!D59</f>
        <v>42506</v>
      </c>
      <c r="D796" s="2" t="str">
        <f t="shared" si="11"/>
        <v>Error?</v>
      </c>
    </row>
    <row r="797" spans="1:4" x14ac:dyDescent="0.2">
      <c r="A797" s="5">
        <v>736</v>
      </c>
      <c r="B797" s="138">
        <f>'Expenditures 15-22'!D60</f>
        <v>101179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36937</v>
      </c>
      <c r="D801" s="2" t="str">
        <f t="shared" si="11"/>
        <v>Error?</v>
      </c>
    </row>
    <row r="802" spans="1:4" x14ac:dyDescent="0.2">
      <c r="A802" s="10">
        <v>741</v>
      </c>
      <c r="D802" s="2" t="str">
        <f t="shared" si="11"/>
        <v>OK</v>
      </c>
    </row>
    <row r="803" spans="1:4" x14ac:dyDescent="0.2">
      <c r="A803" s="5">
        <v>742</v>
      </c>
      <c r="B803" s="138">
        <f>'Expenditures 15-22'!D65</f>
        <v>180622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12450</v>
      </c>
      <c r="D806" s="2" t="str">
        <f t="shared" si="11"/>
        <v>Error?</v>
      </c>
    </row>
    <row r="807" spans="1:4" x14ac:dyDescent="0.2">
      <c r="A807" s="5">
        <v>746</v>
      </c>
      <c r="B807" s="138">
        <f>'Expenditures 15-22'!D70</f>
        <v>71707</v>
      </c>
      <c r="D807" s="2" t="str">
        <f t="shared" si="11"/>
        <v>Error?</v>
      </c>
    </row>
    <row r="808" spans="1:4" x14ac:dyDescent="0.2">
      <c r="A808" s="10">
        <v>747</v>
      </c>
      <c r="D808" s="2" t="str">
        <f t="shared" si="11"/>
        <v>OK</v>
      </c>
    </row>
    <row r="809" spans="1:4" x14ac:dyDescent="0.2">
      <c r="A809" s="5">
        <v>748</v>
      </c>
      <c r="B809" s="138">
        <f>'Expenditures 15-22'!D71</f>
        <v>28371</v>
      </c>
      <c r="D809" s="2" t="str">
        <f t="shared" si="11"/>
        <v>Error?</v>
      </c>
    </row>
    <row r="810" spans="1:4" x14ac:dyDescent="0.2">
      <c r="A810" s="10">
        <v>749</v>
      </c>
      <c r="D810" s="2" t="str">
        <f t="shared" si="11"/>
        <v>OK</v>
      </c>
    </row>
    <row r="811" spans="1:4" x14ac:dyDescent="0.2">
      <c r="A811" s="5">
        <v>750</v>
      </c>
      <c r="B811" s="138">
        <f>'Expenditures 15-22'!D72</f>
        <v>112528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2018485</v>
      </c>
      <c r="C813" s="2" t="s">
        <v>594</v>
      </c>
      <c r="D813" s="2" t="str">
        <f t="shared" si="11"/>
        <v>Error?</v>
      </c>
    </row>
    <row r="814" spans="1:4" x14ac:dyDescent="0.2">
      <c r="A814" s="5">
        <v>753</v>
      </c>
      <c r="B814" s="138">
        <f>'Expenditures 15-22'!D75</f>
        <v>1536</v>
      </c>
      <c r="D814" s="2" t="str">
        <f t="shared" si="11"/>
        <v>Error?</v>
      </c>
    </row>
    <row r="815" spans="1:4" x14ac:dyDescent="0.2">
      <c r="A815" s="5">
        <v>754</v>
      </c>
      <c r="B815" s="138">
        <f>'Expenditures 15-22'!D114</f>
        <v>6664955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254395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687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30316</v>
      </c>
      <c r="D832" s="2" t="str">
        <f t="shared" si="12"/>
        <v>Error?</v>
      </c>
    </row>
    <row r="833" spans="1:4" x14ac:dyDescent="0.2">
      <c r="A833" s="5">
        <v>772</v>
      </c>
      <c r="B833" s="138">
        <f>'Expenditures 15-22'!E13</f>
        <v>6516</v>
      </c>
      <c r="D833" s="2" t="str">
        <f t="shared" si="12"/>
        <v>Error?</v>
      </c>
    </row>
    <row r="834" spans="1:4" x14ac:dyDescent="0.2">
      <c r="A834" s="5">
        <v>773</v>
      </c>
      <c r="B834" s="138">
        <f>'Expenditures 15-22'!E14</f>
        <v>241157</v>
      </c>
      <c r="D834" s="2" t="str">
        <f t="shared" si="12"/>
        <v>Error?</v>
      </c>
    </row>
    <row r="835" spans="1:4" x14ac:dyDescent="0.2">
      <c r="A835" s="5">
        <v>774</v>
      </c>
      <c r="B835" s="138">
        <f>'Expenditures 15-22'!E15</f>
        <v>2834</v>
      </c>
      <c r="D835" s="2" t="str">
        <f t="shared" si="12"/>
        <v>Error?</v>
      </c>
    </row>
    <row r="836" spans="1:4" x14ac:dyDescent="0.2">
      <c r="A836" s="5">
        <v>775</v>
      </c>
      <c r="B836" s="138">
        <f>'Expenditures 15-22'!E33</f>
        <v>705104</v>
      </c>
      <c r="C836" s="2" t="s">
        <v>594</v>
      </c>
      <c r="D836" s="2" t="str">
        <f t="shared" si="12"/>
        <v>Error?</v>
      </c>
    </row>
    <row r="837" spans="1:4" x14ac:dyDescent="0.2">
      <c r="A837" s="5">
        <v>776</v>
      </c>
      <c r="B837" s="138">
        <f>'Expenditures 15-22'!E36</f>
        <v>11894</v>
      </c>
      <c r="D837" s="2" t="str">
        <f t="shared" si="12"/>
        <v>Error?</v>
      </c>
    </row>
    <row r="838" spans="1:4" x14ac:dyDescent="0.2">
      <c r="A838" s="5">
        <v>777</v>
      </c>
      <c r="B838" s="138">
        <f>'Expenditures 15-22'!E37</f>
        <v>160750</v>
      </c>
      <c r="D838" s="2" t="str">
        <f t="shared" si="12"/>
        <v>Error?</v>
      </c>
    </row>
    <row r="839" spans="1:4" x14ac:dyDescent="0.2">
      <c r="A839" s="5">
        <v>778</v>
      </c>
      <c r="B839" s="138">
        <f>'Expenditures 15-22'!E38</f>
        <v>33898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21638</v>
      </c>
      <c r="D842" s="2" t="str">
        <f t="shared" si="12"/>
        <v>Error?</v>
      </c>
    </row>
    <row r="843" spans="1:4" x14ac:dyDescent="0.2">
      <c r="A843" s="5">
        <v>782</v>
      </c>
      <c r="B843" s="138">
        <f>'Expenditures 15-22'!E42</f>
        <v>228180</v>
      </c>
      <c r="C843" s="2" t="s">
        <v>594</v>
      </c>
      <c r="D843" s="2" t="str">
        <f t="shared" si="12"/>
        <v>Error?</v>
      </c>
    </row>
    <row r="844" spans="1:4" x14ac:dyDescent="0.2">
      <c r="A844" s="5">
        <v>783</v>
      </c>
      <c r="B844" s="138">
        <f>'Expenditures 15-22'!E44</f>
        <v>99962</v>
      </c>
      <c r="D844" s="2" t="str">
        <f t="shared" si="12"/>
        <v>Error?</v>
      </c>
    </row>
    <row r="845" spans="1:4" x14ac:dyDescent="0.2">
      <c r="A845" s="5">
        <v>784</v>
      </c>
      <c r="B845" s="138">
        <f>'Expenditures 15-22'!E45</f>
        <v>73421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173383</v>
      </c>
      <c r="C847" s="2" t="s">
        <v>594</v>
      </c>
      <c r="D847" s="2" t="str">
        <f t="shared" si="12"/>
        <v>Error?</v>
      </c>
    </row>
    <row r="848" spans="1:4" x14ac:dyDescent="0.2">
      <c r="A848" s="5">
        <v>787</v>
      </c>
      <c r="B848" s="138">
        <f>'Expenditures 15-22'!E49</f>
        <v>501913</v>
      </c>
      <c r="D848" s="2" t="str">
        <f t="shared" si="12"/>
        <v>Error?</v>
      </c>
    </row>
    <row r="849" spans="1:4" x14ac:dyDescent="0.2">
      <c r="A849" s="5">
        <v>788</v>
      </c>
      <c r="B849" s="138">
        <f>'Expenditures 15-22'!E50</f>
        <v>4086</v>
      </c>
      <c r="D849" s="2" t="str">
        <f t="shared" si="12"/>
        <v>Error?</v>
      </c>
    </row>
    <row r="850" spans="1:4" x14ac:dyDescent="0.2">
      <c r="A850" s="5">
        <v>789</v>
      </c>
      <c r="B850" s="138">
        <f>'Expenditures 15-22'!E53</f>
        <v>505999</v>
      </c>
      <c r="C850" s="2" t="s">
        <v>594</v>
      </c>
      <c r="D850" s="2" t="str">
        <f t="shared" si="12"/>
        <v>Error?</v>
      </c>
    </row>
    <row r="851" spans="1:4" x14ac:dyDescent="0.2">
      <c r="A851" s="5">
        <v>790</v>
      </c>
      <c r="B851" s="138">
        <f>'Expenditures 15-22'!E55</f>
        <v>56548</v>
      </c>
      <c r="D851" s="2" t="str">
        <f t="shared" si="12"/>
        <v>Error?</v>
      </c>
    </row>
    <row r="852" spans="1:4" x14ac:dyDescent="0.2">
      <c r="A852" s="5">
        <v>791</v>
      </c>
      <c r="B852" s="138">
        <f>'Expenditures 15-22'!E56</f>
        <v>47501</v>
      </c>
      <c r="D852" s="2" t="str">
        <f t="shared" si="12"/>
        <v>Error?</v>
      </c>
    </row>
    <row r="853" spans="1:4" x14ac:dyDescent="0.2">
      <c r="A853" s="5">
        <v>792</v>
      </c>
      <c r="B853" s="138">
        <f>'Expenditures 15-22'!E57</f>
        <v>104049</v>
      </c>
      <c r="C853" s="2" t="s">
        <v>594</v>
      </c>
      <c r="D853" s="2" t="str">
        <f t="shared" si="12"/>
        <v>Error?</v>
      </c>
    </row>
    <row r="854" spans="1:4" x14ac:dyDescent="0.2">
      <c r="A854" s="5">
        <v>793</v>
      </c>
      <c r="B854" s="138">
        <f>'Expenditures 15-22'!E59</f>
        <v>220</v>
      </c>
      <c r="D854" s="2" t="str">
        <f t="shared" si="12"/>
        <v>Error?</v>
      </c>
    </row>
    <row r="855" spans="1:4" x14ac:dyDescent="0.2">
      <c r="A855" s="5">
        <v>794</v>
      </c>
      <c r="B855" s="138">
        <f>'Expenditures 15-22'!E60</f>
        <v>6374</v>
      </c>
      <c r="D855" s="2" t="str">
        <f t="shared" si="12"/>
        <v>Error?</v>
      </c>
    </row>
    <row r="856" spans="1:4" x14ac:dyDescent="0.2">
      <c r="A856" s="5">
        <v>795</v>
      </c>
      <c r="B856" s="138">
        <f>'Expenditures 15-22'!E61</f>
        <v>73933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1064449</v>
      </c>
      <c r="D858" s="2" t="str">
        <f t="shared" si="12"/>
        <v>Error?</v>
      </c>
    </row>
    <row r="859" spans="1:4" x14ac:dyDescent="0.2">
      <c r="A859" s="5">
        <v>798</v>
      </c>
      <c r="B859" s="138">
        <f>'Expenditures 15-22'!E64</f>
        <v>26706</v>
      </c>
      <c r="D859" s="2" t="str">
        <f t="shared" si="12"/>
        <v>Error?</v>
      </c>
    </row>
    <row r="860" spans="1:4" x14ac:dyDescent="0.2">
      <c r="A860" s="10">
        <v>799</v>
      </c>
      <c r="D860" s="2" t="str">
        <f t="shared" si="12"/>
        <v>OK</v>
      </c>
    </row>
    <row r="861" spans="1:4" x14ac:dyDescent="0.2">
      <c r="A861" s="5">
        <v>800</v>
      </c>
      <c r="B861" s="138">
        <f>'Expenditures 15-22'!E65</f>
        <v>1171682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33909</v>
      </c>
      <c r="D864" s="2" t="str">
        <f t="shared" si="12"/>
        <v>Error?</v>
      </c>
    </row>
    <row r="865" spans="1:4" x14ac:dyDescent="0.2">
      <c r="A865" s="5">
        <v>804</v>
      </c>
      <c r="B865" s="138">
        <f>'Expenditures 15-22'!E70</f>
        <v>25615</v>
      </c>
      <c r="D865" s="2" t="str">
        <f t="shared" si="12"/>
        <v>Error?</v>
      </c>
    </row>
    <row r="866" spans="1:4" x14ac:dyDescent="0.2">
      <c r="A866" s="10">
        <v>805</v>
      </c>
      <c r="D866" s="2" t="str">
        <f t="shared" si="12"/>
        <v>OK</v>
      </c>
    </row>
    <row r="867" spans="1:4" x14ac:dyDescent="0.2">
      <c r="A867" s="5">
        <v>806</v>
      </c>
      <c r="B867" s="138">
        <f>'Expenditures 15-22'!E71</f>
        <v>9590</v>
      </c>
      <c r="D867" s="2" t="str">
        <f t="shared" si="12"/>
        <v>Error?</v>
      </c>
    </row>
    <row r="868" spans="1:4" x14ac:dyDescent="0.2">
      <c r="A868" s="10">
        <v>807</v>
      </c>
      <c r="D868" s="2" t="str">
        <f t="shared" si="12"/>
        <v>OK</v>
      </c>
    </row>
    <row r="869" spans="1:4" x14ac:dyDescent="0.2">
      <c r="A869" s="5">
        <v>808</v>
      </c>
      <c r="B869" s="138">
        <f>'Expenditures 15-22'!E72</f>
        <v>69114</v>
      </c>
      <c r="C869" s="2" t="s">
        <v>594</v>
      </c>
      <c r="D869" s="2" t="str">
        <f t="shared" si="12"/>
        <v>Error?</v>
      </c>
    </row>
    <row r="870" spans="1:4" x14ac:dyDescent="0.2">
      <c r="A870" s="5">
        <v>809</v>
      </c>
      <c r="B870" s="138">
        <f>'Expenditures 15-22'!E73</f>
        <v>667419</v>
      </c>
      <c r="D870" s="2" t="str">
        <f t="shared" si="12"/>
        <v>Error?</v>
      </c>
    </row>
    <row r="871" spans="1:4" x14ac:dyDescent="0.2">
      <c r="A871" s="5">
        <v>810</v>
      </c>
      <c r="B871" s="138">
        <f>'Expenditures 15-22'!E74</f>
        <v>2919826</v>
      </c>
      <c r="C871" s="2" t="s">
        <v>594</v>
      </c>
      <c r="D871" s="2" t="str">
        <f t="shared" si="12"/>
        <v>Error?</v>
      </c>
    </row>
    <row r="872" spans="1:4" x14ac:dyDescent="0.2">
      <c r="A872" s="5">
        <v>811</v>
      </c>
      <c r="B872" s="138">
        <f>'Expenditures 15-22'!E75</f>
        <v>5475</v>
      </c>
      <c r="D872" s="2" t="str">
        <f t="shared" si="12"/>
        <v>Error?</v>
      </c>
    </row>
    <row r="873" spans="1:4" x14ac:dyDescent="0.2">
      <c r="A873" s="5">
        <v>812</v>
      </c>
      <c r="B873" s="138">
        <f>'Expenditures 15-22'!E114</f>
        <v>4387613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667200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6592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732</v>
      </c>
      <c r="D890" s="2" t="str">
        <f t="shared" si="12"/>
        <v>Error?</v>
      </c>
    </row>
    <row r="891" spans="1:4" x14ac:dyDescent="0.2">
      <c r="A891" s="5">
        <v>830</v>
      </c>
      <c r="B891" s="138">
        <f>'Expenditures 15-22'!F13</f>
        <v>14243</v>
      </c>
      <c r="D891" s="2" t="str">
        <f t="shared" si="12"/>
        <v>Error?</v>
      </c>
    </row>
    <row r="892" spans="1:4" x14ac:dyDescent="0.2">
      <c r="A892" s="5">
        <v>831</v>
      </c>
      <c r="B892" s="138">
        <f>'Expenditures 15-22'!F14</f>
        <v>84811</v>
      </c>
      <c r="D892" s="2" t="str">
        <f t="shared" si="12"/>
        <v>Error?</v>
      </c>
    </row>
    <row r="893" spans="1:4" x14ac:dyDescent="0.2">
      <c r="A893" s="5">
        <v>832</v>
      </c>
      <c r="B893" s="138">
        <f>'Expenditures 15-22'!F15</f>
        <v>9442</v>
      </c>
      <c r="D893" s="2" t="str">
        <f t="shared" si="12"/>
        <v>Error?</v>
      </c>
    </row>
    <row r="894" spans="1:4" x14ac:dyDescent="0.2">
      <c r="A894" s="5">
        <v>833</v>
      </c>
      <c r="B894" s="138">
        <f>'Expenditures 15-22'!F33</f>
        <v>955959</v>
      </c>
      <c r="C894" s="2" t="s">
        <v>594</v>
      </c>
      <c r="D894" s="2" t="str">
        <f t="shared" si="12"/>
        <v>Error?</v>
      </c>
    </row>
    <row r="895" spans="1:4" x14ac:dyDescent="0.2">
      <c r="A895" s="5">
        <v>834</v>
      </c>
      <c r="B895" s="138">
        <f>'Expenditures 15-22'!F36</f>
        <v>4840</v>
      </c>
      <c r="D895" s="2" t="str">
        <f t="shared" ref="D895:D958" si="13">IF(ISBLANK(B895),"OK",IF(A895-B895=0,"OK","Error?"))</f>
        <v>Error?</v>
      </c>
    </row>
    <row r="896" spans="1:4" x14ac:dyDescent="0.2">
      <c r="A896" s="5">
        <v>835</v>
      </c>
      <c r="B896" s="138">
        <f>'Expenditures 15-22'!F37</f>
        <v>38525</v>
      </c>
      <c r="D896" s="2" t="str">
        <f t="shared" si="13"/>
        <v>Error?</v>
      </c>
    </row>
    <row r="897" spans="1:4" x14ac:dyDescent="0.2">
      <c r="A897" s="5">
        <v>836</v>
      </c>
      <c r="B897" s="138">
        <f>'Expenditures 15-22'!F38</f>
        <v>5748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33298</v>
      </c>
      <c r="D900" s="2" t="str">
        <f t="shared" si="13"/>
        <v>Error?</v>
      </c>
    </row>
    <row r="901" spans="1:4" x14ac:dyDescent="0.2">
      <c r="A901" s="5">
        <v>840</v>
      </c>
      <c r="B901" s="138">
        <f>'Expenditures 15-22'!F42</f>
        <v>82411</v>
      </c>
      <c r="C901" s="2" t="s">
        <v>594</v>
      </c>
      <c r="D901" s="2" t="str">
        <f t="shared" si="13"/>
        <v>Error?</v>
      </c>
    </row>
    <row r="902" spans="1:4" x14ac:dyDescent="0.2">
      <c r="A902" s="5">
        <v>841</v>
      </c>
      <c r="B902" s="138">
        <f>'Expenditures 15-22'!F44</f>
        <v>26943</v>
      </c>
      <c r="D902" s="2" t="str">
        <f t="shared" si="13"/>
        <v>Error?</v>
      </c>
    </row>
    <row r="903" spans="1:4" x14ac:dyDescent="0.2">
      <c r="A903" s="5">
        <v>842</v>
      </c>
      <c r="B903" s="138">
        <f>'Expenditures 15-22'!F45</f>
        <v>193940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220883</v>
      </c>
      <c r="C905" s="2" t="s">
        <v>594</v>
      </c>
      <c r="D905" s="2" t="str">
        <f t="shared" si="13"/>
        <v>Error?</v>
      </c>
    </row>
    <row r="906" spans="1:4" x14ac:dyDescent="0.2">
      <c r="A906" s="5">
        <v>845</v>
      </c>
      <c r="B906" s="138">
        <f>'Expenditures 15-22'!F49</f>
        <v>11229</v>
      </c>
      <c r="D906" s="2" t="str">
        <f t="shared" si="13"/>
        <v>Error?</v>
      </c>
    </row>
    <row r="907" spans="1:4" x14ac:dyDescent="0.2">
      <c r="A907" s="5">
        <v>846</v>
      </c>
      <c r="B907" s="138">
        <f>'Expenditures 15-22'!F50</f>
        <v>3029</v>
      </c>
      <c r="D907" s="2" t="str">
        <f t="shared" si="13"/>
        <v>Error?</v>
      </c>
    </row>
    <row r="908" spans="1:4" x14ac:dyDescent="0.2">
      <c r="A908" s="5">
        <v>847</v>
      </c>
      <c r="B908" s="138">
        <f>'Expenditures 15-22'!F53</f>
        <v>14258</v>
      </c>
      <c r="C908" s="2" t="s">
        <v>594</v>
      </c>
      <c r="D908" s="2" t="str">
        <f t="shared" si="13"/>
        <v>Error?</v>
      </c>
    </row>
    <row r="909" spans="1:4" x14ac:dyDescent="0.2">
      <c r="A909" s="5">
        <v>848</v>
      </c>
      <c r="B909" s="138">
        <f>'Expenditures 15-22'!F55</f>
        <v>18592</v>
      </c>
      <c r="D909" s="2" t="str">
        <f t="shared" si="13"/>
        <v>Error?</v>
      </c>
    </row>
    <row r="910" spans="1:4" x14ac:dyDescent="0.2">
      <c r="A910" s="5">
        <v>849</v>
      </c>
      <c r="B910" s="138">
        <f>'Expenditures 15-22'!F56</f>
        <v>295</v>
      </c>
      <c r="D910" s="2" t="str">
        <f t="shared" si="13"/>
        <v>Error?</v>
      </c>
    </row>
    <row r="911" spans="1:4" x14ac:dyDescent="0.2">
      <c r="A911" s="5">
        <v>850</v>
      </c>
      <c r="B911" s="138">
        <f>'Expenditures 15-22'!F57</f>
        <v>18887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4856</v>
      </c>
      <c r="D913" s="2" t="str">
        <f t="shared" si="13"/>
        <v>Error?</v>
      </c>
    </row>
    <row r="914" spans="1:4" x14ac:dyDescent="0.2">
      <c r="A914" s="5">
        <v>853</v>
      </c>
      <c r="B914" s="138">
        <f>'Expenditures 15-22'!F61</f>
        <v>1013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4176</v>
      </c>
      <c r="D916" s="2" t="str">
        <f t="shared" si="13"/>
        <v>Error?</v>
      </c>
    </row>
    <row r="917" spans="1:4" x14ac:dyDescent="0.2">
      <c r="A917" s="5">
        <v>856</v>
      </c>
      <c r="B917" s="138">
        <f>'Expenditures 15-22'!F64</f>
        <v>408472</v>
      </c>
      <c r="D917" s="2" t="str">
        <f t="shared" si="13"/>
        <v>Error?</v>
      </c>
    </row>
    <row r="918" spans="1:4" x14ac:dyDescent="0.2">
      <c r="A918" s="10">
        <v>857</v>
      </c>
      <c r="D918" s="2" t="str">
        <f t="shared" si="13"/>
        <v>OK</v>
      </c>
    </row>
    <row r="919" spans="1:4" x14ac:dyDescent="0.2">
      <c r="A919" s="5">
        <v>858</v>
      </c>
      <c r="B919" s="138">
        <f>'Expenditures 15-22'!F65</f>
        <v>418517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2426</v>
      </c>
      <c r="D922" s="2" t="str">
        <f t="shared" si="13"/>
        <v>Error?</v>
      </c>
    </row>
    <row r="923" spans="1:4" x14ac:dyDescent="0.2">
      <c r="A923" s="5">
        <v>862</v>
      </c>
      <c r="B923" s="138">
        <f>'Expenditures 15-22'!F70</f>
        <v>13699</v>
      </c>
      <c r="D923" s="2" t="str">
        <f t="shared" si="13"/>
        <v>Error?</v>
      </c>
    </row>
    <row r="924" spans="1:4" x14ac:dyDescent="0.2">
      <c r="A924" s="10">
        <v>863</v>
      </c>
      <c r="D924" s="2" t="str">
        <f t="shared" si="13"/>
        <v>OK</v>
      </c>
    </row>
    <row r="925" spans="1:4" x14ac:dyDescent="0.2">
      <c r="A925" s="5">
        <v>864</v>
      </c>
      <c r="B925" s="138">
        <f>'Expenditures 15-22'!F71</f>
        <v>101034</v>
      </c>
      <c r="D925" s="2" t="str">
        <f t="shared" si="13"/>
        <v>Error?</v>
      </c>
    </row>
    <row r="926" spans="1:4" x14ac:dyDescent="0.2">
      <c r="A926" s="10">
        <v>865</v>
      </c>
      <c r="D926" s="2" t="str">
        <f t="shared" si="13"/>
        <v>OK</v>
      </c>
    </row>
    <row r="927" spans="1:4" x14ac:dyDescent="0.2">
      <c r="A927" s="5">
        <v>866</v>
      </c>
      <c r="B927" s="138">
        <f>'Expenditures 15-22'!F72</f>
        <v>117159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872115</v>
      </c>
      <c r="C929" s="2" t="s">
        <v>594</v>
      </c>
      <c r="D929" s="2" t="str">
        <f t="shared" si="13"/>
        <v>Error?</v>
      </c>
    </row>
    <row r="930" spans="1:4" x14ac:dyDescent="0.2">
      <c r="A930" s="5">
        <v>869</v>
      </c>
      <c r="B930" s="138">
        <f>'Expenditures 15-22'!F75</f>
        <v>63105</v>
      </c>
      <c r="D930" s="2" t="str">
        <f t="shared" si="13"/>
        <v>Error?</v>
      </c>
    </row>
    <row r="931" spans="1:4" x14ac:dyDescent="0.2">
      <c r="A931" s="5">
        <v>870</v>
      </c>
      <c r="B931" s="138">
        <f>'Expenditures 15-22'!F114</f>
        <v>1891179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48555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19328</v>
      </c>
      <c r="D949" s="2" t="str">
        <f t="shared" si="13"/>
        <v>Error?</v>
      </c>
    </row>
    <row r="950" spans="1:4" x14ac:dyDescent="0.2">
      <c r="A950" s="5">
        <v>889</v>
      </c>
      <c r="B950" s="138">
        <f>'Expenditures 15-22'!G14</f>
        <v>16855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100190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41942</v>
      </c>
      <c r="D960" s="2" t="str">
        <f t="shared" si="14"/>
        <v>Error?</v>
      </c>
    </row>
    <row r="961" spans="1:4" x14ac:dyDescent="0.2">
      <c r="A961" s="5">
        <v>900</v>
      </c>
      <c r="B961" s="138">
        <f>'Expenditures 15-22'!G45</f>
        <v>649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42591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5594</v>
      </c>
      <c r="D974" s="2" t="str">
        <f t="shared" si="14"/>
        <v>Error?</v>
      </c>
    </row>
    <row r="975" spans="1:4" x14ac:dyDescent="0.2">
      <c r="A975" s="5">
        <v>914</v>
      </c>
      <c r="B975" s="138">
        <f>'Expenditures 15-22'!G64</f>
        <v>106292</v>
      </c>
      <c r="D975" s="2" t="str">
        <f t="shared" si="14"/>
        <v>Error?</v>
      </c>
    </row>
    <row r="976" spans="1:4" x14ac:dyDescent="0.2">
      <c r="A976" s="10">
        <v>915</v>
      </c>
      <c r="D976" s="2" t="str">
        <f t="shared" si="14"/>
        <v>OK</v>
      </c>
    </row>
    <row r="977" spans="1:4" x14ac:dyDescent="0.2">
      <c r="A977" s="5">
        <v>916</v>
      </c>
      <c r="B977" s="138">
        <f>'Expenditures 15-22'!G65</f>
        <v>111886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154477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254667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3972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11527</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8974</v>
      </c>
      <c r="D1008" s="2" t="str">
        <f t="shared" si="14"/>
        <v>Error?</v>
      </c>
    </row>
    <row r="1009" spans="1:4" x14ac:dyDescent="0.2">
      <c r="A1009" s="5">
        <v>948</v>
      </c>
      <c r="B1009" s="138">
        <f>'Expenditures 15-22'!H15</f>
        <v>25366</v>
      </c>
      <c r="D1009" s="2" t="str">
        <f t="shared" si="14"/>
        <v>Error?</v>
      </c>
    </row>
    <row r="1010" spans="1:4" x14ac:dyDescent="0.2">
      <c r="A1010" s="5">
        <v>949</v>
      </c>
      <c r="B1010" s="138">
        <f>'Expenditures 15-22'!H33</f>
        <v>3388934</v>
      </c>
      <c r="C1010" s="2" t="s">
        <v>594</v>
      </c>
      <c r="D1010" s="2" t="str">
        <f t="shared" si="14"/>
        <v>Error?</v>
      </c>
    </row>
    <row r="1011" spans="1:4" x14ac:dyDescent="0.2">
      <c r="A1011" s="5">
        <v>950</v>
      </c>
      <c r="B1011" s="138">
        <f>'Expenditures 15-22'!H36</f>
        <v>895</v>
      </c>
      <c r="D1011" s="2" t="str">
        <f t="shared" si="14"/>
        <v>Error?</v>
      </c>
    </row>
    <row r="1012" spans="1:4" x14ac:dyDescent="0.2">
      <c r="A1012" s="5">
        <v>951</v>
      </c>
      <c r="B1012" s="138">
        <f>'Expenditures 15-22'!H37</f>
        <v>1763</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2658</v>
      </c>
      <c r="C1017" s="2" t="s">
        <v>594</v>
      </c>
      <c r="D1017" s="2" t="str">
        <f t="shared" si="14"/>
        <v>Error?</v>
      </c>
    </row>
    <row r="1018" spans="1:4" x14ac:dyDescent="0.2">
      <c r="A1018" s="5">
        <v>957</v>
      </c>
      <c r="B1018" s="138">
        <f>'Expenditures 15-22'!H44</f>
        <v>1526</v>
      </c>
      <c r="D1018" s="2" t="str">
        <f t="shared" si="14"/>
        <v>Error?</v>
      </c>
    </row>
    <row r="1019" spans="1:4" x14ac:dyDescent="0.2">
      <c r="A1019" s="5">
        <v>958</v>
      </c>
      <c r="B1019" s="138">
        <f>'Expenditures 15-22'!H45</f>
        <v>96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1622</v>
      </c>
      <c r="C1021" s="2" t="s">
        <v>594</v>
      </c>
      <c r="D1021" s="2" t="str">
        <f t="shared" si="14"/>
        <v>Error?</v>
      </c>
    </row>
    <row r="1022" spans="1:4" x14ac:dyDescent="0.2">
      <c r="A1022" s="5">
        <v>961</v>
      </c>
      <c r="B1022" s="138">
        <f>'Expenditures 15-22'!H49</f>
        <v>17053</v>
      </c>
      <c r="D1022" s="2" t="str">
        <f t="shared" si="14"/>
        <v>Error?</v>
      </c>
    </row>
    <row r="1023" spans="1:4" x14ac:dyDescent="0.2">
      <c r="A1023" s="5">
        <v>962</v>
      </c>
      <c r="B1023" s="138">
        <f>'Expenditures 15-22'!H50</f>
        <v>2951</v>
      </c>
      <c r="D1023" s="2" t="str">
        <f t="shared" ref="D1023:D1086" si="15">IF(ISBLANK(B1023),"OK",IF(A1023-B1023=0,"OK","Error?"))</f>
        <v>Error?</v>
      </c>
    </row>
    <row r="1024" spans="1:4" x14ac:dyDescent="0.2">
      <c r="A1024" s="5">
        <v>963</v>
      </c>
      <c r="B1024" s="138">
        <f>'Expenditures 15-22'!H53</f>
        <v>20004</v>
      </c>
      <c r="C1024" s="2" t="s">
        <v>594</v>
      </c>
      <c r="D1024" s="2" t="str">
        <f t="shared" si="15"/>
        <v>Error?</v>
      </c>
    </row>
    <row r="1025" spans="1:4" x14ac:dyDescent="0.2">
      <c r="A1025" s="5">
        <v>964</v>
      </c>
      <c r="B1025" s="138">
        <f>'Expenditures 15-22'!H55</f>
        <v>570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570</v>
      </c>
      <c r="C1027" s="2" t="s">
        <v>594</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660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576</v>
      </c>
      <c r="D1032" s="2" t="str">
        <f t="shared" si="15"/>
        <v>Error?</v>
      </c>
    </row>
    <row r="1033" spans="1:4" x14ac:dyDescent="0.2">
      <c r="A1033" s="5">
        <v>972</v>
      </c>
      <c r="B1033" s="138">
        <f>'Expenditures 15-22'!H64</f>
        <v>53965</v>
      </c>
      <c r="D1033" s="2" t="str">
        <f t="shared" si="15"/>
        <v>Error?</v>
      </c>
    </row>
    <row r="1034" spans="1:4" x14ac:dyDescent="0.2">
      <c r="A1034" s="10">
        <v>973</v>
      </c>
      <c r="D1034" s="2" t="str">
        <f t="shared" si="15"/>
        <v>OK</v>
      </c>
    </row>
    <row r="1035" spans="1:4" x14ac:dyDescent="0.2">
      <c r="A1035" s="5">
        <v>974</v>
      </c>
      <c r="B1035" s="138">
        <f>'Expenditures 15-22'!H65</f>
        <v>55541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275</v>
      </c>
      <c r="D1038" s="2" t="str">
        <f t="shared" si="15"/>
        <v>Error?</v>
      </c>
    </row>
    <row r="1039" spans="1:4" x14ac:dyDescent="0.2">
      <c r="A1039" s="5">
        <v>978</v>
      </c>
      <c r="B1039" s="138">
        <f>'Expenditures 15-22'!H70</f>
        <v>1408</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1983</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82378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3471312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28453809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7279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119468</v>
      </c>
      <c r="C1104" s="2" t="s">
        <v>594</v>
      </c>
      <c r="D1104" s="2" t="str">
        <f t="shared" si="16"/>
        <v>Error?</v>
      </c>
    </row>
    <row r="1105" spans="1:4" x14ac:dyDescent="0.2">
      <c r="A1105" s="5">
        <v>1044</v>
      </c>
      <c r="B1105" s="138">
        <f>'Expenditures 15-22'!K13</f>
        <v>40087</v>
      </c>
      <c r="C1105" s="2" t="s">
        <v>594</v>
      </c>
      <c r="D1105" s="2" t="str">
        <f t="shared" si="16"/>
        <v>Error?</v>
      </c>
    </row>
    <row r="1106" spans="1:4" x14ac:dyDescent="0.2">
      <c r="A1106" s="5">
        <v>1045</v>
      </c>
      <c r="B1106" s="138">
        <f>'Expenditures 15-22'!K14</f>
        <v>1816324</v>
      </c>
      <c r="C1106" s="2" t="s">
        <v>594</v>
      </c>
      <c r="D1106" s="2" t="str">
        <f t="shared" si="16"/>
        <v>Error?</v>
      </c>
    </row>
    <row r="1107" spans="1:4" x14ac:dyDescent="0.2">
      <c r="A1107" s="5">
        <v>1046</v>
      </c>
      <c r="B1107" s="138">
        <f>'Expenditures 15-22'!K15</f>
        <v>300571</v>
      </c>
      <c r="C1107" s="2" t="s">
        <v>594</v>
      </c>
      <c r="D1107" s="2" t="str">
        <f t="shared" si="16"/>
        <v>Error?</v>
      </c>
    </row>
    <row r="1108" spans="1:4" x14ac:dyDescent="0.2">
      <c r="A1108" s="5">
        <v>1047</v>
      </c>
      <c r="B1108" s="138">
        <f>'Expenditures 15-22'!K33</f>
        <v>42244822</v>
      </c>
      <c r="C1108" s="2" t="s">
        <v>594</v>
      </c>
      <c r="D1108" s="2" t="str">
        <f t="shared" si="16"/>
        <v>Error?</v>
      </c>
    </row>
    <row r="1109" spans="1:4" x14ac:dyDescent="0.2">
      <c r="A1109" s="5">
        <v>1048</v>
      </c>
      <c r="B1109" s="138">
        <f>'Expenditures 15-22'!K36</f>
        <v>1609505</v>
      </c>
      <c r="C1109" s="2" t="s">
        <v>594</v>
      </c>
      <c r="D1109" s="2" t="str">
        <f t="shared" si="16"/>
        <v>Error?</v>
      </c>
    </row>
    <row r="1110" spans="1:4" x14ac:dyDescent="0.2">
      <c r="A1110" s="5">
        <v>1049</v>
      </c>
      <c r="B1110" s="138">
        <f>'Expenditures 15-22'!K37</f>
        <v>3781932</v>
      </c>
      <c r="C1110" s="2" t="s">
        <v>594</v>
      </c>
      <c r="D1110" s="2" t="str">
        <f t="shared" si="16"/>
        <v>Error?</v>
      </c>
    </row>
    <row r="1111" spans="1:4" x14ac:dyDescent="0.2">
      <c r="A1111" s="5">
        <v>1050</v>
      </c>
      <c r="B1111" s="138">
        <f>'Expenditures 15-22'!K38</f>
        <v>277293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198559</v>
      </c>
      <c r="C1114" s="2" t="s">
        <v>594</v>
      </c>
      <c r="D1114" s="2" t="str">
        <f t="shared" si="16"/>
        <v>Error?</v>
      </c>
    </row>
    <row r="1115" spans="1:4" x14ac:dyDescent="0.2">
      <c r="A1115" s="5">
        <v>1054</v>
      </c>
      <c r="B1115" s="138">
        <f>'Expenditures 15-22'!K42</f>
        <v>5867289</v>
      </c>
      <c r="C1115" s="2" t="s">
        <v>594</v>
      </c>
      <c r="D1115" s="2" t="str">
        <f t="shared" si="16"/>
        <v>Error?</v>
      </c>
    </row>
    <row r="1116" spans="1:4" x14ac:dyDescent="0.2">
      <c r="A1116" s="5">
        <v>1055</v>
      </c>
      <c r="B1116" s="138">
        <f>'Expenditures 15-22'!K44</f>
        <v>542003</v>
      </c>
      <c r="C1116" s="2" t="s">
        <v>594</v>
      </c>
      <c r="D1116" s="2" t="str">
        <f t="shared" si="16"/>
        <v>Error?</v>
      </c>
    </row>
    <row r="1117" spans="1:4" x14ac:dyDescent="0.2">
      <c r="A1117" s="5">
        <v>1056</v>
      </c>
      <c r="B1117" s="138">
        <f>'Expenditures 15-22'!K45</f>
        <v>2127282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2669285</v>
      </c>
      <c r="C1119" s="2" t="s">
        <v>594</v>
      </c>
      <c r="D1119" s="2" t="str">
        <f t="shared" si="16"/>
        <v>Error?</v>
      </c>
    </row>
    <row r="1120" spans="1:4" x14ac:dyDescent="0.2">
      <c r="A1120" s="5">
        <v>1059</v>
      </c>
      <c r="B1120" s="138">
        <f>'Expenditures 15-22'!K49</f>
        <v>530195</v>
      </c>
      <c r="C1120" s="2" t="s">
        <v>594</v>
      </c>
      <c r="D1120" s="2" t="str">
        <f t="shared" si="16"/>
        <v>Error?</v>
      </c>
    </row>
    <row r="1121" spans="1:4" x14ac:dyDescent="0.2">
      <c r="A1121" s="5">
        <v>1060</v>
      </c>
      <c r="B1121" s="138">
        <f>'Expenditures 15-22'!K50</f>
        <v>429705</v>
      </c>
      <c r="C1121" s="2" t="s">
        <v>594</v>
      </c>
      <c r="D1121" s="2" t="str">
        <f t="shared" si="16"/>
        <v>Error?</v>
      </c>
    </row>
    <row r="1122" spans="1:4" x14ac:dyDescent="0.2">
      <c r="A1122" s="5">
        <v>1061</v>
      </c>
      <c r="B1122" s="138">
        <f>'Expenditures 15-22'!K53</f>
        <v>959900</v>
      </c>
      <c r="C1122" s="2" t="s">
        <v>594</v>
      </c>
      <c r="D1122" s="2" t="str">
        <f t="shared" si="16"/>
        <v>Error?</v>
      </c>
    </row>
    <row r="1123" spans="1:4" x14ac:dyDescent="0.2">
      <c r="A1123" s="5">
        <v>1062</v>
      </c>
      <c r="B1123" s="138">
        <f>'Expenditures 15-22'!K55</f>
        <v>3557178</v>
      </c>
      <c r="C1123" s="2" t="s">
        <v>594</v>
      </c>
      <c r="D1123" s="2" t="str">
        <f t="shared" si="16"/>
        <v>Error?</v>
      </c>
    </row>
    <row r="1124" spans="1:4" x14ac:dyDescent="0.2">
      <c r="A1124" s="5">
        <v>1063</v>
      </c>
      <c r="B1124" s="138">
        <f>'Expenditures 15-22'!K56</f>
        <v>47796</v>
      </c>
      <c r="C1124" s="2" t="s">
        <v>594</v>
      </c>
      <c r="D1124" s="2" t="str">
        <f t="shared" si="16"/>
        <v>Error?</v>
      </c>
    </row>
    <row r="1125" spans="1:4" x14ac:dyDescent="0.2">
      <c r="A1125" s="5">
        <v>1064</v>
      </c>
      <c r="B1125" s="138">
        <f>'Expenditures 15-22'!K57</f>
        <v>3604974</v>
      </c>
      <c r="C1125" s="2" t="s">
        <v>594</v>
      </c>
      <c r="D1125" s="2" t="str">
        <f t="shared" si="16"/>
        <v>Error?</v>
      </c>
    </row>
    <row r="1126" spans="1:4" x14ac:dyDescent="0.2">
      <c r="A1126" s="5">
        <v>1065</v>
      </c>
      <c r="B1126" s="138">
        <f>'Expenditures 15-22'!K59</f>
        <v>214305</v>
      </c>
      <c r="C1126" s="2" t="s">
        <v>594</v>
      </c>
      <c r="D1126" s="2" t="str">
        <f t="shared" si="16"/>
        <v>Error?</v>
      </c>
    </row>
    <row r="1127" spans="1:4" x14ac:dyDescent="0.2">
      <c r="A1127" s="5">
        <v>1066</v>
      </c>
      <c r="B1127" s="138">
        <f>'Expenditures 15-22'!K60</f>
        <v>469612</v>
      </c>
      <c r="C1127" s="2" t="s">
        <v>594</v>
      </c>
      <c r="D1127" s="2" t="str">
        <f t="shared" si="16"/>
        <v>Error?</v>
      </c>
    </row>
    <row r="1128" spans="1:4" x14ac:dyDescent="0.2">
      <c r="A1128" s="5">
        <v>1067</v>
      </c>
      <c r="B1128" s="138">
        <f>'Expenditures 15-22'!K61</f>
        <v>74946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1074795</v>
      </c>
      <c r="C1130" s="2" t="s">
        <v>594</v>
      </c>
      <c r="D1130" s="2" t="str">
        <f t="shared" si="16"/>
        <v>Error?</v>
      </c>
    </row>
    <row r="1131" spans="1:4" x14ac:dyDescent="0.2">
      <c r="A1131" s="5">
        <v>1070</v>
      </c>
      <c r="B1131" s="138">
        <f>'Expenditures 15-22'!K64</f>
        <v>804145</v>
      </c>
      <c r="C1131" s="2" t="s">
        <v>594</v>
      </c>
      <c r="D1131" s="2" t="str">
        <f t="shared" si="16"/>
        <v>Error?</v>
      </c>
    </row>
    <row r="1132" spans="1:4" x14ac:dyDescent="0.2">
      <c r="A1132" s="10">
        <v>1071</v>
      </c>
      <c r="D1132" s="2" t="str">
        <f t="shared" si="16"/>
        <v>OK</v>
      </c>
    </row>
    <row r="1133" spans="1:4" x14ac:dyDescent="0.2">
      <c r="A1133" s="5">
        <v>1072</v>
      </c>
      <c r="B1133" s="138">
        <f>'Expenditures 15-22'!K65</f>
        <v>2637803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196716</v>
      </c>
      <c r="C1136" s="2" t="s">
        <v>594</v>
      </c>
      <c r="D1136" s="2" t="str">
        <f t="shared" si="16"/>
        <v>Error?</v>
      </c>
    </row>
    <row r="1137" spans="1:4" x14ac:dyDescent="0.2">
      <c r="A1137" s="5">
        <v>1076</v>
      </c>
      <c r="B1137" s="138">
        <f>'Expenditures 15-22'!K70</f>
        <v>439958</v>
      </c>
      <c r="C1137" s="2" t="s">
        <v>594</v>
      </c>
      <c r="D1137" s="2" t="str">
        <f t="shared" si="16"/>
        <v>Error?</v>
      </c>
    </row>
    <row r="1138" spans="1:4" x14ac:dyDescent="0.2">
      <c r="A1138" s="10">
        <v>1077</v>
      </c>
      <c r="D1138" s="2" t="str">
        <f t="shared" si="16"/>
        <v>OK</v>
      </c>
    </row>
    <row r="1139" spans="1:4" x14ac:dyDescent="0.2">
      <c r="A1139" s="5">
        <v>1078</v>
      </c>
      <c r="B1139" s="138">
        <f>'Expenditures 15-22'!K71</f>
        <v>340393</v>
      </c>
      <c r="C1139" s="2" t="s">
        <v>594</v>
      </c>
      <c r="D1139" s="2" t="str">
        <f t="shared" si="16"/>
        <v>Error?</v>
      </c>
    </row>
    <row r="1140" spans="1:4" x14ac:dyDescent="0.2">
      <c r="A1140" s="10">
        <v>1079</v>
      </c>
      <c r="D1140" s="2" t="str">
        <f t="shared" si="16"/>
        <v>OK</v>
      </c>
    </row>
    <row r="1141" spans="1:4" x14ac:dyDescent="0.2">
      <c r="A1141" s="5">
        <v>1080</v>
      </c>
      <c r="B1141" s="138">
        <f>'Expenditures 15-22'!K72</f>
        <v>977067</v>
      </c>
      <c r="C1141" s="2" t="s">
        <v>594</v>
      </c>
      <c r="D1141" s="2" t="str">
        <f t="shared" si="16"/>
        <v>Error?</v>
      </c>
    </row>
    <row r="1142" spans="1:4" x14ac:dyDescent="0.2">
      <c r="A1142" s="5">
        <v>1081</v>
      </c>
      <c r="B1142" s="138">
        <f>'Expenditures 15-22'!K73</f>
        <v>667419</v>
      </c>
      <c r="C1142" s="2" t="s">
        <v>594</v>
      </c>
      <c r="D1142" s="2" t="str">
        <f t="shared" si="16"/>
        <v>Error?</v>
      </c>
    </row>
    <row r="1143" spans="1:4" x14ac:dyDescent="0.2">
      <c r="A1143" s="5">
        <v>1082</v>
      </c>
      <c r="B1143" s="138">
        <f>'Expenditures 15-22'!K74</f>
        <v>17383737</v>
      </c>
      <c r="C1143" s="2" t="s">
        <v>594</v>
      </c>
      <c r="D1143" s="2" t="str">
        <f t="shared" si="16"/>
        <v>Error?</v>
      </c>
    </row>
    <row r="1144" spans="1:4" x14ac:dyDescent="0.2">
      <c r="A1144" s="5">
        <v>1083</v>
      </c>
      <c r="B1144" s="138">
        <f>'Expenditures 15-22'!K75</f>
        <v>309782</v>
      </c>
      <c r="C1144" s="2" t="s">
        <v>594</v>
      </c>
      <c r="D1144" s="2" t="str">
        <f t="shared" si="16"/>
        <v>Error?</v>
      </c>
    </row>
    <row r="1145" spans="1:4" x14ac:dyDescent="0.2">
      <c r="A1145" s="5">
        <v>1084</v>
      </c>
      <c r="B1145" s="138">
        <f>'Expenditures 15-22'!K102</f>
        <v>757208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60695549</v>
      </c>
      <c r="C1152" s="2" t="s">
        <v>594</v>
      </c>
      <c r="D1152" s="2" t="str">
        <f t="shared" si="17"/>
        <v>Error?</v>
      </c>
    </row>
    <row r="1153" spans="1:4" x14ac:dyDescent="0.2">
      <c r="A1153" s="5">
        <v>1092</v>
      </c>
      <c r="B1153" s="138">
        <f>'Expenditures 15-22'!K115</f>
        <v>192939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3677393</v>
      </c>
      <c r="D1221" s="2" t="str">
        <f t="shared" si="18"/>
        <v>Error?</v>
      </c>
    </row>
    <row r="1222" spans="1:4" x14ac:dyDescent="0.2">
      <c r="A1222" s="10">
        <v>1161</v>
      </c>
      <c r="D1222" s="2" t="str">
        <f t="shared" si="18"/>
        <v>OK</v>
      </c>
    </row>
    <row r="1223" spans="1:4" x14ac:dyDescent="0.2">
      <c r="A1223" s="5">
        <v>1162</v>
      </c>
      <c r="B1223" s="138">
        <f>'Expenditures 15-22'!C127</f>
        <v>3677393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3677393</v>
      </c>
      <c r="C1225" s="2" t="s">
        <v>594</v>
      </c>
      <c r="D1225" s="2" t="str">
        <f t="shared" si="18"/>
        <v>Error?</v>
      </c>
    </row>
    <row r="1226" spans="1:4" x14ac:dyDescent="0.2">
      <c r="A1226" s="5">
        <v>1165</v>
      </c>
      <c r="B1226" s="138">
        <f>'Expenditures 15-22'!C151</f>
        <v>3677393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640176</v>
      </c>
      <c r="D1229" s="2" t="str">
        <f t="shared" si="18"/>
        <v>Error?</v>
      </c>
    </row>
    <row r="1230" spans="1:4" x14ac:dyDescent="0.2">
      <c r="A1230" s="10">
        <v>1169</v>
      </c>
      <c r="D1230" s="2" t="str">
        <f t="shared" si="18"/>
        <v>OK</v>
      </c>
    </row>
    <row r="1231" spans="1:4" x14ac:dyDescent="0.2">
      <c r="A1231" s="5">
        <v>1170</v>
      </c>
      <c r="B1231" s="138">
        <f>'Expenditures 15-22'!D127</f>
        <v>640176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640176</v>
      </c>
      <c r="C1233" s="2" t="s">
        <v>594</v>
      </c>
      <c r="D1233" s="2" t="str">
        <f t="shared" si="18"/>
        <v>Error?</v>
      </c>
    </row>
    <row r="1234" spans="1:4" x14ac:dyDescent="0.2">
      <c r="A1234" s="5">
        <v>1173</v>
      </c>
      <c r="B1234" s="138">
        <f>'Expenditures 15-22'!D151</f>
        <v>640176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1111038</v>
      </c>
      <c r="D1237" s="2" t="str">
        <f t="shared" si="18"/>
        <v>Error?</v>
      </c>
    </row>
    <row r="1238" spans="1:4" x14ac:dyDescent="0.2">
      <c r="A1238" s="10">
        <v>1177</v>
      </c>
      <c r="D1238" s="2" t="str">
        <f t="shared" si="18"/>
        <v>OK</v>
      </c>
    </row>
    <row r="1239" spans="1:4" x14ac:dyDescent="0.2">
      <c r="A1239" s="5">
        <v>1178</v>
      </c>
      <c r="B1239" s="138">
        <f>'Expenditures 15-22'!E127</f>
        <v>1111038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1111038</v>
      </c>
      <c r="C1241" s="2" t="s">
        <v>594</v>
      </c>
      <c r="D1241" s="2" t="str">
        <f t="shared" si="18"/>
        <v>Error?</v>
      </c>
    </row>
    <row r="1242" spans="1:4" x14ac:dyDescent="0.2">
      <c r="A1242" s="5">
        <v>1181</v>
      </c>
      <c r="B1242" s="138">
        <f>'Expenditures 15-22'!E151</f>
        <v>1111038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1732630</v>
      </c>
      <c r="D1245" s="2" t="str">
        <f t="shared" si="18"/>
        <v>Error?</v>
      </c>
    </row>
    <row r="1246" spans="1:4" x14ac:dyDescent="0.2">
      <c r="A1246" s="10">
        <v>1185</v>
      </c>
      <c r="D1246" s="2" t="str">
        <f t="shared" si="18"/>
        <v>OK</v>
      </c>
    </row>
    <row r="1247" spans="1:4" x14ac:dyDescent="0.2">
      <c r="A1247" s="5">
        <v>1186</v>
      </c>
      <c r="B1247" s="138">
        <f>'Expenditures 15-22'!F127</f>
        <v>1732630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1732630</v>
      </c>
      <c r="C1249" s="2" t="s">
        <v>594</v>
      </c>
      <c r="D1249" s="2" t="str">
        <f t="shared" si="18"/>
        <v>Error?</v>
      </c>
    </row>
    <row r="1250" spans="1:4" x14ac:dyDescent="0.2">
      <c r="A1250" s="5">
        <v>1189</v>
      </c>
      <c r="B1250" s="138">
        <f>'Expenditures 15-22'!F151</f>
        <v>1732630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646165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646165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646165</v>
      </c>
      <c r="C1258" s="2" t="s">
        <v>594</v>
      </c>
      <c r="D1258" s="2" t="str">
        <f t="shared" si="18"/>
        <v>Error?</v>
      </c>
    </row>
    <row r="1259" spans="1:4" x14ac:dyDescent="0.2">
      <c r="A1259" s="5">
        <v>1198</v>
      </c>
      <c r="B1259" s="138">
        <f>'Expenditures 15-22'!G151</f>
        <v>646165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895</v>
      </c>
      <c r="D1262" s="2" t="str">
        <f t="shared" si="18"/>
        <v>Error?</v>
      </c>
    </row>
    <row r="1263" spans="1:4" x14ac:dyDescent="0.2">
      <c r="A1263" s="10">
        <v>1202</v>
      </c>
      <c r="D1263" s="2" t="str">
        <f t="shared" si="18"/>
        <v>OK</v>
      </c>
    </row>
    <row r="1264" spans="1:4" x14ac:dyDescent="0.2">
      <c r="A1264" s="5">
        <v>1203</v>
      </c>
      <c r="B1264" s="138">
        <f>'Expenditures 15-22'!H127</f>
        <v>895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895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895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7808297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7808297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7808297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7808297</v>
      </c>
      <c r="C1288" s="2" t="s">
        <v>594</v>
      </c>
      <c r="D1288" s="2" t="str">
        <f t="shared" si="19"/>
        <v>Error?</v>
      </c>
    </row>
    <row r="1289" spans="1:4" x14ac:dyDescent="0.2">
      <c r="A1289" s="5">
        <v>1228</v>
      </c>
      <c r="B1289" s="138">
        <f>'Expenditures 15-22'!K152</f>
        <v>768464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508265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1855000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2363265</v>
      </c>
      <c r="C1317" s="2" t="s">
        <v>594</v>
      </c>
      <c r="D1317" s="2" t="str">
        <f t="shared" si="19"/>
        <v>Error?</v>
      </c>
    </row>
    <row r="1318" spans="1:4" x14ac:dyDescent="0.2">
      <c r="A1318" s="5">
        <v>1257</v>
      </c>
      <c r="B1318" s="138">
        <f>'Expenditures 15-22'!H174</f>
        <v>2363265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508265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1855000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2363265</v>
      </c>
      <c r="C1331" s="2" t="s">
        <v>594</v>
      </c>
      <c r="D1331" s="2" t="str">
        <f t="shared" si="19"/>
        <v>Error?</v>
      </c>
    </row>
    <row r="1332" spans="1:4" x14ac:dyDescent="0.2">
      <c r="A1332" s="5">
        <v>1271</v>
      </c>
      <c r="B1332" s="138">
        <f>'Expenditures 15-22'!K174</f>
        <v>2363265</v>
      </c>
      <c r="C1332" s="2" t="s">
        <v>594</v>
      </c>
      <c r="D1332" s="2" t="str">
        <f t="shared" si="19"/>
        <v>Error?</v>
      </c>
    </row>
    <row r="1333" spans="1:4" x14ac:dyDescent="0.2">
      <c r="A1333" s="5">
        <v>1272</v>
      </c>
      <c r="B1333" s="138">
        <f>'Expenditures 15-22'!K175</f>
        <v>28330</v>
      </c>
      <c r="C1333" s="2" t="s">
        <v>594</v>
      </c>
      <c r="D1333" s="2" t="str">
        <f t="shared" si="19"/>
        <v>Error?</v>
      </c>
    </row>
    <row r="1334" spans="1:4" x14ac:dyDescent="0.2">
      <c r="A1334" s="10">
        <v>1273</v>
      </c>
      <c r="D1334" s="2" t="str">
        <f t="shared" si="19"/>
        <v>OK</v>
      </c>
    </row>
    <row r="1335" spans="1:4" x14ac:dyDescent="0.2">
      <c r="A1335" s="5">
        <v>1274</v>
      </c>
      <c r="B1335" s="138">
        <f>'Expenditures 15-22'!C182</f>
        <v>13219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13219</v>
      </c>
      <c r="C1339" s="2" t="s">
        <v>594</v>
      </c>
      <c r="D1339" s="2" t="str">
        <f t="shared" si="19"/>
        <v>Error?</v>
      </c>
    </row>
    <row r="1340" spans="1:4" x14ac:dyDescent="0.2">
      <c r="A1340" s="5">
        <v>1279</v>
      </c>
      <c r="B1340" s="138">
        <f>'Expenditures 15-22'!C210</f>
        <v>13219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2692505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2692505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2692505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2705724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2705724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2705724</v>
      </c>
      <c r="C1388" s="2" t="s">
        <v>594</v>
      </c>
      <c r="D1388" s="2" t="str">
        <f t="shared" si="20"/>
        <v>Error?</v>
      </c>
    </row>
    <row r="1389" spans="1:4" x14ac:dyDescent="0.2">
      <c r="A1389" s="5">
        <v>1328</v>
      </c>
      <c r="B1389" s="138">
        <f>'Expenditures 15-22'!K211</f>
        <v>46409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5562</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79794</v>
      </c>
      <c r="D1408" s="2" t="str">
        <f t="shared" si="21"/>
        <v>Error?</v>
      </c>
    </row>
    <row r="1409" spans="1:4" x14ac:dyDescent="0.2">
      <c r="A1409" s="5">
        <v>1348</v>
      </c>
      <c r="B1409" s="138">
        <f>'Expenditures 15-22'!D224</f>
        <v>16690</v>
      </c>
      <c r="D1409" s="2" t="str">
        <f t="shared" si="21"/>
        <v>Error?</v>
      </c>
    </row>
    <row r="1410" spans="1:4" x14ac:dyDescent="0.2">
      <c r="A1410" s="5">
        <v>1349</v>
      </c>
      <c r="B1410" s="138">
        <f>'Expenditures 15-22'!D229</f>
        <v>967368</v>
      </c>
      <c r="C1410" s="2" t="s">
        <v>594</v>
      </c>
      <c r="D1410" s="2" t="str">
        <f t="shared" si="21"/>
        <v>Error?</v>
      </c>
    </row>
    <row r="1411" spans="1:4" x14ac:dyDescent="0.2">
      <c r="A1411" s="5">
        <v>1350</v>
      </c>
      <c r="B1411" s="138">
        <f>'Expenditures 15-22'!D232</f>
        <v>137199</v>
      </c>
      <c r="D1411" s="2" t="str">
        <f t="shared" si="21"/>
        <v>Error?</v>
      </c>
    </row>
    <row r="1412" spans="1:4" x14ac:dyDescent="0.2">
      <c r="A1412" s="5">
        <v>1351</v>
      </c>
      <c r="B1412" s="138">
        <f>'Expenditures 15-22'!D233</f>
        <v>94323</v>
      </c>
      <c r="D1412" s="2" t="str">
        <f t="shared" si="21"/>
        <v>Error?</v>
      </c>
    </row>
    <row r="1413" spans="1:4" x14ac:dyDescent="0.2">
      <c r="A1413" s="5">
        <v>1352</v>
      </c>
      <c r="B1413" s="138">
        <f>'Expenditures 15-22'!D234</f>
        <v>10218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19511</v>
      </c>
      <c r="D1416" s="2" t="str">
        <f t="shared" si="21"/>
        <v>Error?</v>
      </c>
    </row>
    <row r="1417" spans="1:4" x14ac:dyDescent="0.2">
      <c r="A1417" s="5">
        <v>1356</v>
      </c>
      <c r="B1417" s="138">
        <f>'Expenditures 15-22'!D238</f>
        <v>261251</v>
      </c>
      <c r="C1417" s="2" t="s">
        <v>594</v>
      </c>
      <c r="D1417" s="2" t="str">
        <f t="shared" si="21"/>
        <v>Error?</v>
      </c>
    </row>
    <row r="1418" spans="1:4" x14ac:dyDescent="0.2">
      <c r="A1418" s="5">
        <v>1357</v>
      </c>
      <c r="B1418" s="138">
        <f>'Expenditures 15-22'!D240</f>
        <v>12832</v>
      </c>
      <c r="D1418" s="2" t="str">
        <f t="shared" si="21"/>
        <v>Error?</v>
      </c>
    </row>
    <row r="1419" spans="1:4" x14ac:dyDescent="0.2">
      <c r="A1419" s="5">
        <v>1358</v>
      </c>
      <c r="B1419" s="138">
        <f>'Expenditures 15-22'!D241</f>
        <v>211585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224417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18503</v>
      </c>
      <c r="D1423" s="2" t="str">
        <f t="shared" si="21"/>
        <v>Error?</v>
      </c>
    </row>
    <row r="1424" spans="1:4" x14ac:dyDescent="0.2">
      <c r="A1424" s="5">
        <v>1363</v>
      </c>
      <c r="B1424" s="138">
        <f>'Expenditures 15-22'!D257</f>
        <v>18503</v>
      </c>
      <c r="C1424" s="2" t="s">
        <v>594</v>
      </c>
      <c r="D1424" s="2" t="str">
        <f t="shared" si="21"/>
        <v>Error?</v>
      </c>
    </row>
    <row r="1425" spans="1:4" x14ac:dyDescent="0.2">
      <c r="A1425" s="5">
        <v>1364</v>
      </c>
      <c r="B1425" s="138">
        <f>'Expenditures 15-22'!D259</f>
        <v>132481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132481</v>
      </c>
      <c r="C1427" s="2" t="s">
        <v>594</v>
      </c>
      <c r="D1427" s="2" t="str">
        <f t="shared" si="21"/>
        <v>Error?</v>
      </c>
    </row>
    <row r="1428" spans="1:4" x14ac:dyDescent="0.2">
      <c r="A1428" s="5">
        <v>1367</v>
      </c>
      <c r="B1428" s="138">
        <f>'Expenditures 15-22'!D263</f>
        <v>2393</v>
      </c>
      <c r="D1428" s="2" t="str">
        <f t="shared" si="21"/>
        <v>Error?</v>
      </c>
    </row>
    <row r="1429" spans="1:4" x14ac:dyDescent="0.2">
      <c r="A1429" s="5">
        <v>1368</v>
      </c>
      <c r="B1429" s="138">
        <f>'Expenditures 15-22'!D264</f>
        <v>63658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661893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27607</v>
      </c>
      <c r="D1434" s="2" t="str">
        <f t="shared" si="21"/>
        <v>Error?</v>
      </c>
    </row>
    <row r="1435" spans="1:4" x14ac:dyDescent="0.2">
      <c r="A1435" s="10">
        <v>1374</v>
      </c>
      <c r="D1435" s="2" t="str">
        <f t="shared" si="21"/>
        <v>OK</v>
      </c>
    </row>
    <row r="1436" spans="1:4" x14ac:dyDescent="0.2">
      <c r="A1436" s="5">
        <v>1375</v>
      </c>
      <c r="B1436" s="138">
        <f>'Expenditures 15-22'!D270</f>
        <v>755551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26791</v>
      </c>
      <c r="D1439" s="2" t="str">
        <f t="shared" si="21"/>
        <v>Error?</v>
      </c>
    </row>
    <row r="1440" spans="1:4" x14ac:dyDescent="0.2">
      <c r="A1440" s="5">
        <v>1379</v>
      </c>
      <c r="B1440" s="138">
        <f>'Expenditures 15-22'!D275</f>
        <v>23953</v>
      </c>
      <c r="D1440" s="2" t="str">
        <f t="shared" si="21"/>
        <v>Error?</v>
      </c>
    </row>
    <row r="1441" spans="1:4" x14ac:dyDescent="0.2">
      <c r="A1441" s="10">
        <v>1380</v>
      </c>
      <c r="D1441" s="2" t="str">
        <f t="shared" si="21"/>
        <v>OK</v>
      </c>
    </row>
    <row r="1442" spans="1:4" x14ac:dyDescent="0.2">
      <c r="A1442" s="5">
        <v>1381</v>
      </c>
      <c r="B1442" s="138">
        <f>'Expenditures 15-22'!D276</f>
        <v>36693</v>
      </c>
      <c r="D1442" s="2" t="str">
        <f t="shared" si="21"/>
        <v>Error?</v>
      </c>
    </row>
    <row r="1443" spans="1:4" x14ac:dyDescent="0.2">
      <c r="A1443" s="10">
        <v>1382</v>
      </c>
      <c r="D1443" s="2" t="str">
        <f t="shared" si="21"/>
        <v>OK</v>
      </c>
    </row>
    <row r="1444" spans="1:4" x14ac:dyDescent="0.2">
      <c r="A1444" s="5">
        <v>1383</v>
      </c>
      <c r="B1444" s="138">
        <f>'Expenditures 15-22'!D277</f>
        <v>87437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1479640</v>
      </c>
      <c r="C1446" s="2" t="s">
        <v>594</v>
      </c>
      <c r="D1446" s="2" t="str">
        <f t="shared" si="21"/>
        <v>Error?</v>
      </c>
    </row>
    <row r="1447" spans="1:4" x14ac:dyDescent="0.2">
      <c r="A1447" s="5">
        <v>1386</v>
      </c>
      <c r="B1447" s="138">
        <f>'Expenditures 15-22'!D280</f>
        <v>15342</v>
      </c>
      <c r="D1447" s="2" t="str">
        <f t="shared" si="21"/>
        <v>Error?</v>
      </c>
    </row>
    <row r="1448" spans="1:4" x14ac:dyDescent="0.2">
      <c r="A1448" s="5">
        <v>1387</v>
      </c>
      <c r="B1448" s="138">
        <f>'Expenditures 15-22'!D295</f>
        <v>2462350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5562</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79794</v>
      </c>
      <c r="C1472" s="2" t="s">
        <v>594</v>
      </c>
      <c r="D1472" s="2" t="str">
        <f t="shared" si="22"/>
        <v>Error?</v>
      </c>
    </row>
    <row r="1473" spans="1:4" x14ac:dyDescent="0.2">
      <c r="A1473" s="5">
        <v>1412</v>
      </c>
      <c r="B1473" s="138">
        <f>'Expenditures 15-22'!K224</f>
        <v>16690</v>
      </c>
      <c r="C1473" s="2" t="s">
        <v>594</v>
      </c>
      <c r="D1473" s="2" t="str">
        <f t="shared" si="22"/>
        <v>Error?</v>
      </c>
    </row>
    <row r="1474" spans="1:4" x14ac:dyDescent="0.2">
      <c r="A1474" s="5">
        <v>1413</v>
      </c>
      <c r="B1474" s="138">
        <f>'Expenditures 15-22'!K229</f>
        <v>967368</v>
      </c>
      <c r="C1474" s="2" t="s">
        <v>594</v>
      </c>
      <c r="D1474" s="2" t="str">
        <f t="shared" si="22"/>
        <v>Error?</v>
      </c>
    </row>
    <row r="1475" spans="1:4" x14ac:dyDescent="0.2">
      <c r="A1475" s="5">
        <v>1414</v>
      </c>
      <c r="B1475" s="138">
        <f>'Expenditures 15-22'!K232</f>
        <v>137199</v>
      </c>
      <c r="C1475" s="2" t="s">
        <v>594</v>
      </c>
      <c r="D1475" s="2" t="str">
        <f t="shared" si="22"/>
        <v>Error?</v>
      </c>
    </row>
    <row r="1476" spans="1:4" x14ac:dyDescent="0.2">
      <c r="A1476" s="5">
        <v>1415</v>
      </c>
      <c r="B1476" s="138">
        <f>'Expenditures 15-22'!K233</f>
        <v>94323</v>
      </c>
      <c r="C1476" s="2" t="s">
        <v>594</v>
      </c>
      <c r="D1476" s="2" t="str">
        <f t="shared" si="22"/>
        <v>Error?</v>
      </c>
    </row>
    <row r="1477" spans="1:4" x14ac:dyDescent="0.2">
      <c r="A1477" s="5">
        <v>1416</v>
      </c>
      <c r="B1477" s="138">
        <f>'Expenditures 15-22'!K234</f>
        <v>10218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19511</v>
      </c>
      <c r="C1480" s="2" t="s">
        <v>594</v>
      </c>
      <c r="D1480" s="2" t="str">
        <f t="shared" si="22"/>
        <v>Error?</v>
      </c>
    </row>
    <row r="1481" spans="1:4" x14ac:dyDescent="0.2">
      <c r="A1481" s="5">
        <v>1420</v>
      </c>
      <c r="B1481" s="138">
        <f>'Expenditures 15-22'!K238</f>
        <v>261251</v>
      </c>
      <c r="C1481" s="2" t="s">
        <v>594</v>
      </c>
      <c r="D1481" s="2" t="str">
        <f t="shared" si="22"/>
        <v>Error?</v>
      </c>
    </row>
    <row r="1482" spans="1:4" x14ac:dyDescent="0.2">
      <c r="A1482" s="5">
        <v>1421</v>
      </c>
      <c r="B1482" s="138">
        <f>'Expenditures 15-22'!K240</f>
        <v>12832</v>
      </c>
      <c r="C1482" s="2" t="s">
        <v>594</v>
      </c>
      <c r="D1482" s="2" t="str">
        <f t="shared" si="22"/>
        <v>Error?</v>
      </c>
    </row>
    <row r="1483" spans="1:4" x14ac:dyDescent="0.2">
      <c r="A1483" s="5">
        <v>1422</v>
      </c>
      <c r="B1483" s="138">
        <f>'Expenditures 15-22'!K241</f>
        <v>211585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224417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18503</v>
      </c>
      <c r="C1487" s="2" t="s">
        <v>594</v>
      </c>
      <c r="D1487" s="2" t="str">
        <f t="shared" si="22"/>
        <v>Error?</v>
      </c>
    </row>
    <row r="1488" spans="1:4" x14ac:dyDescent="0.2">
      <c r="A1488" s="5">
        <v>1427</v>
      </c>
      <c r="B1488" s="138">
        <f>'Expenditures 15-22'!K257</f>
        <v>18503</v>
      </c>
      <c r="C1488" s="2" t="s">
        <v>594</v>
      </c>
      <c r="D1488" s="2" t="str">
        <f t="shared" si="22"/>
        <v>Error?</v>
      </c>
    </row>
    <row r="1489" spans="1:4" x14ac:dyDescent="0.2">
      <c r="A1489" s="5">
        <v>1428</v>
      </c>
      <c r="B1489" s="138">
        <f>'Expenditures 15-22'!K259</f>
        <v>132481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132481</v>
      </c>
      <c r="C1491" s="2" t="s">
        <v>594</v>
      </c>
      <c r="D1491" s="2" t="str">
        <f t="shared" si="22"/>
        <v>Error?</v>
      </c>
    </row>
    <row r="1492" spans="1:4" x14ac:dyDescent="0.2">
      <c r="A1492" s="5">
        <v>1431</v>
      </c>
      <c r="B1492" s="138">
        <f>'Expenditures 15-22'!K263</f>
        <v>2393</v>
      </c>
      <c r="C1492" s="2" t="s">
        <v>594</v>
      </c>
      <c r="D1492" s="2" t="str">
        <f t="shared" si="22"/>
        <v>Error?</v>
      </c>
    </row>
    <row r="1493" spans="1:4" x14ac:dyDescent="0.2">
      <c r="A1493" s="5">
        <v>1432</v>
      </c>
      <c r="B1493" s="138">
        <f>'Expenditures 15-22'!K264</f>
        <v>63658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661893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27607</v>
      </c>
      <c r="C1498" s="2" t="s">
        <v>594</v>
      </c>
      <c r="D1498" s="2" t="str">
        <f t="shared" si="22"/>
        <v>Error?</v>
      </c>
    </row>
    <row r="1499" spans="1:4" x14ac:dyDescent="0.2">
      <c r="A1499" s="10">
        <v>1438</v>
      </c>
      <c r="D1499" s="2" t="str">
        <f t="shared" si="22"/>
        <v>OK</v>
      </c>
    </row>
    <row r="1500" spans="1:4" x14ac:dyDescent="0.2">
      <c r="A1500" s="5">
        <v>1439</v>
      </c>
      <c r="B1500" s="138">
        <f>'Expenditures 15-22'!K270</f>
        <v>755551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26791</v>
      </c>
      <c r="C1503" s="2" t="s">
        <v>594</v>
      </c>
      <c r="D1503" s="2" t="str">
        <f t="shared" si="22"/>
        <v>Error?</v>
      </c>
    </row>
    <row r="1504" spans="1:4" x14ac:dyDescent="0.2">
      <c r="A1504" s="5">
        <v>1443</v>
      </c>
      <c r="B1504" s="138">
        <f>'Expenditures 15-22'!K275</f>
        <v>23953</v>
      </c>
      <c r="C1504" s="2" t="s">
        <v>594</v>
      </c>
      <c r="D1504" s="2" t="str">
        <f t="shared" si="22"/>
        <v>Error?</v>
      </c>
    </row>
    <row r="1505" spans="1:4" x14ac:dyDescent="0.2">
      <c r="A1505" s="10">
        <v>1444</v>
      </c>
      <c r="D1505" s="2" t="str">
        <f t="shared" si="22"/>
        <v>OK</v>
      </c>
    </row>
    <row r="1506" spans="1:4" x14ac:dyDescent="0.2">
      <c r="A1506" s="5">
        <v>1445</v>
      </c>
      <c r="B1506" s="138">
        <f>'Expenditures 15-22'!K276</f>
        <v>36693</v>
      </c>
      <c r="C1506" s="2" t="s">
        <v>594</v>
      </c>
      <c r="D1506" s="2" t="str">
        <f t="shared" si="22"/>
        <v>Error?</v>
      </c>
    </row>
    <row r="1507" spans="1:4" x14ac:dyDescent="0.2">
      <c r="A1507" s="10">
        <v>1446</v>
      </c>
      <c r="D1507" s="2" t="str">
        <f t="shared" si="22"/>
        <v>OK</v>
      </c>
    </row>
    <row r="1508" spans="1:4" x14ac:dyDescent="0.2">
      <c r="A1508" s="5">
        <v>1447</v>
      </c>
      <c r="B1508" s="138">
        <f>'Expenditures 15-22'!K277</f>
        <v>87437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1479640</v>
      </c>
      <c r="C1510" s="2" t="s">
        <v>594</v>
      </c>
      <c r="D1510" s="2" t="str">
        <f t="shared" si="22"/>
        <v>Error?</v>
      </c>
    </row>
    <row r="1511" spans="1:4" x14ac:dyDescent="0.2">
      <c r="A1511" s="5">
        <v>1450</v>
      </c>
      <c r="B1511" s="138">
        <f>'Expenditures 15-22'!K280</f>
        <v>15342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2462350</v>
      </c>
      <c r="C1517" s="2" t="s">
        <v>594</v>
      </c>
      <c r="D1517" s="2" t="str">
        <f t="shared" si="22"/>
        <v>Error?</v>
      </c>
    </row>
    <row r="1518" spans="1:4" x14ac:dyDescent="0.2">
      <c r="A1518" s="5">
        <v>1457</v>
      </c>
      <c r="B1518" s="138">
        <f>'Expenditures 15-22'!K296</f>
        <v>-37064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1357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26652254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26845193</v>
      </c>
      <c r="C1630" s="2" t="s">
        <v>594</v>
      </c>
      <c r="D1630" s="2" t="str">
        <f t="shared" si="24"/>
        <v>Error?</v>
      </c>
    </row>
    <row r="1631" spans="1:4" x14ac:dyDescent="0.2">
      <c r="A1631" s="5">
        <v>1570</v>
      </c>
      <c r="B1631" s="138">
        <f>'Acct Summary 7-8'!D79</f>
        <v>6257652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7259073</v>
      </c>
      <c r="C1644" s="2" t="s">
        <v>594</v>
      </c>
      <c r="D1644" s="2" t="str">
        <f t="shared" si="24"/>
        <v>Error?</v>
      </c>
    </row>
    <row r="1645" spans="1:4" x14ac:dyDescent="0.2">
      <c r="A1645" s="5">
        <v>1584</v>
      </c>
      <c r="B1645" s="138">
        <f>'Acct Summary 7-8'!E79</f>
        <v>1147808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1176138</v>
      </c>
      <c r="C1658" s="2" t="s">
        <v>594</v>
      </c>
      <c r="D1658" s="2" t="str">
        <f t="shared" si="24"/>
        <v>Error?</v>
      </c>
    </row>
    <row r="1659" spans="1:4" x14ac:dyDescent="0.2">
      <c r="A1659" s="5">
        <v>1598</v>
      </c>
      <c r="B1659" s="138">
        <f>'Acct Summary 7-8'!F79</f>
        <v>618720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665129</v>
      </c>
      <c r="C1672" s="2" t="s">
        <v>594</v>
      </c>
      <c r="D1672" s="2" t="str">
        <f t="shared" si="25"/>
        <v>Error?</v>
      </c>
    </row>
    <row r="1673" spans="1:4" x14ac:dyDescent="0.2">
      <c r="A1673" s="5">
        <v>1612</v>
      </c>
      <c r="B1673" s="138">
        <f>'Acct Summary 7-8'!G79</f>
        <v>767135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730071</v>
      </c>
      <c r="C1686" s="2" t="s">
        <v>594</v>
      </c>
      <c r="D1686" s="2" t="str">
        <f t="shared" si="25"/>
        <v>Error?</v>
      </c>
    </row>
    <row r="1687" spans="1:4" x14ac:dyDescent="0.2">
      <c r="A1687" s="5">
        <v>1626</v>
      </c>
      <c r="B1687" s="138">
        <f>'Acct Summary 7-8'!H79</f>
        <v>231600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50272990</v>
      </c>
      <c r="C1744" s="2" t="s">
        <v>594</v>
      </c>
      <c r="D1744" s="2" t="str">
        <f t="shared" si="26"/>
        <v>Error?</v>
      </c>
    </row>
    <row r="1745" spans="1:5" x14ac:dyDescent="0.2">
      <c r="A1745" s="5">
        <v>1684</v>
      </c>
      <c r="B1745" s="138">
        <f>'Tax Sched 23'!B5</f>
        <v>8328275</v>
      </c>
      <c r="C1745" s="2" t="s">
        <v>594</v>
      </c>
      <c r="D1745" s="2" t="str">
        <f t="shared" si="26"/>
        <v>Error?</v>
      </c>
    </row>
    <row r="1746" spans="1:5" x14ac:dyDescent="0.2">
      <c r="A1746" s="5">
        <v>1685</v>
      </c>
      <c r="B1746" s="138">
        <f>'Tax Sched 23'!B6</f>
        <v>2390272</v>
      </c>
      <c r="C1746" s="2" t="s">
        <v>594</v>
      </c>
      <c r="D1746" s="2" t="str">
        <f t="shared" si="26"/>
        <v>Error?</v>
      </c>
    </row>
    <row r="1747" spans="1:5" x14ac:dyDescent="0.2">
      <c r="A1747" s="5">
        <v>1686</v>
      </c>
      <c r="B1747" s="138">
        <f>'Tax Sched 23'!B7</f>
        <v>1761862</v>
      </c>
      <c r="C1747" s="2" t="s">
        <v>594</v>
      </c>
      <c r="D1747" s="2" t="str">
        <f t="shared" si="26"/>
        <v>Error?</v>
      </c>
    </row>
    <row r="1748" spans="1:5" x14ac:dyDescent="0.2">
      <c r="A1748" s="5">
        <v>1687</v>
      </c>
      <c r="B1748" s="138">
        <f>'Tax Sched 23'!B8</f>
        <v>730966</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443289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65264936</v>
      </c>
      <c r="C1759" s="2" t="s">
        <v>594</v>
      </c>
      <c r="D1759" s="2" t="str">
        <f t="shared" si="26"/>
        <v>Error?</v>
      </c>
    </row>
    <row r="1760" spans="1:5" x14ac:dyDescent="0.2">
      <c r="A1760" s="5">
        <v>1699</v>
      </c>
      <c r="B1760" s="138">
        <f>'Tax Sched 23'!D4</f>
        <v>23083532</v>
      </c>
      <c r="C1760" s="2" t="s">
        <v>594</v>
      </c>
      <c r="D1760" s="2" t="str">
        <f t="shared" si="26"/>
        <v>Error?</v>
      </c>
    </row>
    <row r="1761" spans="1:5" x14ac:dyDescent="0.2">
      <c r="A1761" s="5">
        <v>1700</v>
      </c>
      <c r="B1761" s="138">
        <f>'Tax Sched 23'!D5</f>
        <v>3895810</v>
      </c>
      <c r="C1761" s="2" t="s">
        <v>594</v>
      </c>
      <c r="D1761" s="2" t="str">
        <f t="shared" si="26"/>
        <v>Error?</v>
      </c>
    </row>
    <row r="1762" spans="1:5" s="8" customFormat="1" x14ac:dyDescent="0.2">
      <c r="A1762" s="5">
        <v>1701</v>
      </c>
      <c r="B1762" s="138">
        <f>'Tax Sched 23'!D6</f>
        <v>1109078</v>
      </c>
      <c r="C1762" s="2" t="s">
        <v>594</v>
      </c>
      <c r="D1762" s="2" t="str">
        <f t="shared" si="26"/>
        <v>Error?</v>
      </c>
      <c r="E1762" s="9"/>
    </row>
    <row r="1763" spans="1:5" x14ac:dyDescent="0.2">
      <c r="A1763" s="5">
        <v>1702</v>
      </c>
      <c r="B1763" s="138">
        <f>'Tax Sched 23'!D7</f>
        <v>822489</v>
      </c>
      <c r="C1763" s="2" t="s">
        <v>594</v>
      </c>
      <c r="D1763" s="2" t="str">
        <f t="shared" si="26"/>
        <v>Error?</v>
      </c>
    </row>
    <row r="1764" spans="1:5" x14ac:dyDescent="0.2">
      <c r="A1764" s="5">
        <v>1703</v>
      </c>
      <c r="B1764" s="138">
        <f>'Tax Sched 23'!D8</f>
        <v>337201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206515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30071292</v>
      </c>
      <c r="C1775" s="2" t="s">
        <v>594</v>
      </c>
      <c r="D1775" s="2" t="str">
        <f t="shared" si="26"/>
        <v>Error?</v>
      </c>
    </row>
    <row r="1776" spans="1:5" x14ac:dyDescent="0.2">
      <c r="A1776" s="5">
        <v>1715</v>
      </c>
      <c r="B1776" s="138">
        <f>'Tax Sched 23'!C4</f>
        <v>27189458</v>
      </c>
      <c r="D1776" s="2" t="str">
        <f t="shared" si="26"/>
        <v>Error?</v>
      </c>
    </row>
    <row r="1777" spans="1:4" x14ac:dyDescent="0.2">
      <c r="A1777" s="5">
        <v>1716</v>
      </c>
      <c r="B1777" s="138">
        <f>'Tax Sched 23'!C5</f>
        <v>4432465</v>
      </c>
      <c r="D1777" s="2" t="str">
        <f t="shared" si="26"/>
        <v>Error?</v>
      </c>
    </row>
    <row r="1778" spans="1:4" x14ac:dyDescent="0.2">
      <c r="A1778" s="5">
        <v>1717</v>
      </c>
      <c r="B1778" s="138">
        <f>'Tax Sched 23'!C6</f>
        <v>1281194</v>
      </c>
      <c r="D1778" s="2" t="str">
        <f t="shared" si="26"/>
        <v>Error?</v>
      </c>
    </row>
    <row r="1779" spans="1:4" x14ac:dyDescent="0.2">
      <c r="A1779" s="5">
        <v>1718</v>
      </c>
      <c r="B1779" s="138">
        <f>'Tax Sched 23'!C7</f>
        <v>939373</v>
      </c>
      <c r="D1779" s="2" t="str">
        <f t="shared" si="26"/>
        <v>Error?</v>
      </c>
    </row>
    <row r="1780" spans="1:4" x14ac:dyDescent="0.2">
      <c r="A1780" s="5">
        <v>1719</v>
      </c>
      <c r="B1780" s="138">
        <f>'Tax Sched 23'!C8</f>
        <v>393765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236774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35193644</v>
      </c>
      <c r="C1791" s="2" t="s">
        <v>594</v>
      </c>
      <c r="D1791" s="2" t="str">
        <f t="shared" ref="D1791:D1854" si="27">IF(ISBLANK(B1791),"OK",IF(A1791-B1791=0,"OK","Error?"))</f>
        <v>Error?</v>
      </c>
    </row>
    <row r="1792" spans="1:4" x14ac:dyDescent="0.2">
      <c r="A1792" s="5">
        <v>1731</v>
      </c>
      <c r="B1792" s="138">
        <f>'Tax Sched 23'!F4</f>
        <v>25426357</v>
      </c>
      <c r="C1792" s="2" t="s">
        <v>594</v>
      </c>
      <c r="D1792" s="2" t="str">
        <f t="shared" si="27"/>
        <v>Error?</v>
      </c>
    </row>
    <row r="1793" spans="1:4" x14ac:dyDescent="0.2">
      <c r="A1793" s="5">
        <v>1732</v>
      </c>
      <c r="B1793" s="138">
        <f>'Tax Sched 23'!F5</f>
        <v>4144535</v>
      </c>
      <c r="C1793" s="2" t="s">
        <v>594</v>
      </c>
      <c r="D1793" s="2" t="str">
        <f t="shared" si="27"/>
        <v>Error?</v>
      </c>
    </row>
    <row r="1794" spans="1:4" x14ac:dyDescent="0.2">
      <c r="A1794" s="5">
        <v>1733</v>
      </c>
      <c r="B1794" s="138">
        <f>'Tax Sched 23'!F6</f>
        <v>1200790</v>
      </c>
      <c r="C1794" s="2" t="s">
        <v>594</v>
      </c>
      <c r="D1794" s="2" t="str">
        <f t="shared" si="27"/>
        <v>Error?</v>
      </c>
    </row>
    <row r="1795" spans="1:4" x14ac:dyDescent="0.2">
      <c r="A1795" s="5">
        <v>1734</v>
      </c>
      <c r="B1795" s="138">
        <f>'Tax Sched 23'!F7</f>
        <v>874730</v>
      </c>
      <c r="C1795" s="2" t="s">
        <v>594</v>
      </c>
      <c r="D1795" s="2" t="str">
        <f t="shared" si="27"/>
        <v>Error?</v>
      </c>
    </row>
    <row r="1796" spans="1:4" x14ac:dyDescent="0.2">
      <c r="A1796" s="5">
        <v>1735</v>
      </c>
      <c r="B1796" s="138">
        <f>'Tax Sched 23'!F8</f>
        <v>368635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219304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32905796</v>
      </c>
      <c r="C1807" s="2" t="s">
        <v>594</v>
      </c>
      <c r="D1807" s="2" t="str">
        <f t="shared" si="27"/>
        <v>Error?</v>
      </c>
    </row>
    <row r="1808" spans="1:4" x14ac:dyDescent="0.2">
      <c r="A1808" s="5">
        <v>1747</v>
      </c>
      <c r="B1808" s="138">
        <f>'Tax Sched 23'!E4</f>
        <v>52615815</v>
      </c>
      <c r="D1808" s="2" t="str">
        <f t="shared" si="27"/>
        <v>Error?</v>
      </c>
    </row>
    <row r="1809" spans="1:4" x14ac:dyDescent="0.2">
      <c r="A1809" s="5">
        <v>1748</v>
      </c>
      <c r="B1809" s="138">
        <f>'Tax Sched 23'!E5</f>
        <v>8577000</v>
      </c>
      <c r="D1809" s="2" t="str">
        <f t="shared" si="27"/>
        <v>Error?</v>
      </c>
    </row>
    <row r="1810" spans="1:4" x14ac:dyDescent="0.2">
      <c r="A1810" s="5">
        <v>1749</v>
      </c>
      <c r="B1810" s="138">
        <f>'Tax Sched 23'!E6</f>
        <v>2481984</v>
      </c>
      <c r="D1810" s="2" t="str">
        <f t="shared" si="27"/>
        <v>Error?</v>
      </c>
    </row>
    <row r="1811" spans="1:4" x14ac:dyDescent="0.2">
      <c r="A1811" s="5">
        <v>1750</v>
      </c>
      <c r="B1811" s="138">
        <f>'Tax Sched 23'!E7</f>
        <v>1814103</v>
      </c>
      <c r="D1811" s="2" t="str">
        <f t="shared" si="27"/>
        <v>Error?</v>
      </c>
    </row>
    <row r="1812" spans="1:4" x14ac:dyDescent="0.2">
      <c r="A1812" s="5">
        <v>1751</v>
      </c>
      <c r="B1812" s="138">
        <f>'Tax Sched 23'!E8</f>
        <v>762400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456078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68099440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15565000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443289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443289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443289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1130500</v>
      </c>
      <c r="D2008" s="2" t="str">
        <f t="shared" si="30"/>
        <v>Error?</v>
      </c>
    </row>
    <row r="2009" spans="1:4" x14ac:dyDescent="0.2">
      <c r="A2009" s="5">
        <v>1948</v>
      </c>
      <c r="B2009" s="138">
        <f>'Cap Outlay Deprec 26'!C8</f>
        <v>88129579</v>
      </c>
      <c r="D2009" s="2" t="str">
        <f t="shared" si="30"/>
        <v>Error?</v>
      </c>
    </row>
    <row r="2010" spans="1:4" x14ac:dyDescent="0.2">
      <c r="A2010" s="5">
        <v>1949</v>
      </c>
      <c r="B2010" s="138">
        <f>'Cap Outlay Deprec 26'!C10</f>
        <v>5390020</v>
      </c>
      <c r="D2010" s="2" t="str">
        <f t="shared" si="30"/>
        <v>Error?</v>
      </c>
    </row>
    <row r="2011" spans="1:4" x14ac:dyDescent="0.2">
      <c r="A2011" s="5">
        <v>1950</v>
      </c>
      <c r="B2011" s="138">
        <f>'Cap Outlay Deprec 26'!C12</f>
        <v>17683089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112904464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1203512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268596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1472108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56289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627565</v>
      </c>
      <c r="C2025" s="2" t="s">
        <v>594</v>
      </c>
      <c r="D2025" s="2" t="str">
        <f t="shared" si="30"/>
        <v>Error?</v>
      </c>
    </row>
    <row r="2026" spans="1:4" x14ac:dyDescent="0.2">
      <c r="A2026" s="5">
        <v>1965</v>
      </c>
      <c r="B2026" s="138">
        <f>'Cap Outlay Deprec 26'!F5</f>
        <v>1130500</v>
      </c>
      <c r="C2026" s="2" t="s">
        <v>594</v>
      </c>
      <c r="D2026" s="2" t="str">
        <f t="shared" si="30"/>
        <v>Error?</v>
      </c>
    </row>
    <row r="2027" spans="1:4" x14ac:dyDescent="0.2">
      <c r="A2027" s="5">
        <v>1966</v>
      </c>
      <c r="B2027" s="138">
        <f>'Cap Outlay Deprec 26'!F8</f>
        <v>89333091</v>
      </c>
      <c r="C2027" s="2" t="s">
        <v>594</v>
      </c>
      <c r="D2027" s="2" t="str">
        <f t="shared" si="30"/>
        <v>Error?</v>
      </c>
    </row>
    <row r="2028" spans="1:4" x14ac:dyDescent="0.2">
      <c r="A2028" s="5">
        <v>1967</v>
      </c>
      <c r="B2028" s="138">
        <f>'Cap Outlay Deprec 26'!F10</f>
        <v>5390020</v>
      </c>
      <c r="C2028" s="2" t="s">
        <v>594</v>
      </c>
      <c r="D2028" s="2" t="str">
        <f t="shared" si="30"/>
        <v>Error?</v>
      </c>
    </row>
    <row r="2029" spans="1:4" x14ac:dyDescent="0.2">
      <c r="A2029" s="5">
        <v>1968</v>
      </c>
      <c r="B2029" s="138">
        <f>'Cap Outlay Deprec 26'!F12</f>
        <v>17895396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113749007</v>
      </c>
      <c r="C2031" s="2" t="s">
        <v>594</v>
      </c>
      <c r="D2031" s="2" t="str">
        <f t="shared" si="30"/>
        <v>Error?</v>
      </c>
    </row>
    <row r="2032" spans="1:4" x14ac:dyDescent="0.2">
      <c r="A2032" s="10">
        <v>1971</v>
      </c>
      <c r="D2032" s="2" t="str">
        <f t="shared" si="30"/>
        <v>OK</v>
      </c>
    </row>
    <row r="2033" spans="1:4" x14ac:dyDescent="0.2">
      <c r="A2033" s="5">
        <v>1972</v>
      </c>
      <c r="B2033" s="138">
        <f>'Cap Outlay Deprec 26'!H8</f>
        <v>35014718</v>
      </c>
      <c r="D2033" s="2" t="str">
        <f t="shared" si="30"/>
        <v>Error?</v>
      </c>
    </row>
    <row r="2034" spans="1:4" x14ac:dyDescent="0.2">
      <c r="A2034" s="5">
        <v>1973</v>
      </c>
      <c r="B2034" s="138">
        <f>'Cap Outlay Deprec 26'!H10</f>
        <v>2795215</v>
      </c>
      <c r="D2034" s="2" t="str">
        <f t="shared" si="30"/>
        <v>Error?</v>
      </c>
    </row>
    <row r="2035" spans="1:4" x14ac:dyDescent="0.2">
      <c r="A2035" s="5">
        <v>1974</v>
      </c>
      <c r="B2035" s="138">
        <f>'Cap Outlay Deprec 26'!H12</f>
        <v>13480418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51290351</v>
      </c>
      <c r="C2037" s="2" t="s">
        <v>594</v>
      </c>
      <c r="D2037" s="2" t="str">
        <f t="shared" si="30"/>
        <v>Error?</v>
      </c>
    </row>
    <row r="2038" spans="1:4" x14ac:dyDescent="0.2">
      <c r="A2038" s="10">
        <v>1977</v>
      </c>
      <c r="D2038" s="2" t="str">
        <f t="shared" si="30"/>
        <v>OK</v>
      </c>
    </row>
    <row r="2039" spans="1:4" x14ac:dyDescent="0.2">
      <c r="A2039" s="5">
        <v>1978</v>
      </c>
      <c r="B2039" s="138">
        <f>'Cap Outlay Deprec 26'!I8</f>
        <v>2282233</v>
      </c>
      <c r="D2039" s="2" t="str">
        <f t="shared" si="30"/>
        <v>Error?</v>
      </c>
    </row>
    <row r="2040" spans="1:4" x14ac:dyDescent="0.2">
      <c r="A2040" s="5">
        <v>1979</v>
      </c>
      <c r="B2040" s="138">
        <f>'Cap Outlay Deprec 26'!I10</f>
        <v>199414</v>
      </c>
      <c r="D2040" s="2" t="str">
        <f t="shared" si="30"/>
        <v>Error?</v>
      </c>
    </row>
    <row r="2041" spans="1:4" x14ac:dyDescent="0.2">
      <c r="A2041" s="5">
        <v>1980</v>
      </c>
      <c r="B2041" s="138">
        <f>'Cap Outlay Deprec 26'!I12</f>
        <v>923617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3405264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54437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54437</v>
      </c>
      <c r="C2049" s="2" t="s">
        <v>594</v>
      </c>
      <c r="D2049" s="2" t="str">
        <f t="shared" si="31"/>
        <v>Error?</v>
      </c>
    </row>
    <row r="2050" spans="1:4" x14ac:dyDescent="0.2">
      <c r="A2050" s="10">
        <v>1989</v>
      </c>
      <c r="D2050" s="2" t="str">
        <f t="shared" si="31"/>
        <v>OK</v>
      </c>
    </row>
    <row r="2051" spans="1:4" x14ac:dyDescent="0.2">
      <c r="A2051" s="5">
        <v>1990</v>
      </c>
      <c r="B2051" s="138">
        <f>'Cap Outlay Deprec 26'!K8</f>
        <v>37296951</v>
      </c>
      <c r="C2051" s="2" t="s">
        <v>594</v>
      </c>
      <c r="D2051" s="2" t="str">
        <f t="shared" si="31"/>
        <v>Error?</v>
      </c>
    </row>
    <row r="2052" spans="1:4" x14ac:dyDescent="0.2">
      <c r="A2052" s="5">
        <v>1991</v>
      </c>
      <c r="B2052" s="138">
        <f>'Cap Outlay Deprec 26'!K10</f>
        <v>2994629</v>
      </c>
      <c r="C2052" s="2" t="s">
        <v>594</v>
      </c>
      <c r="D2052" s="2" t="str">
        <f t="shared" si="31"/>
        <v>Error?</v>
      </c>
    </row>
    <row r="2053" spans="1:4" x14ac:dyDescent="0.2">
      <c r="A2053" s="5">
        <v>1992</v>
      </c>
      <c r="B2053" s="138">
        <f>'Cap Outlay Deprec 26'!K12</f>
        <v>14349598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54641178</v>
      </c>
      <c r="C2055" s="2" t="s">
        <v>594</v>
      </c>
      <c r="D2055" s="2" t="str">
        <f t="shared" si="31"/>
        <v>Error?</v>
      </c>
    </row>
    <row r="2056" spans="1:4" x14ac:dyDescent="0.2">
      <c r="A2056" s="5">
        <v>1995</v>
      </c>
      <c r="B2056" s="138">
        <f>'Cap Outlay Deprec 26'!L5</f>
        <v>1130500</v>
      </c>
      <c r="C2056" s="2" t="s">
        <v>594</v>
      </c>
      <c r="D2056" s="2" t="str">
        <f t="shared" si="31"/>
        <v>Error?</v>
      </c>
    </row>
    <row r="2057" spans="1:4" x14ac:dyDescent="0.2">
      <c r="A2057" s="5">
        <v>1996</v>
      </c>
      <c r="B2057" s="138">
        <f>'Cap Outlay Deprec 26'!L8</f>
        <v>52036140</v>
      </c>
      <c r="C2057" s="2" t="s">
        <v>594</v>
      </c>
      <c r="D2057" s="2" t="str">
        <f t="shared" si="31"/>
        <v>Error?</v>
      </c>
    </row>
    <row r="2058" spans="1:4" x14ac:dyDescent="0.2">
      <c r="A2058" s="5">
        <v>1997</v>
      </c>
      <c r="B2058" s="138">
        <f>'Cap Outlay Deprec 26'!L10</f>
        <v>2395391</v>
      </c>
      <c r="C2058" s="2" t="s">
        <v>594</v>
      </c>
      <c r="D2058" s="2" t="str">
        <f t="shared" si="31"/>
        <v>Error?</v>
      </c>
    </row>
    <row r="2059" spans="1:4" x14ac:dyDescent="0.2">
      <c r="A2059" s="5">
        <v>1998</v>
      </c>
      <c r="B2059" s="138">
        <f>'Cap Outlay Deprec 26'!L12</f>
        <v>3545798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59107829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757208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1964717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56023724</v>
      </c>
      <c r="C2551" s="2" t="s">
        <v>594</v>
      </c>
      <c r="D2551" s="2" t="str">
        <f t="shared" si="38"/>
        <v>Error?</v>
      </c>
    </row>
    <row r="2552" spans="1:4" x14ac:dyDescent="0.2">
      <c r="A2552" s="10">
        <v>2491</v>
      </c>
      <c r="D2552" s="2" t="str">
        <f t="shared" si="38"/>
        <v>OK</v>
      </c>
    </row>
    <row r="2553" spans="1:4" x14ac:dyDescent="0.2">
      <c r="A2553" s="5">
        <v>2492</v>
      </c>
      <c r="B2553" s="138">
        <f>'Acct Summary 7-8'!C6</f>
        <v>3910360</v>
      </c>
      <c r="C2553" s="2" t="s">
        <v>594</v>
      </c>
      <c r="D2553" s="2" t="str">
        <f t="shared" si="38"/>
        <v>Error?</v>
      </c>
    </row>
    <row r="2554" spans="1:4" x14ac:dyDescent="0.2">
      <c r="A2554" s="5">
        <v>2493</v>
      </c>
      <c r="B2554" s="138">
        <f>'Acct Summary 7-8'!C7</f>
        <v>954404</v>
      </c>
      <c r="C2554" s="2" t="s">
        <v>594</v>
      </c>
      <c r="D2554" s="2" t="str">
        <f t="shared" si="38"/>
        <v>Error?</v>
      </c>
    </row>
    <row r="2555" spans="1:4" x14ac:dyDescent="0.2">
      <c r="A2555" s="5">
        <v>2494</v>
      </c>
      <c r="B2555" s="138">
        <f>'Acct Summary 7-8'!C8</f>
        <v>60888488</v>
      </c>
      <c r="C2555" s="2" t="s">
        <v>594</v>
      </c>
      <c r="D2555" s="2" t="str">
        <f t="shared" si="38"/>
        <v>Error?</v>
      </c>
    </row>
    <row r="2556" spans="1:4" x14ac:dyDescent="0.2">
      <c r="A2556" s="5">
        <v>2495</v>
      </c>
      <c r="B2556" s="138">
        <f>'Acct Summary 7-8'!C12</f>
        <v>42244822</v>
      </c>
      <c r="C2556" s="2" t="s">
        <v>594</v>
      </c>
      <c r="D2556" s="2" t="str">
        <f t="shared" si="38"/>
        <v>Error?</v>
      </c>
    </row>
    <row r="2557" spans="1:4" x14ac:dyDescent="0.2">
      <c r="A2557" s="5">
        <v>2496</v>
      </c>
      <c r="B2557" s="138">
        <f>'Acct Summary 7-8'!C13</f>
        <v>17383737</v>
      </c>
      <c r="C2557" s="2" t="s">
        <v>594</v>
      </c>
      <c r="D2557" s="2" t="str">
        <f t="shared" si="38"/>
        <v>Error?</v>
      </c>
    </row>
    <row r="2558" spans="1:4" x14ac:dyDescent="0.2">
      <c r="A2558" s="5">
        <v>2497</v>
      </c>
      <c r="B2558" s="138">
        <f>'Acct Summary 7-8'!C14</f>
        <v>309782</v>
      </c>
      <c r="C2558" s="2" t="s">
        <v>594</v>
      </c>
      <c r="D2558" s="2" t="str">
        <f t="shared" si="38"/>
        <v>Error?</v>
      </c>
    </row>
    <row r="2559" spans="1:4" x14ac:dyDescent="0.2">
      <c r="A2559" s="5">
        <v>2498</v>
      </c>
      <c r="B2559" s="138">
        <f>'Acct Summary 7-8'!C15</f>
        <v>757208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60695549</v>
      </c>
      <c r="C2561" s="2" t="s">
        <v>594</v>
      </c>
      <c r="D2561" s="2" t="str">
        <f t="shared" si="39"/>
        <v>Error?</v>
      </c>
    </row>
    <row r="2562" spans="1:4" x14ac:dyDescent="0.2">
      <c r="A2562" s="5">
        <v>2501</v>
      </c>
      <c r="B2562" s="138">
        <f>'Acct Summary 7-8'!C20</f>
        <v>192939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8576761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8576761</v>
      </c>
      <c r="C2568" s="2" t="s">
        <v>594</v>
      </c>
      <c r="D2568" s="2" t="str">
        <f t="shared" si="39"/>
        <v>Error?</v>
      </c>
    </row>
    <row r="2569" spans="1:4" x14ac:dyDescent="0.2">
      <c r="A2569" s="5">
        <v>2508</v>
      </c>
      <c r="B2569" s="138">
        <f>'Acct Summary 7-8'!D13</f>
        <v>7808297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7808297</v>
      </c>
      <c r="C2573" s="2" t="s">
        <v>594</v>
      </c>
      <c r="D2573" s="2" t="str">
        <f t="shared" si="39"/>
        <v>Error?</v>
      </c>
    </row>
    <row r="2574" spans="1:4" x14ac:dyDescent="0.2">
      <c r="A2574" s="5">
        <v>2513</v>
      </c>
      <c r="B2574" s="138">
        <f>'Acct Summary 7-8'!D20</f>
        <v>768464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1766717</v>
      </c>
      <c r="C2591" s="2" t="s">
        <v>594</v>
      </c>
      <c r="D2591" s="2" t="str">
        <f t="shared" si="39"/>
        <v>Error?</v>
      </c>
    </row>
    <row r="2592" spans="1:4" x14ac:dyDescent="0.2">
      <c r="A2592" s="10">
        <v>2531</v>
      </c>
      <c r="D2592" s="2" t="str">
        <f t="shared" si="39"/>
        <v>OK</v>
      </c>
    </row>
    <row r="2593" spans="1:4" x14ac:dyDescent="0.2">
      <c r="A2593" s="5">
        <v>2532</v>
      </c>
      <c r="B2593" s="138">
        <f>'Acct Summary 7-8'!F6</f>
        <v>985416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2752133</v>
      </c>
      <c r="C2595" s="2" t="s">
        <v>594</v>
      </c>
      <c r="D2595" s="2" t="str">
        <f t="shared" si="39"/>
        <v>Error?</v>
      </c>
    </row>
    <row r="2596" spans="1:4" x14ac:dyDescent="0.2">
      <c r="A2596" s="5">
        <v>2535</v>
      </c>
      <c r="B2596" s="138">
        <f>'Acct Summary 7-8'!F13</f>
        <v>2705724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2705724</v>
      </c>
      <c r="C2600" s="2" t="s">
        <v>594</v>
      </c>
      <c r="D2600" s="2" t="str">
        <f t="shared" si="39"/>
        <v>Error?</v>
      </c>
    </row>
    <row r="2601" spans="1:4" x14ac:dyDescent="0.2">
      <c r="A2601" s="5">
        <v>2540</v>
      </c>
      <c r="B2601" s="138">
        <f>'Acct Summary 7-8'!F20</f>
        <v>46409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2425286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2425286</v>
      </c>
      <c r="C2606" s="2" t="s">
        <v>594</v>
      </c>
      <c r="D2606" s="2" t="str">
        <f t="shared" si="39"/>
        <v>Error?</v>
      </c>
    </row>
    <row r="2607" spans="1:4" x14ac:dyDescent="0.2">
      <c r="A2607" s="5">
        <v>2546</v>
      </c>
      <c r="B2607" s="138">
        <f>'Acct Summary 7-8'!G12</f>
        <v>967368</v>
      </c>
      <c r="C2607" s="2" t="s">
        <v>594</v>
      </c>
      <c r="D2607" s="2" t="str">
        <f t="shared" si="39"/>
        <v>Error?</v>
      </c>
    </row>
    <row r="2608" spans="1:4" x14ac:dyDescent="0.2">
      <c r="A2608" s="5">
        <v>2547</v>
      </c>
      <c r="B2608" s="138">
        <f>'Acct Summary 7-8'!G13</f>
        <v>1479640</v>
      </c>
      <c r="C2608" s="2" t="s">
        <v>594</v>
      </c>
      <c r="D2608" s="2" t="str">
        <f t="shared" si="39"/>
        <v>Error?</v>
      </c>
    </row>
    <row r="2609" spans="1:4" x14ac:dyDescent="0.2">
      <c r="A2609" s="5">
        <v>2548</v>
      </c>
      <c r="B2609" s="138">
        <f>'Acct Summary 7-8'!G14</f>
        <v>15342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2462350</v>
      </c>
      <c r="C2612" s="2" t="s">
        <v>594</v>
      </c>
      <c r="D2612" s="2" t="str">
        <f t="shared" si="39"/>
        <v>Error?</v>
      </c>
    </row>
    <row r="2613" spans="1:4" x14ac:dyDescent="0.2">
      <c r="A2613" s="5">
        <v>2552</v>
      </c>
      <c r="B2613" s="138">
        <f>'Acct Summary 7-8'!G20</f>
        <v>-37064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2391595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2391595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2363265</v>
      </c>
      <c r="C2634" s="2" t="s">
        <v>594</v>
      </c>
      <c r="D2634" s="2" t="str">
        <f t="shared" si="40"/>
        <v>Error?</v>
      </c>
    </row>
    <row r="2635" spans="1:4" x14ac:dyDescent="0.2">
      <c r="A2635" s="5">
        <v>2574</v>
      </c>
      <c r="B2635" s="138">
        <f>'Acct Summary 7-8'!E17</f>
        <v>2363265</v>
      </c>
      <c r="C2635" s="2" t="s">
        <v>594</v>
      </c>
      <c r="D2635" s="2" t="str">
        <f t="shared" si="40"/>
        <v>Error?</v>
      </c>
    </row>
    <row r="2636" spans="1:4" x14ac:dyDescent="0.2">
      <c r="A2636" s="5">
        <v>2575</v>
      </c>
      <c r="B2636" s="138">
        <f>'Acct Summary 7-8'!E20</f>
        <v>28330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1357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1357</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1357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757208</v>
      </c>
      <c r="C2789" s="2" t="s">
        <v>594</v>
      </c>
      <c r="D2789" s="2" t="str">
        <f t="shared" si="42"/>
        <v>Error?</v>
      </c>
    </row>
    <row r="2790" spans="1:4" x14ac:dyDescent="0.2">
      <c r="A2790" s="5">
        <v>2729</v>
      </c>
      <c r="B2790" s="138">
        <f>'Expenditures 15-22'!E102</f>
        <v>757208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3771072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3771072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3771072</v>
      </c>
      <c r="D2912" s="2" t="str">
        <f t="shared" si="44"/>
        <v>Error?</v>
      </c>
    </row>
    <row r="2913" spans="1:4" x14ac:dyDescent="0.2">
      <c r="A2913" s="5">
        <v>2852</v>
      </c>
      <c r="B2913" s="138">
        <f>'Assets-Liab 5-6'!I41</f>
        <v>3771072</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757208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757208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83481</v>
      </c>
      <c r="D3055" s="2" t="str">
        <f t="shared" si="46"/>
        <v>Error?</v>
      </c>
    </row>
    <row r="3056" spans="1:4" x14ac:dyDescent="0.2">
      <c r="A3056" s="5">
        <v>2995</v>
      </c>
      <c r="B3056" s="138">
        <f>'Expenditures 15-22'!D10</f>
        <v>28765</v>
      </c>
      <c r="D3056" s="2" t="str">
        <f t="shared" si="46"/>
        <v>Error?</v>
      </c>
    </row>
    <row r="3057" spans="1:4" x14ac:dyDescent="0.2">
      <c r="A3057" s="5">
        <v>2996</v>
      </c>
      <c r="B3057" s="138">
        <f>'Expenditures 15-22'!E10</f>
        <v>48888</v>
      </c>
      <c r="D3057" s="2" t="str">
        <f t="shared" si="46"/>
        <v>Error?</v>
      </c>
    </row>
    <row r="3058" spans="1:4" x14ac:dyDescent="0.2">
      <c r="A3058" s="5">
        <v>2997</v>
      </c>
      <c r="B3058" s="138">
        <f>'Expenditures 15-22'!F10</f>
        <v>113710</v>
      </c>
      <c r="D3058" s="2" t="str">
        <f t="shared" si="46"/>
        <v>Error?</v>
      </c>
    </row>
    <row r="3059" spans="1:4" x14ac:dyDescent="0.2">
      <c r="A3059" s="5">
        <v>2998</v>
      </c>
      <c r="B3059" s="138">
        <f>'Expenditures 15-22'!G10</f>
        <v>15452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290296</v>
      </c>
      <c r="C3062" s="2" t="s">
        <v>594</v>
      </c>
      <c r="D3062" s="2" t="str">
        <f t="shared" si="46"/>
        <v>Error?</v>
      </c>
    </row>
    <row r="3063" spans="1:4" x14ac:dyDescent="0.2">
      <c r="A3063" s="10">
        <v>3002</v>
      </c>
      <c r="D3063" s="2" t="str">
        <f t="shared" si="46"/>
        <v>OK</v>
      </c>
    </row>
    <row r="3064" spans="1:4" x14ac:dyDescent="0.2">
      <c r="A3064" s="5">
        <v>3003</v>
      </c>
      <c r="B3064" s="138">
        <f>'Expenditures 15-22'!D219</f>
        <v>8326</v>
      </c>
      <c r="D3064" s="2" t="str">
        <f t="shared" si="46"/>
        <v>Error?</v>
      </c>
    </row>
    <row r="3065" spans="1:4" x14ac:dyDescent="0.2">
      <c r="A3065" s="5">
        <v>3004</v>
      </c>
      <c r="B3065" s="138">
        <f>'Expenditures 15-22'!K219</f>
        <v>8326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232957</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232957</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51801</v>
      </c>
      <c r="C3225" s="2" t="s">
        <v>594</v>
      </c>
      <c r="D3225" s="2" t="str">
        <f t="shared" si="49"/>
        <v>Error?</v>
      </c>
    </row>
    <row r="3226" spans="1:4" x14ac:dyDescent="0.2">
      <c r="A3226" s="5">
        <v>3165</v>
      </c>
      <c r="B3226" s="138">
        <f>'Acct Summary 7-8'!I8</f>
        <v>51801</v>
      </c>
      <c r="C3226" s="2" t="s">
        <v>594</v>
      </c>
      <c r="D3226" s="2" t="str">
        <f t="shared" si="49"/>
        <v>Error?</v>
      </c>
    </row>
    <row r="3227" spans="1:4" x14ac:dyDescent="0.2">
      <c r="A3227" s="5">
        <v>3166</v>
      </c>
      <c r="B3227" s="138">
        <f>'Acct Summary 7-8'!I20</f>
        <v>51801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192939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232957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232957</v>
      </c>
      <c r="C3238" s="2" t="s">
        <v>594</v>
      </c>
      <c r="D3238" s="2" t="str">
        <f t="shared" si="49"/>
        <v>Error?</v>
      </c>
    </row>
    <row r="3239" spans="1:4" x14ac:dyDescent="0.2">
      <c r="A3239" s="5">
        <v>3178</v>
      </c>
      <c r="B3239" s="138">
        <f>'Acct Summary 7-8'!D78</f>
        <v>1001421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46409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-37064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28330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232957</v>
      </c>
      <c r="C3298" s="2" t="s">
        <v>594</v>
      </c>
      <c r="D3298" s="2" t="str">
        <f t="shared" si="50"/>
        <v>Error?</v>
      </c>
    </row>
    <row r="3299" spans="1:4" x14ac:dyDescent="0.2">
      <c r="A3299" s="5">
        <v>3238</v>
      </c>
      <c r="B3299" s="138">
        <f>'Acct Summary 7-8'!H77</f>
        <v>-232957</v>
      </c>
      <c r="C3299" s="2" t="s">
        <v>594</v>
      </c>
      <c r="D3299" s="2" t="str">
        <f t="shared" si="50"/>
        <v>Error?</v>
      </c>
    </row>
    <row r="3300" spans="1:4" x14ac:dyDescent="0.2">
      <c r="A3300" s="5">
        <v>3239</v>
      </c>
      <c r="B3300" s="138">
        <f>'Acct Summary 7-8'!H78</f>
        <v>-231600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51801</v>
      </c>
      <c r="C3320" s="2" t="s">
        <v>594</v>
      </c>
      <c r="D3320" s="2" t="str">
        <f t="shared" si="50"/>
        <v>Error?</v>
      </c>
    </row>
    <row r="3321" spans="1:4" x14ac:dyDescent="0.2">
      <c r="A3321" s="5">
        <v>3260</v>
      </c>
      <c r="B3321" s="138">
        <f>'Acct Summary 7-8'!I79</f>
        <v>3719271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3771072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5469434</v>
      </c>
      <c r="D3366" s="2" t="str">
        <f t="shared" si="51"/>
        <v>Error?</v>
      </c>
    </row>
    <row r="3367" spans="1:4" x14ac:dyDescent="0.2">
      <c r="A3367" s="5">
        <v>3306</v>
      </c>
      <c r="B3367" s="138">
        <f>'Expenditures 15-22'!C19</f>
        <v>286955</v>
      </c>
      <c r="D3367" s="2" t="str">
        <f t="shared" si="51"/>
        <v>Error?</v>
      </c>
    </row>
    <row r="3368" spans="1:4" x14ac:dyDescent="0.2">
      <c r="A3368" s="5">
        <v>3307</v>
      </c>
      <c r="B3368" s="138">
        <f>'Expenditures 15-22'!D8</f>
        <v>1235250</v>
      </c>
      <c r="D3368" s="2" t="str">
        <f t="shared" si="51"/>
        <v>Error?</v>
      </c>
    </row>
    <row r="3369" spans="1:4" x14ac:dyDescent="0.2">
      <c r="A3369" s="5">
        <v>3308</v>
      </c>
      <c r="B3369" s="138">
        <f>'Expenditures 15-22'!D19</f>
        <v>47238</v>
      </c>
      <c r="D3369" s="2" t="str">
        <f t="shared" si="51"/>
        <v>Error?</v>
      </c>
    </row>
    <row r="3370" spans="1:4" x14ac:dyDescent="0.2">
      <c r="A3370" s="5">
        <v>3309</v>
      </c>
      <c r="B3370" s="138">
        <f>'Expenditures 15-22'!E8</f>
        <v>100154</v>
      </c>
      <c r="D3370" s="2" t="str">
        <f t="shared" si="51"/>
        <v>Error?</v>
      </c>
    </row>
    <row r="3371" spans="1:4" x14ac:dyDescent="0.2">
      <c r="A3371" s="5">
        <v>3310</v>
      </c>
      <c r="B3371" s="138">
        <f>'Expenditures 15-22'!E19</f>
        <v>13685</v>
      </c>
      <c r="D3371" s="2" t="str">
        <f t="shared" si="51"/>
        <v>Error?</v>
      </c>
    </row>
    <row r="3372" spans="1:4" x14ac:dyDescent="0.2">
      <c r="A3372" s="5">
        <v>3311</v>
      </c>
      <c r="B3372" s="138">
        <f>'Expenditures 15-22'!F8</f>
        <v>39223</v>
      </c>
      <c r="D3372" s="2" t="str">
        <f t="shared" si="51"/>
        <v>Error?</v>
      </c>
    </row>
    <row r="3373" spans="1:4" x14ac:dyDescent="0.2">
      <c r="A3373" s="5">
        <v>3312</v>
      </c>
      <c r="B3373" s="138">
        <f>'Expenditures 15-22'!F19</f>
        <v>14385</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4830</v>
      </c>
      <c r="D3376" s="2" t="str">
        <f t="shared" si="51"/>
        <v>Error?</v>
      </c>
    </row>
    <row r="3377" spans="1:4" x14ac:dyDescent="0.2">
      <c r="A3377" s="5">
        <v>3316</v>
      </c>
      <c r="B3377" s="138">
        <f>'Expenditures 15-22'!H19</f>
        <v>47292</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6848891</v>
      </c>
      <c r="C3380" s="2" t="s">
        <v>594</v>
      </c>
      <c r="D3380" s="2" t="str">
        <f t="shared" si="51"/>
        <v>Error?</v>
      </c>
    </row>
    <row r="3381" spans="1:4" x14ac:dyDescent="0.2">
      <c r="A3381" s="5">
        <v>3320</v>
      </c>
      <c r="B3381" s="138">
        <f>'Expenditures 15-22'!K19</f>
        <v>409555</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446083</v>
      </c>
      <c r="D3387" s="2" t="str">
        <f t="shared" si="51"/>
        <v>Error?</v>
      </c>
    </row>
    <row r="3388" spans="1:4" x14ac:dyDescent="0.2">
      <c r="A3388" s="5">
        <v>3327</v>
      </c>
      <c r="B3388" s="138">
        <f>'Expenditures 15-22'!D217</f>
        <v>389812</v>
      </c>
      <c r="D3388" s="2" t="str">
        <f t="shared" si="51"/>
        <v>Error?</v>
      </c>
    </row>
    <row r="3389" spans="1:4" x14ac:dyDescent="0.2">
      <c r="A3389" s="5">
        <v>3328</v>
      </c>
      <c r="B3389" s="138">
        <f>'Expenditures 15-22'!D228</f>
        <v>5037</v>
      </c>
      <c r="D3389" s="2" t="str">
        <f t="shared" si="51"/>
        <v>Error?</v>
      </c>
    </row>
    <row r="3390" spans="1:4" x14ac:dyDescent="0.2">
      <c r="A3390" s="5">
        <v>3329</v>
      </c>
      <c r="B3390" s="138">
        <f>'Expenditures 15-22'!K215</f>
        <v>446083</v>
      </c>
      <c r="C3390" s="2" t="s">
        <v>594</v>
      </c>
      <c r="D3390" s="2" t="str">
        <f t="shared" si="51"/>
        <v>Error?</v>
      </c>
    </row>
    <row r="3391" spans="1:4" x14ac:dyDescent="0.2">
      <c r="A3391" s="5">
        <v>3330</v>
      </c>
      <c r="B3391" s="138">
        <f>'Expenditures 15-22'!K217</f>
        <v>389812</v>
      </c>
      <c r="C3391" s="2" t="s">
        <v>594</v>
      </c>
      <c r="D3391" s="2" t="str">
        <f t="shared" ref="D3391:D3454" si="52">IF(ISBLANK(B3391),"OK",IF(A3391-B3391=0,"OK","Error?"))</f>
        <v>Error?</v>
      </c>
    </row>
    <row r="3392" spans="1:4" x14ac:dyDescent="0.2">
      <c r="A3392" s="5">
        <v>3331</v>
      </c>
      <c r="B3392" s="138">
        <f>'Expenditures 15-22'!K228</f>
        <v>5037</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20000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1337282</v>
      </c>
      <c r="C3446" s="2" t="s">
        <v>594</v>
      </c>
      <c r="D3446" s="2" t="str">
        <f t="shared" si="52"/>
        <v>Error?</v>
      </c>
    </row>
    <row r="3447" spans="1:4" x14ac:dyDescent="0.2">
      <c r="A3447" s="5">
        <v>3386</v>
      </c>
      <c r="B3447" s="138">
        <f>'Tax Sched 23'!D16</f>
        <v>616667</v>
      </c>
      <c r="C3447" s="2" t="s">
        <v>594</v>
      </c>
      <c r="D3447" s="2" t="str">
        <f t="shared" si="52"/>
        <v>Error?</v>
      </c>
    </row>
    <row r="3448" spans="1:4" x14ac:dyDescent="0.2">
      <c r="A3448" s="5">
        <v>3387</v>
      </c>
      <c r="B3448" s="138">
        <f>'Tax Sched 23'!C16</f>
        <v>720615</v>
      </c>
      <c r="D3448" s="2" t="str">
        <f t="shared" si="52"/>
        <v>Error?</v>
      </c>
    </row>
    <row r="3449" spans="1:4" x14ac:dyDescent="0.2">
      <c r="A3449" s="5">
        <v>3388</v>
      </c>
      <c r="B3449" s="138">
        <f>'Tax Sched 23'!F16</f>
        <v>671445</v>
      </c>
      <c r="C3449" s="2" t="s">
        <v>594</v>
      </c>
      <c r="D3449" s="2" t="str">
        <f t="shared" si="52"/>
        <v>Error?</v>
      </c>
    </row>
    <row r="3450" spans="1:4" x14ac:dyDescent="0.2">
      <c r="A3450" s="5">
        <v>3389</v>
      </c>
      <c r="B3450" s="138">
        <f>'Tax Sched 23'!E16</f>
        <v>1392060</v>
      </c>
      <c r="D3450" s="2" t="str">
        <f t="shared" si="52"/>
        <v>Error?</v>
      </c>
    </row>
    <row r="3451" spans="1:4" x14ac:dyDescent="0.2">
      <c r="A3451" s="5">
        <v>3390</v>
      </c>
      <c r="B3451" s="138">
        <f>'Cap Outlay Deprec 26'!C15</f>
        <v>571276</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571276</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12609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24713606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85602094</v>
      </c>
      <c r="C4122" s="2" t="s">
        <v>594</v>
      </c>
      <c r="D4122" s="2" t="str">
        <f t="shared" si="63"/>
        <v>Error?</v>
      </c>
    </row>
    <row r="4123" spans="1:4" x14ac:dyDescent="0.2">
      <c r="A4123" s="5">
        <v>4062</v>
      </c>
      <c r="B4123" s="138">
        <f>'Acct Summary 7-8'!D10</f>
        <v>8576761</v>
      </c>
      <c r="C4123" s="2" t="s">
        <v>594</v>
      </c>
      <c r="D4123" s="2" t="str">
        <f t="shared" si="63"/>
        <v>Error?</v>
      </c>
    </row>
    <row r="4124" spans="1:4" x14ac:dyDescent="0.2">
      <c r="A4124" s="5">
        <v>4063</v>
      </c>
      <c r="B4124" s="138">
        <f>'Acct Summary 7-8'!E10</f>
        <v>2391595</v>
      </c>
      <c r="C4124" s="2" t="s">
        <v>594</v>
      </c>
      <c r="D4124" s="2" t="str">
        <f t="shared" si="63"/>
        <v>Error?</v>
      </c>
    </row>
    <row r="4125" spans="1:4" x14ac:dyDescent="0.2">
      <c r="A4125" s="5">
        <v>4064</v>
      </c>
      <c r="B4125" s="138">
        <f>'Acct Summary 7-8'!F10</f>
        <v>2752133</v>
      </c>
      <c r="C4125" s="2" t="s">
        <v>594</v>
      </c>
      <c r="D4125" s="2" t="str">
        <f t="shared" si="63"/>
        <v>Error?</v>
      </c>
    </row>
    <row r="4126" spans="1:4" x14ac:dyDescent="0.2">
      <c r="A4126" s="5">
        <v>4065</v>
      </c>
      <c r="B4126" s="138">
        <f>'Acct Summary 7-8'!G10</f>
        <v>2425286</v>
      </c>
      <c r="C4126" s="2" t="s">
        <v>594</v>
      </c>
      <c r="D4126" s="2" t="str">
        <f t="shared" si="63"/>
        <v>Error?</v>
      </c>
    </row>
    <row r="4127" spans="1:4" x14ac:dyDescent="0.2">
      <c r="A4127" s="5">
        <v>4066</v>
      </c>
      <c r="B4127" s="138">
        <f>'Acct Summary 7-8'!H10</f>
        <v>1357</v>
      </c>
      <c r="C4127" s="2" t="s">
        <v>594</v>
      </c>
      <c r="D4127" s="2" t="str">
        <f t="shared" si="63"/>
        <v>Error?</v>
      </c>
    </row>
    <row r="4128" spans="1:4" x14ac:dyDescent="0.2">
      <c r="A4128" s="5">
        <v>4067</v>
      </c>
      <c r="B4128" s="138">
        <f>'Acct Summary 7-8'!I10</f>
        <v>51801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24713606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85409155</v>
      </c>
      <c r="C4136" s="2" t="s">
        <v>594</v>
      </c>
      <c r="D4136" s="2" t="str">
        <f t="shared" si="63"/>
        <v>Error?</v>
      </c>
    </row>
    <row r="4137" spans="1:4" x14ac:dyDescent="0.2">
      <c r="A4137" s="5">
        <v>4076</v>
      </c>
      <c r="B4137" s="138">
        <f>'Acct Summary 7-8'!D19</f>
        <v>7808297</v>
      </c>
      <c r="C4137" s="2" t="s">
        <v>594</v>
      </c>
      <c r="D4137" s="2" t="str">
        <f t="shared" si="63"/>
        <v>Error?</v>
      </c>
    </row>
    <row r="4138" spans="1:4" x14ac:dyDescent="0.2">
      <c r="A4138" s="5">
        <v>4077</v>
      </c>
      <c r="B4138" s="138">
        <f>'Acct Summary 7-8'!E19</f>
        <v>2363265</v>
      </c>
      <c r="C4138" s="2" t="s">
        <v>594</v>
      </c>
      <c r="D4138" s="2" t="str">
        <f t="shared" si="63"/>
        <v>Error?</v>
      </c>
    </row>
    <row r="4139" spans="1:4" x14ac:dyDescent="0.2">
      <c r="A4139" s="5">
        <v>4078</v>
      </c>
      <c r="B4139" s="138">
        <f>'Acct Summary 7-8'!F19</f>
        <v>2705724</v>
      </c>
      <c r="C4139" s="2" t="s">
        <v>594</v>
      </c>
      <c r="D4139" s="2" t="str">
        <f t="shared" si="63"/>
        <v>Error?</v>
      </c>
    </row>
    <row r="4140" spans="1:4" x14ac:dyDescent="0.2">
      <c r="A4140" s="5">
        <v>4079</v>
      </c>
      <c r="B4140" s="138">
        <f>'Acct Summary 7-8'!G19</f>
        <v>2462350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13710000</v>
      </c>
      <c r="C4171" s="2" t="s">
        <v>594</v>
      </c>
      <c r="D4171" s="2" t="str">
        <f t="shared" si="64"/>
        <v>Error?</v>
      </c>
    </row>
    <row r="4172" spans="1:4" x14ac:dyDescent="0.2">
      <c r="A4172" s="5">
        <v>4111</v>
      </c>
      <c r="B4172" s="138">
        <f>'Short-Term Long-Term Debt 24'!J49</f>
        <v>12533862</v>
      </c>
      <c r="C4172" s="2" t="s">
        <v>594</v>
      </c>
      <c r="D4172" s="2" t="str">
        <f t="shared" si="64"/>
        <v>Error?</v>
      </c>
    </row>
    <row r="4173" spans="1:4" x14ac:dyDescent="0.2">
      <c r="A4173" s="5">
        <v>4112</v>
      </c>
      <c r="B4173" s="138">
        <f>'Short-Term Long-Term Debt 24'!H49</f>
        <v>1855000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1545.9</v>
      </c>
      <c r="C4265" s="2" t="s">
        <v>594</v>
      </c>
      <c r="D4265" s="2" t="str">
        <f t="shared" si="65"/>
        <v>Error?</v>
      </c>
      <c r="E4265" s="128"/>
    </row>
    <row r="4266" spans="1:5" x14ac:dyDescent="0.2">
      <c r="A4266" s="12">
        <v>4205</v>
      </c>
      <c r="B4266" s="138">
        <f>('FP Info 3'!F10)*100000</f>
        <v>252</v>
      </c>
      <c r="C4266" s="2" t="s">
        <v>594</v>
      </c>
      <c r="D4266" s="2" t="str">
        <f t="shared" si="65"/>
        <v>Error?</v>
      </c>
      <c r="E4266" s="128"/>
    </row>
    <row r="4267" spans="1:5" x14ac:dyDescent="0.2">
      <c r="A4267" s="12">
        <v>4206</v>
      </c>
      <c r="B4267" s="138">
        <f>('FP Info 3'!H10)*100000</f>
        <v>53.300000000000004</v>
      </c>
      <c r="C4267" s="2" t="s">
        <v>594</v>
      </c>
      <c r="D4267" s="2" t="str">
        <f t="shared" si="65"/>
        <v>Error?</v>
      </c>
      <c r="E4267" s="128"/>
    </row>
    <row r="4268" spans="1:5" x14ac:dyDescent="0.2">
      <c r="A4268" s="12">
        <v>4207</v>
      </c>
      <c r="B4268" s="138">
        <f>('FP Info 3'!J10)*100000</f>
        <v>1850.9999999999998</v>
      </c>
      <c r="C4268" s="2" t="s">
        <v>594</v>
      </c>
      <c r="D4268" s="2" t="str">
        <f t="shared" si="65"/>
        <v>Error?</v>
      </c>
    </row>
    <row r="4269" spans="1:5" x14ac:dyDescent="0.2">
      <c r="A4269" s="12">
        <v>4208</v>
      </c>
      <c r="B4269" s="138">
        <f>'FP Info 3'!J16</f>
        <v>38540467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38284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79565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85294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138831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3403571721</v>
      </c>
      <c r="D4995" s="2" t="str">
        <f t="shared" si="77"/>
        <v>Error?</v>
      </c>
    </row>
    <row r="4996" spans="1:4" x14ac:dyDescent="0.2">
      <c r="A4996" s="12">
        <v>4935</v>
      </c>
      <c r="B4996" s="138">
        <f>'FP Info 3'!H31</f>
        <v>234846448.74900001</v>
      </c>
      <c r="D4996" s="2" t="str">
        <f t="shared" si="77"/>
        <v>Error?</v>
      </c>
    </row>
    <row r="4997" spans="1:4" x14ac:dyDescent="0.2">
      <c r="A4997" s="12">
        <v>4936</v>
      </c>
      <c r="B4997" s="138">
        <f>'FP Info 3'!H37</f>
        <v>13710000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49917362</v>
      </c>
      <c r="D5061" s="2" t="str">
        <f t="shared" si="78"/>
        <v>Error?</v>
      </c>
    </row>
    <row r="5062" spans="1:4" x14ac:dyDescent="0.2">
      <c r="A5062" s="10">
        <v>5001</v>
      </c>
      <c r="D5062" s="2" t="str">
        <f t="shared" si="78"/>
        <v>OK</v>
      </c>
    </row>
    <row r="5063" spans="1:4" x14ac:dyDescent="0.2">
      <c r="A5063" s="5">
        <v>5002</v>
      </c>
      <c r="B5063" s="138">
        <f>'Revenues 9-14'!C7</f>
        <v>441544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50358906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2591124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2591124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223246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77818</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301064</v>
      </c>
      <c r="C5087" s="2" t="s">
        <v>594</v>
      </c>
      <c r="D5087" s="2" t="str">
        <f t="shared" si="78"/>
        <v>Error?</v>
      </c>
    </row>
    <row r="5088" spans="1:4" x14ac:dyDescent="0.2">
      <c r="A5088" s="5">
        <v>5027</v>
      </c>
      <c r="B5088" s="138">
        <f>'Revenues 9-14'!C65</f>
        <v>501260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501260</v>
      </c>
      <c r="C5090" s="2" t="s">
        <v>594</v>
      </c>
      <c r="D5090" s="2" t="str">
        <f t="shared" si="78"/>
        <v>Error?</v>
      </c>
    </row>
    <row r="5091" spans="1:4" x14ac:dyDescent="0.2">
      <c r="A5091" s="5">
        <v>5030</v>
      </c>
      <c r="B5091" s="138">
        <f>'Revenues 9-14'!C70</f>
        <v>35552</v>
      </c>
      <c r="D5091" s="2" t="str">
        <f t="shared" si="78"/>
        <v>Error?</v>
      </c>
    </row>
    <row r="5092" spans="1:4" x14ac:dyDescent="0.2">
      <c r="A5092" s="5">
        <v>5031</v>
      </c>
      <c r="B5092" s="138">
        <f>'Revenues 9-14'!C71</f>
        <v>387510</v>
      </c>
      <c r="D5092" s="2" t="str">
        <f t="shared" si="78"/>
        <v>Error?</v>
      </c>
    </row>
    <row r="5093" spans="1:4" x14ac:dyDescent="0.2">
      <c r="A5093" s="5">
        <v>5032</v>
      </c>
      <c r="B5093" s="138">
        <f>'Revenues 9-14'!C72</f>
        <v>84</v>
      </c>
      <c r="D5093" s="2" t="str">
        <f t="shared" si="78"/>
        <v>Error?</v>
      </c>
    </row>
    <row r="5094" spans="1:4" x14ac:dyDescent="0.2">
      <c r="A5094" s="5">
        <v>5033</v>
      </c>
      <c r="B5094" s="138">
        <f>'Revenues 9-14'!C73</f>
        <v>1592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830721</v>
      </c>
      <c r="C5096" s="2" t="s">
        <v>594</v>
      </c>
      <c r="D5096" s="2" t="str">
        <f t="shared" si="78"/>
        <v>Error?</v>
      </c>
    </row>
    <row r="5097" spans="1:4" x14ac:dyDescent="0.2">
      <c r="A5097" s="5">
        <v>5036</v>
      </c>
      <c r="B5097" s="138">
        <f>'Revenues 9-14'!C77</f>
        <v>25249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174104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331136</v>
      </c>
      <c r="D5101" s="2" t="str">
        <f t="shared" si="78"/>
        <v>Error?</v>
      </c>
    </row>
    <row r="5102" spans="1:4" x14ac:dyDescent="0.2">
      <c r="A5102" s="5">
        <v>5041</v>
      </c>
      <c r="B5102" s="138">
        <f>'Revenues 9-14'!C82</f>
        <v>530489</v>
      </c>
      <c r="C5102" s="2" t="s">
        <v>594</v>
      </c>
      <c r="D5102" s="2" t="str">
        <f t="shared" si="78"/>
        <v>Error?</v>
      </c>
    </row>
    <row r="5103" spans="1:4" x14ac:dyDescent="0.2">
      <c r="A5103" s="5">
        <v>5042</v>
      </c>
      <c r="B5103" s="138">
        <f>'Revenues 9-14'!C84</f>
        <v>248564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434307</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-75441</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607430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53970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162939</v>
      </c>
      <c r="D5119" s="2" t="str">
        <f t="shared" ref="D5119:D5182" si="79">IF(ISBLANK(B5119),"OK",IF(A5119-B5119=0,"OK","Error?"))</f>
        <v>Error?</v>
      </c>
    </row>
    <row r="5120" spans="1:4" x14ac:dyDescent="0.2">
      <c r="A5120" s="5">
        <v>5059</v>
      </c>
      <c r="B5120" s="138">
        <f>'Revenues 9-14'!C108</f>
        <v>302730</v>
      </c>
      <c r="C5120" s="2" t="s">
        <v>594</v>
      </c>
      <c r="D5120" s="2" t="str">
        <f t="shared" si="79"/>
        <v>Error?</v>
      </c>
    </row>
    <row r="5121" spans="1:4" x14ac:dyDescent="0.2">
      <c r="A5121" s="5">
        <v>5060</v>
      </c>
      <c r="B5121" s="138">
        <f>'Revenues 9-14'!C109</f>
        <v>56023724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2781600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2781600</v>
      </c>
      <c r="C5132" s="2" t="s">
        <v>594</v>
      </c>
      <c r="D5132" s="2" t="str">
        <f t="shared" si="79"/>
        <v>Error?</v>
      </c>
    </row>
    <row r="5133" spans="1:4" x14ac:dyDescent="0.2">
      <c r="A5133" s="5">
        <v>5072</v>
      </c>
      <c r="B5133" s="138">
        <f>'Revenues 9-14'!C124</f>
        <v>522897</v>
      </c>
      <c r="D5133" s="2" t="str">
        <f t="shared" si="79"/>
        <v>Error?</v>
      </c>
    </row>
    <row r="5134" spans="1:4" x14ac:dyDescent="0.2">
      <c r="A5134" s="5">
        <v>5073</v>
      </c>
      <c r="B5134" s="138">
        <f>'Revenues 9-14'!C125</f>
        <v>126529</v>
      </c>
      <c r="D5134" s="2" t="str">
        <f t="shared" si="79"/>
        <v>Error?</v>
      </c>
    </row>
    <row r="5135" spans="1:4" x14ac:dyDescent="0.2">
      <c r="A5135" s="5">
        <v>5074</v>
      </c>
      <c r="B5135" s="138">
        <f>'Revenues 9-14'!C126</f>
        <v>134406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6092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789924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74117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74117</v>
      </c>
      <c r="C5161" s="2" t="s">
        <v>594</v>
      </c>
      <c r="D5161" s="2" t="str">
        <f t="shared" si="79"/>
        <v>Error?</v>
      </c>
    </row>
    <row r="5162" spans="1:4" x14ac:dyDescent="0.2">
      <c r="A5162" s="10">
        <v>5101</v>
      </c>
      <c r="D5162" s="2" t="str">
        <f t="shared" si="79"/>
        <v>OK</v>
      </c>
    </row>
    <row r="5163" spans="1:4" x14ac:dyDescent="0.2">
      <c r="A5163" s="5">
        <v>5102</v>
      </c>
      <c r="B5163" s="138">
        <f>'Revenues 9-14'!C142</f>
        <v>10385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10385</v>
      </c>
      <c r="C5165" s="2" t="s">
        <v>594</v>
      </c>
      <c r="D5165" s="2" t="str">
        <f t="shared" si="79"/>
        <v>Error?</v>
      </c>
    </row>
    <row r="5166" spans="1:4" x14ac:dyDescent="0.2">
      <c r="A5166" s="10">
        <v>5105</v>
      </c>
      <c r="D5166" s="2" t="str">
        <f t="shared" si="79"/>
        <v>OK</v>
      </c>
    </row>
    <row r="5167" spans="1:4" x14ac:dyDescent="0.2">
      <c r="A5167" s="5">
        <v>5106</v>
      </c>
      <c r="B5167" s="138">
        <f>'Revenues 9-14'!C145</f>
        <v>2351</v>
      </c>
      <c r="D5167" s="2" t="str">
        <f t="shared" si="79"/>
        <v>Error?</v>
      </c>
    </row>
    <row r="5168" spans="1:4" x14ac:dyDescent="0.2">
      <c r="A5168" s="5">
        <v>5107</v>
      </c>
      <c r="B5168" s="138">
        <f>'Revenues 9-14'!C147</f>
        <v>113152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1128760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3910360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12609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12609</v>
      </c>
      <c r="C5246" s="2" t="s">
        <v>594</v>
      </c>
      <c r="D5246" s="2" t="str">
        <f t="shared" si="80"/>
        <v>Error?</v>
      </c>
    </row>
    <row r="5247" spans="1:4" x14ac:dyDescent="0.2">
      <c r="A5247" s="5">
        <v>5186</v>
      </c>
      <c r="B5247" s="138">
        <f>'Revenues 9-14'!C203</f>
        <v>266057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266057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200979</v>
      </c>
      <c r="D5278" s="2" t="str">
        <f t="shared" si="81"/>
        <v>Error?</v>
      </c>
    </row>
    <row r="5279" spans="1:4" x14ac:dyDescent="0.2">
      <c r="A5279" s="5">
        <v>5218</v>
      </c>
      <c r="B5279" s="138">
        <f>'Revenues 9-14'!C221</f>
        <v>232532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433511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39084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39084</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954404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954404</v>
      </c>
      <c r="C5326" s="2" t="s">
        <v>594</v>
      </c>
      <c r="D5326" s="2" t="str">
        <f t="shared" si="82"/>
        <v>Error?</v>
      </c>
    </row>
    <row r="5327" spans="1:4" x14ac:dyDescent="0.2">
      <c r="A5327" s="5">
        <v>5266</v>
      </c>
      <c r="B5327" s="138">
        <f>'Revenues 9-14'!C275</f>
        <v>60888488</v>
      </c>
      <c r="C5327" s="2" t="s">
        <v>594</v>
      </c>
      <c r="D5327" s="2" t="str">
        <f t="shared" si="82"/>
        <v>Error?</v>
      </c>
    </row>
    <row r="5328" spans="1:4" x14ac:dyDescent="0.2">
      <c r="A5328" s="5">
        <v>5267</v>
      </c>
      <c r="B5328" s="138">
        <f>'Revenues 9-14'!D5</f>
        <v>8273435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8273435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112254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112254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172569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18503</v>
      </c>
      <c r="D5354" s="2" t="str">
        <f t="shared" si="82"/>
        <v>Error?</v>
      </c>
    </row>
    <row r="5355" spans="1:4" x14ac:dyDescent="0.2">
      <c r="A5355" s="5">
        <v>5294</v>
      </c>
      <c r="B5355" s="138">
        <f>'Revenues 9-14'!D108</f>
        <v>191072</v>
      </c>
      <c r="C5355" s="2" t="s">
        <v>594</v>
      </c>
      <c r="D5355" s="2" t="str">
        <f t="shared" si="82"/>
        <v>Error?</v>
      </c>
    </row>
    <row r="5356" spans="1:4" x14ac:dyDescent="0.2">
      <c r="A5356" s="5">
        <v>5295</v>
      </c>
      <c r="B5356" s="138">
        <f>'Revenues 9-14'!D109</f>
        <v>8576761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8576761</v>
      </c>
      <c r="C5508" s="2" t="s">
        <v>594</v>
      </c>
      <c r="D5508" s="2" t="str">
        <f t="shared" si="85"/>
        <v>Error?</v>
      </c>
    </row>
    <row r="5509" spans="1:4" x14ac:dyDescent="0.2">
      <c r="A5509" s="5">
        <v>5448</v>
      </c>
      <c r="B5509" s="138">
        <f>'Revenues 9-14'!E5</f>
        <v>2372586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2372586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19009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19009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2391595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2391595</v>
      </c>
      <c r="C5552" s="2" t="s">
        <v>594</v>
      </c>
      <c r="D5552" s="2" t="str">
        <f t="shared" si="85"/>
        <v>Error?</v>
      </c>
    </row>
    <row r="5553" spans="1:4" x14ac:dyDescent="0.2">
      <c r="A5553" s="5">
        <v>5492</v>
      </c>
      <c r="B5553" s="138">
        <f>'Revenues 9-14'!F5</f>
        <v>1753945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1753945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12772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12772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1766717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58613</v>
      </c>
      <c r="D5615" s="2" t="str">
        <f t="shared" si="86"/>
        <v>Error?</v>
      </c>
    </row>
    <row r="5616" spans="1:4" x14ac:dyDescent="0.2">
      <c r="A5616" s="10">
        <v>5555</v>
      </c>
      <c r="D5616" s="2" t="str">
        <f t="shared" si="86"/>
        <v>OK</v>
      </c>
    </row>
    <row r="5617" spans="1:4" x14ac:dyDescent="0.2">
      <c r="A5617" s="5">
        <v>5556</v>
      </c>
      <c r="B5617" s="138">
        <f>'Revenues 9-14'!F152</f>
        <v>926803</v>
      </c>
      <c r="D5617" s="2" t="str">
        <f t="shared" si="86"/>
        <v>Error?</v>
      </c>
    </row>
    <row r="5618" spans="1:4" x14ac:dyDescent="0.2">
      <c r="A5618" s="5">
        <v>5557</v>
      </c>
      <c r="B5618" s="138">
        <f>'Revenues 9-14'!F154</f>
        <v>985416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985416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985416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2752133</v>
      </c>
      <c r="C5720" s="2" t="s">
        <v>594</v>
      </c>
      <c r="D5720" s="2" t="str">
        <f t="shared" si="88"/>
        <v>Error?</v>
      </c>
    </row>
    <row r="5721" spans="1:4" x14ac:dyDescent="0.2">
      <c r="A5721" s="5">
        <v>5660</v>
      </c>
      <c r="B5721" s="138">
        <f>'Revenues 9-14'!G5</f>
        <v>725270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1332178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2057448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351568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351568</v>
      </c>
      <c r="C5730" s="2" t="s">
        <v>594</v>
      </c>
      <c r="D5730" s="2" t="str">
        <f t="shared" si="88"/>
        <v>Error?</v>
      </c>
    </row>
    <row r="5731" spans="1:4" x14ac:dyDescent="0.2">
      <c r="A5731" s="5">
        <v>5670</v>
      </c>
      <c r="B5731" s="138">
        <f>'Revenues 9-14'!G65</f>
        <v>16270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16270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2425286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1357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1357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1357</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51801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51801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51801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2425286</v>
      </c>
      <c r="C6024" s="2" t="s">
        <v>594</v>
      </c>
      <c r="D6024" s="2" t="str">
        <f t="shared" si="93"/>
        <v>Error?</v>
      </c>
    </row>
    <row r="6025" spans="1:5" x14ac:dyDescent="0.2">
      <c r="A6025" s="5">
        <v>5964</v>
      </c>
      <c r="B6025" s="138">
        <f>'Revenues 9-14'!H109</f>
        <v>1357</v>
      </c>
      <c r="C6025" s="2" t="s">
        <v>594</v>
      </c>
      <c r="D6025" s="2" t="str">
        <f t="shared" si="93"/>
        <v>Error?</v>
      </c>
    </row>
    <row r="6026" spans="1:5" x14ac:dyDescent="0.2">
      <c r="A6026" s="5">
        <v>5965</v>
      </c>
      <c r="B6026" s="138">
        <f>'Revenues 9-14'!I109</f>
        <v>51801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405983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3769.97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869512</v>
      </c>
      <c r="D6090" s="2" t="str">
        <f t="shared" si="94"/>
        <v>Error?</v>
      </c>
      <c r="E6090" s="2" t="s">
        <v>199</v>
      </c>
    </row>
    <row r="6091" spans="1:5" x14ac:dyDescent="0.2">
      <c r="A6091">
        <v>6030</v>
      </c>
      <c r="B6091" s="138">
        <f>'Assets-Liab 5-6'!D8</f>
        <v>37614</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254294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9206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791573</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13792</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150795</v>
      </c>
      <c r="D6142" s="2" t="str">
        <f t="shared" si="94"/>
        <v>Error?</v>
      </c>
      <c r="E6142" s="2" t="s">
        <v>199</v>
      </c>
    </row>
    <row r="6143" spans="1:5" x14ac:dyDescent="0.2">
      <c r="A6143">
        <v>6082</v>
      </c>
      <c r="B6143" s="138">
        <f>'Assets-Liab 5-6'!D27</f>
        <v>44815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61602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114051</v>
      </c>
      <c r="D6169" s="2" t="str">
        <f t="shared" si="95"/>
        <v>Error?</v>
      </c>
      <c r="E6169" s="2" t="s">
        <v>199</v>
      </c>
    </row>
    <row r="6170" spans="1:5" x14ac:dyDescent="0.2">
      <c r="A6170">
        <v>6109</v>
      </c>
      <c r="B6170" s="138">
        <f>'Assets-Liab 5-6'!D30</f>
        <v>45089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192939</v>
      </c>
      <c r="D6267" s="2" t="str">
        <f t="shared" si="96"/>
        <v>Error?</v>
      </c>
      <c r="E6267" s="2" t="s">
        <v>199</v>
      </c>
    </row>
    <row r="6268" spans="1:5" x14ac:dyDescent="0.2">
      <c r="A6268">
        <v>6207</v>
      </c>
      <c r="B6268" s="138">
        <f>'Acct Summary 7-8'!D82</f>
        <v>1001421</v>
      </c>
      <c r="D6268" s="2" t="str">
        <f t="shared" si="96"/>
        <v>Error?</v>
      </c>
      <c r="E6268" s="2" t="s">
        <v>199</v>
      </c>
    </row>
    <row r="6269" spans="1:5" x14ac:dyDescent="0.2">
      <c r="A6269">
        <v>6208</v>
      </c>
      <c r="B6269" s="138">
        <f>'Acct Summary 7-8'!E82</f>
        <v>28330</v>
      </c>
      <c r="D6269" s="2" t="str">
        <f t="shared" si="96"/>
        <v>Error?</v>
      </c>
      <c r="E6269" s="2" t="s">
        <v>199</v>
      </c>
    </row>
    <row r="6270" spans="1:5" x14ac:dyDescent="0.2">
      <c r="A6270">
        <v>6209</v>
      </c>
      <c r="B6270" s="138">
        <f>'Acct Summary 7-8'!F82</f>
        <v>46409</v>
      </c>
      <c r="D6270" s="2" t="str">
        <f t="shared" si="96"/>
        <v>Error?</v>
      </c>
      <c r="E6270" s="2" t="s">
        <v>199</v>
      </c>
    </row>
    <row r="6271" spans="1:5" x14ac:dyDescent="0.2">
      <c r="A6271">
        <v>6210</v>
      </c>
      <c r="B6271" s="138">
        <f>'Acct Summary 7-8'!G82</f>
        <v>-37064</v>
      </c>
      <c r="D6271" s="2" t="str">
        <f t="shared" ref="D6271:D6334" si="97">IF(ISBLANK(B6271),"OK",IF(A6271-B6271=0,"OK","Error?"))</f>
        <v>Error?</v>
      </c>
      <c r="E6271" s="2" t="s">
        <v>199</v>
      </c>
    </row>
    <row r="6272" spans="1:5" x14ac:dyDescent="0.2">
      <c r="A6272">
        <v>6211</v>
      </c>
      <c r="B6272" s="138">
        <f>'Acct Summary 7-8'!H82</f>
        <v>-231600</v>
      </c>
      <c r="D6272" s="2" t="str">
        <f t="shared" si="97"/>
        <v>Error?</v>
      </c>
      <c r="E6272" s="2" t="s">
        <v>199</v>
      </c>
    </row>
    <row r="6273" spans="1:5" x14ac:dyDescent="0.2">
      <c r="A6273">
        <v>6212</v>
      </c>
      <c r="B6273" s="138">
        <f>'Acct Summary 7-8'!I82</f>
        <v>51801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7.1870967737128954E-3</v>
      </c>
      <c r="D6276" s="2" t="str">
        <f t="shared" si="97"/>
        <v>Error?</v>
      </c>
      <c r="E6276" s="2" t="s">
        <v>199</v>
      </c>
    </row>
    <row r="6277" spans="1:5" x14ac:dyDescent="0.2">
      <c r="A6277">
        <v>6216</v>
      </c>
      <c r="B6277" s="138">
        <f>'Acct Summary 7-8'!D83</f>
        <v>0.13795439169712165</v>
      </c>
      <c r="D6277" s="2" t="str">
        <f t="shared" si="97"/>
        <v>Error?</v>
      </c>
      <c r="E6277" s="2" t="s">
        <v>199</v>
      </c>
    </row>
    <row r="6278" spans="1:5" x14ac:dyDescent="0.2">
      <c r="A6278">
        <v>6217</v>
      </c>
      <c r="B6278" s="138">
        <f>'Acct Summary 7-8'!E83</f>
        <v>2.408730948239067E-2</v>
      </c>
      <c r="D6278" s="2" t="str">
        <f t="shared" si="97"/>
        <v>Error?</v>
      </c>
      <c r="E6278" s="2" t="s">
        <v>199</v>
      </c>
    </row>
    <row r="6279" spans="1:5" x14ac:dyDescent="0.2">
      <c r="A6279">
        <v>6218</v>
      </c>
      <c r="B6279" s="138">
        <f>'Acct Summary 7-8'!F83</f>
        <v>6.9774434733713309E-2</v>
      </c>
      <c r="D6279" s="2" t="str">
        <f t="shared" si="97"/>
        <v>Error?</v>
      </c>
      <c r="E6279" s="2" t="s">
        <v>199</v>
      </c>
    </row>
    <row r="6280" spans="1:5" x14ac:dyDescent="0.2">
      <c r="A6280">
        <v>6219</v>
      </c>
      <c r="B6280" s="138">
        <f>'Acct Summary 7-8'!G83</f>
        <v>-5.0767665062713081E-2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1.3736412351713252E-2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450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37910</v>
      </c>
      <c r="D6339" s="2" t="str">
        <f t="shared" si="98"/>
        <v>Error?</v>
      </c>
      <c r="E6339" s="2" t="s">
        <v>199</v>
      </c>
    </row>
    <row r="6340" spans="1:5" x14ac:dyDescent="0.2">
      <c r="A6340">
        <v>6279</v>
      </c>
      <c r="B6340" s="138">
        <f>'Revenues 9-14'!C102</f>
        <v>47461</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671679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257055</v>
      </c>
      <c r="D6878" s="2" t="str">
        <f t="shared" si="106"/>
        <v>Error?</v>
      </c>
    </row>
    <row r="6879" spans="1:4" x14ac:dyDescent="0.2">
      <c r="A6879">
        <v>6818</v>
      </c>
      <c r="B6879" s="138">
        <f>'Expenditures 15-22'!K21</f>
        <v>257055</v>
      </c>
      <c r="D6879" s="2" t="str">
        <f t="shared" si="106"/>
        <v>Error?</v>
      </c>
    </row>
    <row r="6880" spans="1:4" x14ac:dyDescent="0.2">
      <c r="A6880">
        <v>6819</v>
      </c>
      <c r="B6880" s="138">
        <f>'Expenditures 15-22'!H22</f>
        <v>2807003</v>
      </c>
      <c r="D6880" s="2" t="str">
        <f t="shared" si="106"/>
        <v>Error?</v>
      </c>
    </row>
    <row r="6881" spans="1:4" x14ac:dyDescent="0.2">
      <c r="A6881">
        <v>6820</v>
      </c>
      <c r="B6881" s="138">
        <f>'Expenditures 15-22'!K22</f>
        <v>2807003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23145</v>
      </c>
      <c r="D6884" s="2" t="str">
        <f t="shared" si="106"/>
        <v>Error?</v>
      </c>
    </row>
    <row r="6885" spans="1:4" x14ac:dyDescent="0.2">
      <c r="A6885">
        <v>6824</v>
      </c>
      <c r="B6885" s="138">
        <f>'Expenditures 15-22'!K24</f>
        <v>23145</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199660</v>
      </c>
      <c r="D6890" s="2" t="str">
        <f t="shared" si="106"/>
        <v>Error?</v>
      </c>
    </row>
    <row r="6891" spans="1:4" x14ac:dyDescent="0.2">
      <c r="A6891">
        <v>6830</v>
      </c>
      <c r="B6891" s="138">
        <f>'Expenditures 15-22'!K27</f>
        <v>199660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16064</v>
      </c>
      <c r="D7079" s="2" t="str">
        <f t="shared" si="109"/>
        <v>Error?</v>
      </c>
    </row>
    <row r="7080" spans="1:4" x14ac:dyDescent="0.2">
      <c r="A7080">
        <v>7019</v>
      </c>
      <c r="B7080" s="138">
        <f>'Expenditures 15-22'!K226</f>
        <v>16064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581777</v>
      </c>
      <c r="D7263" s="2" t="str">
        <f t="shared" si="112"/>
        <v>Error?</v>
      </c>
    </row>
    <row r="7264" spans="1:4" x14ac:dyDescent="0.2">
      <c r="A7264">
        <f t="shared" si="113"/>
        <v>7203</v>
      </c>
      <c r="B7264" s="138">
        <f>'Expenditures 15-22'!D17</f>
        <v>77699</v>
      </c>
      <c r="D7264" s="2" t="str">
        <f t="shared" si="112"/>
        <v>Error?</v>
      </c>
    </row>
    <row r="7265" spans="1:5" x14ac:dyDescent="0.2">
      <c r="A7265">
        <f t="shared" si="113"/>
        <v>7204</v>
      </c>
      <c r="B7265" s="138">
        <f>'Expenditures 15-22'!E17</f>
        <v>6472</v>
      </c>
      <c r="D7265" s="2" t="str">
        <f t="shared" si="112"/>
        <v>Error?</v>
      </c>
    </row>
    <row r="7266" spans="1:5" x14ac:dyDescent="0.2">
      <c r="A7266">
        <f t="shared" si="113"/>
        <v>7205</v>
      </c>
      <c r="B7266" s="138">
        <f>'Expenditures 15-22'!F17</f>
        <v>5621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3405264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37910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113152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151062</v>
      </c>
      <c r="D7719" s="2" t="str">
        <f t="shared" si="126"/>
        <v>Error?</v>
      </c>
      <c r="E7719" s="2" t="s">
        <v>881</v>
      </c>
    </row>
    <row r="7720" spans="1:6" x14ac:dyDescent="0.2">
      <c r="A7720">
        <v>7659</v>
      </c>
      <c r="B7720" s="138">
        <f>'Rest Tax Levies-Tort Im 25'!H14</f>
        <v>443289</v>
      </c>
      <c r="D7720" s="2" t="str">
        <f t="shared" si="126"/>
        <v>Error?</v>
      </c>
      <c r="E7720" s="2" t="s">
        <v>881</v>
      </c>
    </row>
    <row r="7721" spans="1:6" x14ac:dyDescent="0.2">
      <c r="A7721">
        <v>7660</v>
      </c>
      <c r="B7721" s="138">
        <f>'Rest Tax Levies-Tort Im 25'!K14</f>
        <v>151062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381129</v>
      </c>
      <c r="D7758" s="2" t="str">
        <f t="shared" si="127"/>
        <v>Error?</v>
      </c>
      <c r="E7758" s="4" t="s">
        <v>1400</v>
      </c>
    </row>
    <row r="7759" spans="1:6" x14ac:dyDescent="0.2">
      <c r="A7759">
        <v>7698</v>
      </c>
      <c r="B7759" s="138">
        <f>'Aud Quest 2'!J88</f>
        <v>381129</v>
      </c>
      <c r="D7759" s="2" t="str">
        <f t="shared" si="127"/>
        <v>Error?</v>
      </c>
      <c r="E7759" s="4" t="s">
        <v>1400</v>
      </c>
    </row>
    <row r="7760" spans="1:6" x14ac:dyDescent="0.2">
      <c r="A7760">
        <v>7699</v>
      </c>
      <c r="B7760" s="138">
        <f>'Aud Quest 2'!J90</f>
        <v>762258</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1348084</v>
      </c>
      <c r="D7797" s="2" t="str">
        <f t="shared" si="127"/>
        <v>Error?</v>
      </c>
      <c r="E7797" s="4" t="s">
        <v>2017</v>
      </c>
    </row>
    <row r="7798" spans="1:5" x14ac:dyDescent="0.2">
      <c r="A7798">
        <v>7737</v>
      </c>
      <c r="B7798" s="138">
        <f>'Contracts Paid in CY 29'!F141</f>
        <v>50000</v>
      </c>
      <c r="D7798" s="2" t="str">
        <f t="shared" si="127"/>
        <v>Error?</v>
      </c>
      <c r="E7798" s="4" t="s">
        <v>2017</v>
      </c>
    </row>
    <row r="7799" spans="1:5" x14ac:dyDescent="0.2">
      <c r="A7799">
        <v>7738</v>
      </c>
      <c r="B7799" s="138">
        <f>'Contracts Paid in CY 29'!G141</f>
        <v>1298084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12" zoomScale="125" zoomScaleNormal="125" workbookViewId="0">
      <selection sqref="A1:K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31" t="str">
        <f>'Single Audit Cover'!A7</f>
        <v>Lyons Twp HSD 204</v>
      </c>
      <c r="B1" s="2489"/>
      <c r="C1" s="2489"/>
      <c r="D1" s="2489"/>
    </row>
    <row r="2" spans="1:11" s="1204" customFormat="1" ht="12.75" x14ac:dyDescent="0.2">
      <c r="A2" s="2532">
        <f>'Single Audit Cover'!E7</f>
        <v>6016204017</v>
      </c>
      <c r="B2" s="2533"/>
      <c r="C2" s="2533"/>
      <c r="D2" s="2533"/>
    </row>
    <row r="3" spans="1:11" s="1204" customFormat="1" ht="12.75" x14ac:dyDescent="0.2">
      <c r="A3" s="2531" t="s">
        <v>1593</v>
      </c>
      <c r="B3" s="2489"/>
      <c r="C3" s="2489"/>
      <c r="D3" s="2489"/>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1945</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535" t="str">
        <f>'Single Audit Cover'!A7</f>
        <v>Lyons Twp HSD 204</v>
      </c>
      <c r="B1" s="2535"/>
      <c r="C1" s="2535"/>
      <c r="D1" s="2535"/>
      <c r="E1" s="2535"/>
    </row>
    <row r="2" spans="1:5" x14ac:dyDescent="0.2">
      <c r="A2" s="2536">
        <f>'Single Audit Cover'!E7</f>
        <v>6016204017</v>
      </c>
      <c r="B2" s="2536"/>
      <c r="C2" s="2536"/>
      <c r="D2" s="2536"/>
      <c r="E2" s="2536"/>
    </row>
    <row r="3" spans="1:5" ht="4.5" customHeight="1" x14ac:dyDescent="0.2"/>
    <row r="4" spans="1:5" x14ac:dyDescent="0.2">
      <c r="A4" s="2535" t="s">
        <v>1307</v>
      </c>
      <c r="B4" s="2535"/>
      <c r="C4" s="2535"/>
      <c r="D4" s="2535"/>
      <c r="E4" s="2535"/>
    </row>
    <row r="5" spans="1:5" x14ac:dyDescent="0.2">
      <c r="A5" s="2538" t="str">
        <f>'Single Audit Cover'!A4</f>
        <v>Year Ending June 30, 2018</v>
      </c>
      <c r="B5" s="2538"/>
      <c r="C5" s="2538"/>
      <c r="D5" s="2538"/>
      <c r="E5" s="2538"/>
    </row>
    <row r="6" spans="1:5" x14ac:dyDescent="0.2">
      <c r="A6" s="2535" t="s">
        <v>1306</v>
      </c>
      <c r="B6" s="2535"/>
      <c r="C6" s="2535"/>
      <c r="D6" s="2535"/>
      <c r="E6" s="2535"/>
    </row>
    <row r="8" spans="1:5" x14ac:dyDescent="0.2">
      <c r="A8" s="1249" t="s">
        <v>1305</v>
      </c>
    </row>
    <row r="10" spans="1:5" x14ac:dyDescent="0.2">
      <c r="A10" s="1250" t="s">
        <v>1304</v>
      </c>
      <c r="B10" s="1251" t="s">
        <v>1303</v>
      </c>
      <c r="C10" s="1251"/>
      <c r="D10" s="1252">
        <f>SUM('Acct Summary 7-8'!C7:K7)</f>
        <v>954404</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0</v>
      </c>
    </row>
    <row r="15" spans="1:5" x14ac:dyDescent="0.2">
      <c r="A15" s="1250"/>
      <c r="B15" s="1251"/>
      <c r="C15" s="1251"/>
    </row>
    <row r="16" spans="1:5" x14ac:dyDescent="0.2">
      <c r="A16" s="1250" t="s">
        <v>1953</v>
      </c>
      <c r="B16" s="1251"/>
      <c r="C16" s="1251"/>
    </row>
    <row r="17" spans="1:4" x14ac:dyDescent="0.2">
      <c r="A17" s="1250" t="s">
        <v>1601</v>
      </c>
      <c r="B17" s="1251" t="s">
        <v>1298</v>
      </c>
      <c r="C17" s="1251"/>
      <c r="D17" s="1253">
        <f>-SUM('Revenues 9-14'!C271:D271,'Revenues 9-14'!F271:G271)</f>
        <v>-79565</v>
      </c>
    </row>
    <row r="19" spans="1:4" ht="13.5" thickBot="1" x14ac:dyDescent="0.25">
      <c r="A19" s="1254" t="s">
        <v>1297</v>
      </c>
      <c r="D19" s="1255">
        <f>SUM(D10:D17)</f>
        <v>874839</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537"/>
      <c r="B24" s="2537"/>
      <c r="D24" s="1257"/>
    </row>
    <row r="25" spans="1:4" x14ac:dyDescent="0.2">
      <c r="A25" s="2534"/>
      <c r="B25" s="2534"/>
      <c r="D25" s="1257"/>
    </row>
    <row r="26" spans="1:4" x14ac:dyDescent="0.2">
      <c r="A26" s="2534"/>
      <c r="B26" s="2534"/>
      <c r="D26" s="1257"/>
    </row>
    <row r="27" spans="1:4" x14ac:dyDescent="0.2">
      <c r="A27" s="2534"/>
      <c r="B27" s="2534"/>
      <c r="D27" s="1257"/>
    </row>
    <row r="28" spans="1:4" x14ac:dyDescent="0.2">
      <c r="A28" s="2534"/>
      <c r="B28" s="2534"/>
      <c r="D28" s="1257"/>
    </row>
    <row r="29" spans="1:4" x14ac:dyDescent="0.2">
      <c r="A29" s="2534"/>
      <c r="B29" s="2534"/>
      <c r="D29" s="1257"/>
    </row>
    <row r="30" spans="1:4" x14ac:dyDescent="0.2">
      <c r="A30" s="2534"/>
      <c r="B30" s="2534"/>
      <c r="D30" s="1257"/>
    </row>
    <row r="32" spans="1:4" x14ac:dyDescent="0.2">
      <c r="A32" s="1249" t="s">
        <v>1295</v>
      </c>
      <c r="D32" s="1252">
        <f>SUM(D19:D30)</f>
        <v>874839</v>
      </c>
    </row>
    <row r="33" spans="1:4" x14ac:dyDescent="0.2">
      <c r="D33" s="1258"/>
    </row>
    <row r="34" spans="1:4" x14ac:dyDescent="0.2">
      <c r="A34" s="317" t="s">
        <v>1294</v>
      </c>
    </row>
    <row r="35" spans="1:4" x14ac:dyDescent="0.2">
      <c r="A35" s="317" t="s">
        <v>1293</v>
      </c>
      <c r="B35" s="1247" t="s">
        <v>1292</v>
      </c>
      <c r="D35" s="1259">
        <v>874839</v>
      </c>
    </row>
    <row r="37" spans="1:4" x14ac:dyDescent="0.2">
      <c r="A37" s="1249" t="s">
        <v>1291</v>
      </c>
    </row>
    <row r="39" spans="1:4" ht="13.35" customHeight="1" x14ac:dyDescent="0.2">
      <c r="A39" s="1256" t="s">
        <v>1290</v>
      </c>
    </row>
    <row r="40" spans="1:4" x14ac:dyDescent="0.2">
      <c r="A40" s="2534"/>
      <c r="B40" s="2534"/>
      <c r="D40" s="1257"/>
    </row>
    <row r="41" spans="1:4" x14ac:dyDescent="0.2">
      <c r="A41" s="2534"/>
      <c r="B41" s="2534"/>
      <c r="D41" s="1260"/>
    </row>
    <row r="42" spans="1:4" x14ac:dyDescent="0.2">
      <c r="A42" s="2534"/>
      <c r="B42" s="2534"/>
      <c r="D42" s="1260"/>
    </row>
    <row r="43" spans="1:4" x14ac:dyDescent="0.2">
      <c r="A43" s="2534"/>
      <c r="B43" s="2534"/>
      <c r="D43" s="1260"/>
    </row>
    <row r="44" spans="1:4" x14ac:dyDescent="0.2">
      <c r="A44" s="2534"/>
      <c r="B44" s="2534"/>
      <c r="D44" s="1260"/>
    </row>
    <row r="45" spans="1:4" x14ac:dyDescent="0.2">
      <c r="A45" s="2534"/>
      <c r="B45" s="2534"/>
      <c r="D45" s="1260"/>
    </row>
    <row r="47" spans="1:4" x14ac:dyDescent="0.2">
      <c r="B47" s="1261" t="s">
        <v>1289</v>
      </c>
      <c r="C47" s="1261"/>
      <c r="D47" s="1262">
        <f>SUM(D35:D45)</f>
        <v>874839</v>
      </c>
    </row>
    <row r="49" spans="2:4" x14ac:dyDescent="0.2">
      <c r="B49" s="1261" t="s">
        <v>1288</v>
      </c>
      <c r="C49" s="1261"/>
      <c r="D49" s="126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9" zoomScale="120" zoomScaleNormal="120" workbookViewId="0">
      <selection sqref="A1:K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548" t="str">
        <f>'Single Audit Cover'!A7</f>
        <v>Lyons Twp HSD 204</v>
      </c>
      <c r="B1" s="2548"/>
      <c r="C1" s="2548"/>
      <c r="D1" s="2548"/>
      <c r="E1" s="2548"/>
      <c r="F1" s="2548"/>
    </row>
    <row r="2" spans="1:7" ht="13.5" customHeight="1" x14ac:dyDescent="0.2">
      <c r="A2" s="2549">
        <f>'Single Audit Cover'!E7</f>
        <v>6016204017</v>
      </c>
      <c r="B2" s="2549"/>
      <c r="C2" s="2549"/>
      <c r="D2" s="2549"/>
      <c r="E2" s="2549"/>
      <c r="F2" s="2549"/>
      <c r="G2" s="1264"/>
    </row>
    <row r="3" spans="1:7" ht="15.75" customHeight="1" x14ac:dyDescent="0.2">
      <c r="A3" s="2550" t="s">
        <v>1333</v>
      </c>
      <c r="B3" s="2550"/>
      <c r="C3" s="2550"/>
      <c r="D3" s="2550"/>
      <c r="E3" s="2550"/>
      <c r="F3" s="2550"/>
    </row>
    <row r="4" spans="1:7" ht="13.5" customHeight="1" x14ac:dyDescent="0.2">
      <c r="A4" s="2551" t="str">
        <f>'Single Audit Cover'!A4</f>
        <v>Year Ending June 30, 2018</v>
      </c>
      <c r="B4" s="2551"/>
      <c r="C4" s="2551"/>
      <c r="D4" s="2551"/>
      <c r="E4" s="2551"/>
      <c r="F4" s="2551"/>
    </row>
    <row r="5" spans="1:7" ht="8.25" customHeight="1" x14ac:dyDescent="0.2">
      <c r="C5" s="317"/>
      <c r="D5" s="317"/>
    </row>
    <row r="6" spans="1:7" ht="13.5" customHeight="1" x14ac:dyDescent="0.2">
      <c r="A6" s="1265" t="s">
        <v>1831</v>
      </c>
      <c r="C6" s="317"/>
      <c r="D6" s="317"/>
    </row>
    <row r="7" spans="1:7" ht="60.95" customHeight="1" x14ac:dyDescent="0.2">
      <c r="A7" s="2547" t="s">
        <v>2096</v>
      </c>
      <c r="B7" s="2547"/>
      <c r="C7" s="2547"/>
      <c r="D7" s="2547"/>
      <c r="E7" s="2547"/>
      <c r="F7" s="2547"/>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2081</v>
      </c>
      <c r="F10" s="1269" t="s">
        <v>101</v>
      </c>
      <c r="G10" s="1267"/>
    </row>
    <row r="11" spans="1:7" ht="12" customHeight="1" x14ac:dyDescent="0.2">
      <c r="A11" s="1268"/>
      <c r="B11" s="1269"/>
      <c r="C11" s="1916"/>
      <c r="D11" s="1269"/>
      <c r="E11" s="1916"/>
      <c r="F11" s="1269"/>
      <c r="G11" s="1267"/>
    </row>
    <row r="12" spans="1:7" x14ac:dyDescent="0.2">
      <c r="A12" s="1265" t="s">
        <v>1669</v>
      </c>
      <c r="C12" s="1249"/>
      <c r="D12" s="1249"/>
    </row>
    <row r="13" spans="1:7" ht="15" customHeight="1" x14ac:dyDescent="0.2">
      <c r="A13" s="2547" t="s">
        <v>2097</v>
      </c>
      <c r="B13" s="2547"/>
      <c r="C13" s="2547"/>
      <c r="D13" s="2547"/>
      <c r="E13" s="2547"/>
      <c r="F13" s="2547"/>
    </row>
    <row r="14" spans="1:7" ht="9.75" customHeight="1" x14ac:dyDescent="0.2">
      <c r="C14" s="1249"/>
      <c r="D14" s="1249"/>
    </row>
    <row r="15" spans="1:7" ht="13.5" customHeight="1" x14ac:dyDescent="0.2">
      <c r="C15" s="1860" t="s">
        <v>1332</v>
      </c>
      <c r="D15" s="2545" t="s">
        <v>1331</v>
      </c>
      <c r="E15" s="2545"/>
      <c r="F15" s="2545"/>
    </row>
    <row r="16" spans="1:7" ht="13.5" customHeight="1" x14ac:dyDescent="0.2">
      <c r="A16" s="1271"/>
      <c r="B16" s="1265" t="s">
        <v>1330</v>
      </c>
      <c r="C16" s="1860" t="s">
        <v>1329</v>
      </c>
      <c r="D16" s="2546" t="s">
        <v>1670</v>
      </c>
      <c r="E16" s="2546"/>
      <c r="F16" s="2546"/>
    </row>
    <row r="17" spans="1:6" ht="20.45" customHeight="1" x14ac:dyDescent="0.2">
      <c r="A17" s="1272"/>
      <c r="B17" s="1273" t="s">
        <v>2098</v>
      </c>
      <c r="C17" s="1274"/>
      <c r="D17" s="2540"/>
      <c r="E17" s="2540"/>
      <c r="F17" s="2540"/>
    </row>
    <row r="18" spans="1:6" ht="20.65" customHeight="1" x14ac:dyDescent="0.2">
      <c r="A18" s="1272"/>
      <c r="B18" s="1273"/>
      <c r="C18" s="1274"/>
      <c r="D18" s="2540"/>
      <c r="E18" s="2540"/>
      <c r="F18" s="2540"/>
    </row>
    <row r="19" spans="1:6" ht="20.65" customHeight="1" x14ac:dyDescent="0.2">
      <c r="A19" s="1272"/>
      <c r="B19" s="1273"/>
      <c r="C19" s="1274"/>
      <c r="D19" s="2540"/>
      <c r="E19" s="2540"/>
      <c r="F19" s="2540"/>
    </row>
    <row r="20" spans="1:6" ht="20.65" customHeight="1" x14ac:dyDescent="0.2">
      <c r="A20" s="1272"/>
      <c r="B20" s="1273"/>
      <c r="C20" s="1274"/>
      <c r="D20" s="2540"/>
      <c r="E20" s="2540"/>
      <c r="F20" s="2540"/>
    </row>
    <row r="21" spans="1:6" ht="20.65" customHeight="1" x14ac:dyDescent="0.2">
      <c r="A21" s="1272"/>
      <c r="B21" s="1273"/>
      <c r="C21" s="1274"/>
      <c r="D21" s="2540"/>
      <c r="E21" s="2540"/>
      <c r="F21" s="2540"/>
    </row>
    <row r="22" spans="1:6" ht="20.65" customHeight="1" x14ac:dyDescent="0.2">
      <c r="A22" s="1272"/>
      <c r="B22" s="1273"/>
      <c r="C22" s="1274"/>
      <c r="D22" s="2540"/>
      <c r="E22" s="2540"/>
      <c r="F22" s="2540"/>
    </row>
    <row r="23" spans="1:6" ht="20.65" customHeight="1" x14ac:dyDescent="0.2">
      <c r="A23" s="1272"/>
      <c r="B23" s="1273"/>
      <c r="C23" s="1274"/>
      <c r="D23" s="2540"/>
      <c r="E23" s="2540"/>
      <c r="F23" s="2540"/>
    </row>
    <row r="24" spans="1:6" ht="20.65" customHeight="1" x14ac:dyDescent="0.2">
      <c r="A24" s="1272"/>
      <c r="B24" s="1273"/>
      <c r="C24" s="1274"/>
      <c r="D24" s="2540"/>
      <c r="E24" s="2540"/>
      <c r="F24" s="2540"/>
    </row>
    <row r="25" spans="1:6" ht="20.65" customHeight="1" x14ac:dyDescent="0.2">
      <c r="A25" s="1272"/>
      <c r="B25" s="1273"/>
      <c r="C25" s="1274"/>
      <c r="D25" s="2540"/>
      <c r="E25" s="2540"/>
      <c r="F25" s="2540"/>
    </row>
    <row r="26" spans="1:6" ht="20.65" customHeight="1" x14ac:dyDescent="0.2">
      <c r="A26" s="1272"/>
      <c r="B26" s="1273"/>
      <c r="C26" s="1274"/>
      <c r="D26" s="2540"/>
      <c r="E26" s="2540"/>
      <c r="F26" s="2540"/>
    </row>
    <row r="27" spans="1:6" ht="20.65" customHeight="1" x14ac:dyDescent="0.2">
      <c r="A27" s="1272"/>
      <c r="B27" s="1273"/>
      <c r="C27" s="1274"/>
      <c r="D27" s="2540"/>
      <c r="E27" s="2540"/>
      <c r="F27" s="2540"/>
    </row>
    <row r="28" spans="1:6" ht="20.65" customHeight="1" x14ac:dyDescent="0.2">
      <c r="A28" s="1272"/>
      <c r="B28" s="1273"/>
      <c r="C28" s="1274"/>
      <c r="D28" s="2540"/>
      <c r="E28" s="2540"/>
      <c r="F28" s="2540"/>
    </row>
    <row r="29" spans="1:6" ht="20.65" customHeight="1" x14ac:dyDescent="0.2">
      <c r="A29" s="1272"/>
      <c r="B29" s="1273"/>
      <c r="C29" s="1274"/>
      <c r="D29" s="2540"/>
      <c r="E29" s="2540"/>
      <c r="F29" s="2540"/>
    </row>
    <row r="30" spans="1:6" ht="12" customHeight="1" x14ac:dyDescent="0.2">
      <c r="A30" s="328"/>
      <c r="B30" s="328"/>
      <c r="C30" s="1467"/>
      <c r="D30" s="1917"/>
      <c r="E30" s="1275"/>
    </row>
    <row r="31" spans="1:6" ht="12" customHeight="1" x14ac:dyDescent="0.2">
      <c r="A31" s="1276" t="s">
        <v>1630</v>
      </c>
      <c r="B31" s="328"/>
      <c r="C31" s="1467"/>
      <c r="D31" s="1917"/>
      <c r="E31" s="1275"/>
    </row>
    <row r="32" spans="1:6" ht="30" customHeight="1" x14ac:dyDescent="0.2">
      <c r="A32" s="2541" t="s">
        <v>2099</v>
      </c>
      <c r="B32" s="2541"/>
      <c r="C32" s="2541"/>
      <c r="D32" s="2541"/>
      <c r="E32" s="2541"/>
      <c r="F32" s="2541"/>
    </row>
    <row r="33" spans="1:6" ht="13.5" customHeight="1" x14ac:dyDescent="0.2">
      <c r="A33" s="328" t="s">
        <v>1509</v>
      </c>
      <c r="B33" s="328"/>
      <c r="C33" s="1277">
        <v>0</v>
      </c>
      <c r="D33" s="1917"/>
      <c r="E33" s="1275"/>
    </row>
    <row r="34" spans="1:6" ht="13.5" customHeight="1" x14ac:dyDescent="0.2">
      <c r="A34" s="328" t="s">
        <v>1946</v>
      </c>
      <c r="B34" s="328"/>
      <c r="C34" s="1278">
        <v>0</v>
      </c>
      <c r="D34" s="1917" t="s">
        <v>1671</v>
      </c>
      <c r="E34" s="2542">
        <f>+C33+C34</f>
        <v>0</v>
      </c>
      <c r="F34" s="2543"/>
    </row>
    <row r="35" spans="1:6" ht="12" customHeight="1" x14ac:dyDescent="0.2">
      <c r="A35" s="328"/>
      <c r="B35" s="328"/>
      <c r="C35" s="1918"/>
      <c r="D35" s="1917"/>
      <c r="E35" s="1279"/>
      <c r="F35" s="1280"/>
    </row>
    <row r="36" spans="1:6" ht="13.5" customHeight="1" x14ac:dyDescent="0.2">
      <c r="A36" s="1276" t="s">
        <v>1631</v>
      </c>
      <c r="B36" s="328"/>
      <c r="C36" s="1467"/>
      <c r="D36" s="1917"/>
      <c r="E36" s="1275"/>
    </row>
    <row r="37" spans="1:6" ht="14.25" customHeight="1" x14ac:dyDescent="0.2">
      <c r="A37" s="328" t="s">
        <v>1563</v>
      </c>
      <c r="B37" s="328"/>
      <c r="C37" s="1919"/>
      <c r="D37" s="1917"/>
      <c r="E37" s="1275"/>
    </row>
    <row r="38" spans="1:6" ht="14.25" customHeight="1" x14ac:dyDescent="0.2">
      <c r="A38" s="328"/>
      <c r="B38" s="328" t="s">
        <v>1510</v>
      </c>
      <c r="C38" s="1281">
        <v>0</v>
      </c>
      <c r="D38" s="1917"/>
      <c r="E38" s="1275"/>
    </row>
    <row r="39" spans="1:6" ht="14.25" customHeight="1" x14ac:dyDescent="0.2">
      <c r="A39" s="328"/>
      <c r="B39" s="328" t="s">
        <v>1511</v>
      </c>
      <c r="C39" s="1281">
        <v>0</v>
      </c>
      <c r="D39" s="1917"/>
      <c r="E39" s="1275"/>
    </row>
    <row r="40" spans="1:6" ht="14.25" customHeight="1" x14ac:dyDescent="0.2">
      <c r="A40" s="328"/>
      <c r="B40" s="328" t="s">
        <v>1512</v>
      </c>
      <c r="C40" s="1281">
        <v>0</v>
      </c>
      <c r="D40" s="1917"/>
      <c r="E40" s="1275"/>
    </row>
    <row r="41" spans="1:6" ht="14.25" customHeight="1" x14ac:dyDescent="0.2">
      <c r="A41" s="328"/>
      <c r="B41" s="328" t="s">
        <v>1513</v>
      </c>
      <c r="C41" s="1281">
        <v>0</v>
      </c>
      <c r="D41" s="1917"/>
      <c r="E41" s="1275"/>
    </row>
    <row r="42" spans="1:6" ht="14.25" customHeight="1" x14ac:dyDescent="0.2">
      <c r="A42" s="328" t="s">
        <v>1514</v>
      </c>
      <c r="B42" s="328"/>
      <c r="C42" s="1915">
        <v>0</v>
      </c>
      <c r="D42" s="1917"/>
      <c r="E42" s="1275"/>
    </row>
    <row r="43" spans="1:6" ht="14.25" customHeight="1" x14ac:dyDescent="0.2">
      <c r="A43" s="328" t="s">
        <v>1515</v>
      </c>
      <c r="B43" s="328"/>
      <c r="C43" s="1282" t="s">
        <v>401</v>
      </c>
      <c r="D43" s="1917"/>
      <c r="E43" s="1275"/>
    </row>
    <row r="44" spans="1:6" ht="14.25" customHeight="1" x14ac:dyDescent="0.2">
      <c r="A44" s="328"/>
      <c r="B44" s="328"/>
      <c r="C44" s="1919" t="s">
        <v>1516</v>
      </c>
      <c r="D44" s="1917"/>
      <c r="E44" s="1275"/>
    </row>
    <row r="45" spans="1:6" ht="13.5" customHeight="1" x14ac:dyDescent="0.2">
      <c r="B45" s="322"/>
      <c r="C45" s="1283"/>
      <c r="D45" s="1283"/>
    </row>
    <row r="46" spans="1:6" x14ac:dyDescent="0.2">
      <c r="A46" s="1284" t="s">
        <v>1833</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544" t="s">
        <v>1672</v>
      </c>
      <c r="C49" s="2544"/>
      <c r="D49" s="2544"/>
      <c r="E49" s="1388"/>
    </row>
    <row r="50" spans="1:5" s="1289" customFormat="1" ht="3.75" customHeight="1" x14ac:dyDescent="0.2">
      <c r="A50" s="1288"/>
      <c r="B50" s="1859"/>
      <c r="C50" s="1859"/>
      <c r="D50" s="1859"/>
      <c r="E50" s="1388"/>
    </row>
    <row r="51" spans="1:5" s="1289" customFormat="1" ht="20.25" customHeight="1" x14ac:dyDescent="0.2">
      <c r="A51" s="1290">
        <v>6</v>
      </c>
      <c r="B51" s="2539" t="s">
        <v>1632</v>
      </c>
      <c r="C51" s="2539"/>
      <c r="D51" s="2539"/>
    </row>
    <row r="52" spans="1:5" ht="14.25" customHeight="1" x14ac:dyDescent="0.2">
      <c r="A52" s="1290"/>
      <c r="B52" s="2539"/>
      <c r="C52" s="2539"/>
      <c r="D52" s="25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view="pageBreakPreview" zoomScaleNormal="100" zoomScaleSheetLayoutView="100" workbookViewId="0">
      <selection activeCell="P16" sqref="P16:P34"/>
    </sheetView>
  </sheetViews>
  <sheetFormatPr defaultColWidth="11.7109375" defaultRowHeight="11.25" x14ac:dyDescent="0.2"/>
  <cols>
    <col min="1" max="1" width="18.85546875" style="1948" customWidth="1"/>
    <col min="2" max="2" width="4.7109375" style="1948" customWidth="1"/>
    <col min="3" max="3" width="10.85546875" style="1948" customWidth="1"/>
    <col min="4" max="4" width="7.5703125" style="1948" bestFit="1" customWidth="1"/>
    <col min="5" max="5" width="11.5703125" style="1948" bestFit="1" customWidth="1"/>
    <col min="6" max="7" width="10" style="1948" bestFit="1" customWidth="1"/>
    <col min="8" max="8" width="12.140625" style="1948" hidden="1" customWidth="1"/>
    <col min="9" max="9" width="10" style="1948" bestFit="1" customWidth="1"/>
    <col min="10" max="10" width="12.140625" style="1948" hidden="1" customWidth="1"/>
    <col min="11" max="11" width="10" style="1948" bestFit="1" customWidth="1"/>
    <col min="12" max="12" width="9.28515625" style="1948" hidden="1" customWidth="1"/>
    <col min="13" max="13" width="10" style="1948" bestFit="1" customWidth="1"/>
    <col min="14" max="14" width="8.5703125" style="1948" bestFit="1" customWidth="1"/>
    <col min="15" max="15" width="4.7109375" style="1948" customWidth="1"/>
    <col min="16" max="256" width="11.7109375" style="1948"/>
    <col min="257" max="257" width="18.85546875" style="1948" customWidth="1"/>
    <col min="258" max="258" width="4.7109375" style="1948" customWidth="1"/>
    <col min="259" max="259" width="10.85546875" style="1948" customWidth="1"/>
    <col min="260" max="260" width="7.5703125" style="1948" bestFit="1" customWidth="1"/>
    <col min="261" max="261" width="11.5703125" style="1948" bestFit="1" customWidth="1"/>
    <col min="262" max="263" width="10" style="1948" bestFit="1" customWidth="1"/>
    <col min="264" max="264" width="0" style="1948" hidden="1" customWidth="1"/>
    <col min="265" max="265" width="10" style="1948" bestFit="1" customWidth="1"/>
    <col min="266" max="266" width="0" style="1948" hidden="1" customWidth="1"/>
    <col min="267" max="267" width="10" style="1948" bestFit="1" customWidth="1"/>
    <col min="268" max="268" width="0" style="1948" hidden="1" customWidth="1"/>
    <col min="269" max="269" width="10" style="1948" bestFit="1" customWidth="1"/>
    <col min="270" max="270" width="8.5703125" style="1948" bestFit="1" customWidth="1"/>
    <col min="271" max="271" width="4.7109375" style="1948" customWidth="1"/>
    <col min="272" max="512" width="11.7109375" style="1948"/>
    <col min="513" max="513" width="18.85546875" style="1948" customWidth="1"/>
    <col min="514" max="514" width="4.7109375" style="1948" customWidth="1"/>
    <col min="515" max="515" width="10.85546875" style="1948" customWidth="1"/>
    <col min="516" max="516" width="7.5703125" style="1948" bestFit="1" customWidth="1"/>
    <col min="517" max="517" width="11.5703125" style="1948" bestFit="1" customWidth="1"/>
    <col min="518" max="519" width="10" style="1948" bestFit="1" customWidth="1"/>
    <col min="520" max="520" width="0" style="1948" hidden="1" customWidth="1"/>
    <col min="521" max="521" width="10" style="1948" bestFit="1" customWidth="1"/>
    <col min="522" max="522" width="0" style="1948" hidden="1" customWidth="1"/>
    <col min="523" max="523" width="10" style="1948" bestFit="1" customWidth="1"/>
    <col min="524" max="524" width="0" style="1948" hidden="1" customWidth="1"/>
    <col min="525" max="525" width="10" style="1948" bestFit="1" customWidth="1"/>
    <col min="526" max="526" width="8.5703125" style="1948" bestFit="1" customWidth="1"/>
    <col min="527" max="527" width="4.7109375" style="1948" customWidth="1"/>
    <col min="528" max="768" width="11.7109375" style="1948"/>
    <col min="769" max="769" width="18.85546875" style="1948" customWidth="1"/>
    <col min="770" max="770" width="4.7109375" style="1948" customWidth="1"/>
    <col min="771" max="771" width="10.85546875" style="1948" customWidth="1"/>
    <col min="772" max="772" width="7.5703125" style="1948" bestFit="1" customWidth="1"/>
    <col min="773" max="773" width="11.5703125" style="1948" bestFit="1" customWidth="1"/>
    <col min="774" max="775" width="10" style="1948" bestFit="1" customWidth="1"/>
    <col min="776" max="776" width="0" style="1948" hidden="1" customWidth="1"/>
    <col min="777" max="777" width="10" style="1948" bestFit="1" customWidth="1"/>
    <col min="778" max="778" width="0" style="1948" hidden="1" customWidth="1"/>
    <col min="779" max="779" width="10" style="1948" bestFit="1" customWidth="1"/>
    <col min="780" max="780" width="0" style="1948" hidden="1" customWidth="1"/>
    <col min="781" max="781" width="10" style="1948" bestFit="1" customWidth="1"/>
    <col min="782" max="782" width="8.5703125" style="1948" bestFit="1" customWidth="1"/>
    <col min="783" max="783" width="4.7109375" style="1948" customWidth="1"/>
    <col min="784" max="1024" width="11.7109375" style="1948"/>
    <col min="1025" max="1025" width="18.85546875" style="1948" customWidth="1"/>
    <col min="1026" max="1026" width="4.7109375" style="1948" customWidth="1"/>
    <col min="1027" max="1027" width="10.85546875" style="1948" customWidth="1"/>
    <col min="1028" max="1028" width="7.5703125" style="1948" bestFit="1" customWidth="1"/>
    <col min="1029" max="1029" width="11.5703125" style="1948" bestFit="1" customWidth="1"/>
    <col min="1030" max="1031" width="10" style="1948" bestFit="1" customWidth="1"/>
    <col min="1032" max="1032" width="0" style="1948" hidden="1" customWidth="1"/>
    <col min="1033" max="1033" width="10" style="1948" bestFit="1" customWidth="1"/>
    <col min="1034" max="1034" width="0" style="1948" hidden="1" customWidth="1"/>
    <col min="1035" max="1035" width="10" style="1948" bestFit="1" customWidth="1"/>
    <col min="1036" max="1036" width="0" style="1948" hidden="1" customWidth="1"/>
    <col min="1037" max="1037" width="10" style="1948" bestFit="1" customWidth="1"/>
    <col min="1038" max="1038" width="8.5703125" style="1948" bestFit="1" customWidth="1"/>
    <col min="1039" max="1039" width="4.7109375" style="1948" customWidth="1"/>
    <col min="1040" max="1280" width="11.7109375" style="1948"/>
    <col min="1281" max="1281" width="18.85546875" style="1948" customWidth="1"/>
    <col min="1282" max="1282" width="4.7109375" style="1948" customWidth="1"/>
    <col min="1283" max="1283" width="10.85546875" style="1948" customWidth="1"/>
    <col min="1284" max="1284" width="7.5703125" style="1948" bestFit="1" customWidth="1"/>
    <col min="1285" max="1285" width="11.5703125" style="1948" bestFit="1" customWidth="1"/>
    <col min="1286" max="1287" width="10" style="1948" bestFit="1" customWidth="1"/>
    <col min="1288" max="1288" width="0" style="1948" hidden="1" customWidth="1"/>
    <col min="1289" max="1289" width="10" style="1948" bestFit="1" customWidth="1"/>
    <col min="1290" max="1290" width="0" style="1948" hidden="1" customWidth="1"/>
    <col min="1291" max="1291" width="10" style="1948" bestFit="1" customWidth="1"/>
    <col min="1292" max="1292" width="0" style="1948" hidden="1" customWidth="1"/>
    <col min="1293" max="1293" width="10" style="1948" bestFit="1" customWidth="1"/>
    <col min="1294" max="1294" width="8.5703125" style="1948" bestFit="1" customWidth="1"/>
    <col min="1295" max="1295" width="4.7109375" style="1948" customWidth="1"/>
    <col min="1296" max="1536" width="11.7109375" style="1948"/>
    <col min="1537" max="1537" width="18.85546875" style="1948" customWidth="1"/>
    <col min="1538" max="1538" width="4.7109375" style="1948" customWidth="1"/>
    <col min="1539" max="1539" width="10.85546875" style="1948" customWidth="1"/>
    <col min="1540" max="1540" width="7.5703125" style="1948" bestFit="1" customWidth="1"/>
    <col min="1541" max="1541" width="11.5703125" style="1948" bestFit="1" customWidth="1"/>
    <col min="1542" max="1543" width="10" style="1948" bestFit="1" customWidth="1"/>
    <col min="1544" max="1544" width="0" style="1948" hidden="1" customWidth="1"/>
    <col min="1545" max="1545" width="10" style="1948" bestFit="1" customWidth="1"/>
    <col min="1546" max="1546" width="0" style="1948" hidden="1" customWidth="1"/>
    <col min="1547" max="1547" width="10" style="1948" bestFit="1" customWidth="1"/>
    <col min="1548" max="1548" width="0" style="1948" hidden="1" customWidth="1"/>
    <col min="1549" max="1549" width="10" style="1948" bestFit="1" customWidth="1"/>
    <col min="1550" max="1550" width="8.5703125" style="1948" bestFit="1" customWidth="1"/>
    <col min="1551" max="1551" width="4.7109375" style="1948" customWidth="1"/>
    <col min="1552" max="1792" width="11.7109375" style="1948"/>
    <col min="1793" max="1793" width="18.85546875" style="1948" customWidth="1"/>
    <col min="1794" max="1794" width="4.7109375" style="1948" customWidth="1"/>
    <col min="1795" max="1795" width="10.85546875" style="1948" customWidth="1"/>
    <col min="1796" max="1796" width="7.5703125" style="1948" bestFit="1" customWidth="1"/>
    <col min="1797" max="1797" width="11.5703125" style="1948" bestFit="1" customWidth="1"/>
    <col min="1798" max="1799" width="10" style="1948" bestFit="1" customWidth="1"/>
    <col min="1800" max="1800" width="0" style="1948" hidden="1" customWidth="1"/>
    <col min="1801" max="1801" width="10" style="1948" bestFit="1" customWidth="1"/>
    <col min="1802" max="1802" width="0" style="1948" hidden="1" customWidth="1"/>
    <col min="1803" max="1803" width="10" style="1948" bestFit="1" customWidth="1"/>
    <col min="1804" max="1804" width="0" style="1948" hidden="1" customWidth="1"/>
    <col min="1805" max="1805" width="10" style="1948" bestFit="1" customWidth="1"/>
    <col min="1806" max="1806" width="8.5703125" style="1948" bestFit="1" customWidth="1"/>
    <col min="1807" max="1807" width="4.7109375" style="1948" customWidth="1"/>
    <col min="1808" max="2048" width="11.7109375" style="1948"/>
    <col min="2049" max="2049" width="18.85546875" style="1948" customWidth="1"/>
    <col min="2050" max="2050" width="4.7109375" style="1948" customWidth="1"/>
    <col min="2051" max="2051" width="10.85546875" style="1948" customWidth="1"/>
    <col min="2052" max="2052" width="7.5703125" style="1948" bestFit="1" customWidth="1"/>
    <col min="2053" max="2053" width="11.5703125" style="1948" bestFit="1" customWidth="1"/>
    <col min="2054" max="2055" width="10" style="1948" bestFit="1" customWidth="1"/>
    <col min="2056" max="2056" width="0" style="1948" hidden="1" customWidth="1"/>
    <col min="2057" max="2057" width="10" style="1948" bestFit="1" customWidth="1"/>
    <col min="2058" max="2058" width="0" style="1948" hidden="1" customWidth="1"/>
    <col min="2059" max="2059" width="10" style="1948" bestFit="1" customWidth="1"/>
    <col min="2060" max="2060" width="0" style="1948" hidden="1" customWidth="1"/>
    <col min="2061" max="2061" width="10" style="1948" bestFit="1" customWidth="1"/>
    <col min="2062" max="2062" width="8.5703125" style="1948" bestFit="1" customWidth="1"/>
    <col min="2063" max="2063" width="4.7109375" style="1948" customWidth="1"/>
    <col min="2064" max="2304" width="11.7109375" style="1948"/>
    <col min="2305" max="2305" width="18.85546875" style="1948" customWidth="1"/>
    <col min="2306" max="2306" width="4.7109375" style="1948" customWidth="1"/>
    <col min="2307" max="2307" width="10.85546875" style="1948" customWidth="1"/>
    <col min="2308" max="2308" width="7.5703125" style="1948" bestFit="1" customWidth="1"/>
    <col min="2309" max="2309" width="11.5703125" style="1948" bestFit="1" customWidth="1"/>
    <col min="2310" max="2311" width="10" style="1948" bestFit="1" customWidth="1"/>
    <col min="2312" max="2312" width="0" style="1948" hidden="1" customWidth="1"/>
    <col min="2313" max="2313" width="10" style="1948" bestFit="1" customWidth="1"/>
    <col min="2314" max="2314" width="0" style="1948" hidden="1" customWidth="1"/>
    <col min="2315" max="2315" width="10" style="1948" bestFit="1" customWidth="1"/>
    <col min="2316" max="2316" width="0" style="1948" hidden="1" customWidth="1"/>
    <col min="2317" max="2317" width="10" style="1948" bestFit="1" customWidth="1"/>
    <col min="2318" max="2318" width="8.5703125" style="1948" bestFit="1" customWidth="1"/>
    <col min="2319" max="2319" width="4.7109375" style="1948" customWidth="1"/>
    <col min="2320" max="2560" width="11.7109375" style="1948"/>
    <col min="2561" max="2561" width="18.85546875" style="1948" customWidth="1"/>
    <col min="2562" max="2562" width="4.7109375" style="1948" customWidth="1"/>
    <col min="2563" max="2563" width="10.85546875" style="1948" customWidth="1"/>
    <col min="2564" max="2564" width="7.5703125" style="1948" bestFit="1" customWidth="1"/>
    <col min="2565" max="2565" width="11.5703125" style="1948" bestFit="1" customWidth="1"/>
    <col min="2566" max="2567" width="10" style="1948" bestFit="1" customWidth="1"/>
    <col min="2568" max="2568" width="0" style="1948" hidden="1" customWidth="1"/>
    <col min="2569" max="2569" width="10" style="1948" bestFit="1" customWidth="1"/>
    <col min="2570" max="2570" width="0" style="1948" hidden="1" customWidth="1"/>
    <col min="2571" max="2571" width="10" style="1948" bestFit="1" customWidth="1"/>
    <col min="2572" max="2572" width="0" style="1948" hidden="1" customWidth="1"/>
    <col min="2573" max="2573" width="10" style="1948" bestFit="1" customWidth="1"/>
    <col min="2574" max="2574" width="8.5703125" style="1948" bestFit="1" customWidth="1"/>
    <col min="2575" max="2575" width="4.7109375" style="1948" customWidth="1"/>
    <col min="2576" max="2816" width="11.7109375" style="1948"/>
    <col min="2817" max="2817" width="18.85546875" style="1948" customWidth="1"/>
    <col min="2818" max="2818" width="4.7109375" style="1948" customWidth="1"/>
    <col min="2819" max="2819" width="10.85546875" style="1948" customWidth="1"/>
    <col min="2820" max="2820" width="7.5703125" style="1948" bestFit="1" customWidth="1"/>
    <col min="2821" max="2821" width="11.5703125" style="1948" bestFit="1" customWidth="1"/>
    <col min="2822" max="2823" width="10" style="1948" bestFit="1" customWidth="1"/>
    <col min="2824" max="2824" width="0" style="1948" hidden="1" customWidth="1"/>
    <col min="2825" max="2825" width="10" style="1948" bestFit="1" customWidth="1"/>
    <col min="2826" max="2826" width="0" style="1948" hidden="1" customWidth="1"/>
    <col min="2827" max="2827" width="10" style="1948" bestFit="1" customWidth="1"/>
    <col min="2828" max="2828" width="0" style="1948" hidden="1" customWidth="1"/>
    <col min="2829" max="2829" width="10" style="1948" bestFit="1" customWidth="1"/>
    <col min="2830" max="2830" width="8.5703125" style="1948" bestFit="1" customWidth="1"/>
    <col min="2831" max="2831" width="4.7109375" style="1948" customWidth="1"/>
    <col min="2832" max="3072" width="11.7109375" style="1948"/>
    <col min="3073" max="3073" width="18.85546875" style="1948" customWidth="1"/>
    <col min="3074" max="3074" width="4.7109375" style="1948" customWidth="1"/>
    <col min="3075" max="3075" width="10.85546875" style="1948" customWidth="1"/>
    <col min="3076" max="3076" width="7.5703125" style="1948" bestFit="1" customWidth="1"/>
    <col min="3077" max="3077" width="11.5703125" style="1948" bestFit="1" customWidth="1"/>
    <col min="3078" max="3079" width="10" style="1948" bestFit="1" customWidth="1"/>
    <col min="3080" max="3080" width="0" style="1948" hidden="1" customWidth="1"/>
    <col min="3081" max="3081" width="10" style="1948" bestFit="1" customWidth="1"/>
    <col min="3082" max="3082" width="0" style="1948" hidden="1" customWidth="1"/>
    <col min="3083" max="3083" width="10" style="1948" bestFit="1" customWidth="1"/>
    <col min="3084" max="3084" width="0" style="1948" hidden="1" customWidth="1"/>
    <col min="3085" max="3085" width="10" style="1948" bestFit="1" customWidth="1"/>
    <col min="3086" max="3086" width="8.5703125" style="1948" bestFit="1" customWidth="1"/>
    <col min="3087" max="3087" width="4.7109375" style="1948" customWidth="1"/>
    <col min="3088" max="3328" width="11.7109375" style="1948"/>
    <col min="3329" max="3329" width="18.85546875" style="1948" customWidth="1"/>
    <col min="3330" max="3330" width="4.7109375" style="1948" customWidth="1"/>
    <col min="3331" max="3331" width="10.85546875" style="1948" customWidth="1"/>
    <col min="3332" max="3332" width="7.5703125" style="1948" bestFit="1" customWidth="1"/>
    <col min="3333" max="3333" width="11.5703125" style="1948" bestFit="1" customWidth="1"/>
    <col min="3334" max="3335" width="10" style="1948" bestFit="1" customWidth="1"/>
    <col min="3336" max="3336" width="0" style="1948" hidden="1" customWidth="1"/>
    <col min="3337" max="3337" width="10" style="1948" bestFit="1" customWidth="1"/>
    <col min="3338" max="3338" width="0" style="1948" hidden="1" customWidth="1"/>
    <col min="3339" max="3339" width="10" style="1948" bestFit="1" customWidth="1"/>
    <col min="3340" max="3340" width="0" style="1948" hidden="1" customWidth="1"/>
    <col min="3341" max="3341" width="10" style="1948" bestFit="1" customWidth="1"/>
    <col min="3342" max="3342" width="8.5703125" style="1948" bestFit="1" customWidth="1"/>
    <col min="3343" max="3343" width="4.7109375" style="1948" customWidth="1"/>
    <col min="3344" max="3584" width="11.7109375" style="1948"/>
    <col min="3585" max="3585" width="18.85546875" style="1948" customWidth="1"/>
    <col min="3586" max="3586" width="4.7109375" style="1948" customWidth="1"/>
    <col min="3587" max="3587" width="10.85546875" style="1948" customWidth="1"/>
    <col min="3588" max="3588" width="7.5703125" style="1948" bestFit="1" customWidth="1"/>
    <col min="3589" max="3589" width="11.5703125" style="1948" bestFit="1" customWidth="1"/>
    <col min="3590" max="3591" width="10" style="1948" bestFit="1" customWidth="1"/>
    <col min="3592" max="3592" width="0" style="1948" hidden="1" customWidth="1"/>
    <col min="3593" max="3593" width="10" style="1948" bestFit="1" customWidth="1"/>
    <col min="3594" max="3594" width="0" style="1948" hidden="1" customWidth="1"/>
    <col min="3595" max="3595" width="10" style="1948" bestFit="1" customWidth="1"/>
    <col min="3596" max="3596" width="0" style="1948" hidden="1" customWidth="1"/>
    <col min="3597" max="3597" width="10" style="1948" bestFit="1" customWidth="1"/>
    <col min="3598" max="3598" width="8.5703125" style="1948" bestFit="1" customWidth="1"/>
    <col min="3599" max="3599" width="4.7109375" style="1948" customWidth="1"/>
    <col min="3600" max="3840" width="11.7109375" style="1948"/>
    <col min="3841" max="3841" width="18.85546875" style="1948" customWidth="1"/>
    <col min="3842" max="3842" width="4.7109375" style="1948" customWidth="1"/>
    <col min="3843" max="3843" width="10.85546875" style="1948" customWidth="1"/>
    <col min="3844" max="3844" width="7.5703125" style="1948" bestFit="1" customWidth="1"/>
    <col min="3845" max="3845" width="11.5703125" style="1948" bestFit="1" customWidth="1"/>
    <col min="3846" max="3847" width="10" style="1948" bestFit="1" customWidth="1"/>
    <col min="3848" max="3848" width="0" style="1948" hidden="1" customWidth="1"/>
    <col min="3849" max="3849" width="10" style="1948" bestFit="1" customWidth="1"/>
    <col min="3850" max="3850" width="0" style="1948" hidden="1" customWidth="1"/>
    <col min="3851" max="3851" width="10" style="1948" bestFit="1" customWidth="1"/>
    <col min="3852" max="3852" width="0" style="1948" hidden="1" customWidth="1"/>
    <col min="3853" max="3853" width="10" style="1948" bestFit="1" customWidth="1"/>
    <col min="3854" max="3854" width="8.5703125" style="1948" bestFit="1" customWidth="1"/>
    <col min="3855" max="3855" width="4.7109375" style="1948" customWidth="1"/>
    <col min="3856" max="4096" width="11.7109375" style="1948"/>
    <col min="4097" max="4097" width="18.85546875" style="1948" customWidth="1"/>
    <col min="4098" max="4098" width="4.7109375" style="1948" customWidth="1"/>
    <col min="4099" max="4099" width="10.85546875" style="1948" customWidth="1"/>
    <col min="4100" max="4100" width="7.5703125" style="1948" bestFit="1" customWidth="1"/>
    <col min="4101" max="4101" width="11.5703125" style="1948" bestFit="1" customWidth="1"/>
    <col min="4102" max="4103" width="10" style="1948" bestFit="1" customWidth="1"/>
    <col min="4104" max="4104" width="0" style="1948" hidden="1" customWidth="1"/>
    <col min="4105" max="4105" width="10" style="1948" bestFit="1" customWidth="1"/>
    <col min="4106" max="4106" width="0" style="1948" hidden="1" customWidth="1"/>
    <col min="4107" max="4107" width="10" style="1948" bestFit="1" customWidth="1"/>
    <col min="4108" max="4108" width="0" style="1948" hidden="1" customWidth="1"/>
    <col min="4109" max="4109" width="10" style="1948" bestFit="1" customWidth="1"/>
    <col min="4110" max="4110" width="8.5703125" style="1948" bestFit="1" customWidth="1"/>
    <col min="4111" max="4111" width="4.7109375" style="1948" customWidth="1"/>
    <col min="4112" max="4352" width="11.7109375" style="1948"/>
    <col min="4353" max="4353" width="18.85546875" style="1948" customWidth="1"/>
    <col min="4354" max="4354" width="4.7109375" style="1948" customWidth="1"/>
    <col min="4355" max="4355" width="10.85546875" style="1948" customWidth="1"/>
    <col min="4356" max="4356" width="7.5703125" style="1948" bestFit="1" customWidth="1"/>
    <col min="4357" max="4357" width="11.5703125" style="1948" bestFit="1" customWidth="1"/>
    <col min="4358" max="4359" width="10" style="1948" bestFit="1" customWidth="1"/>
    <col min="4360" max="4360" width="0" style="1948" hidden="1" customWidth="1"/>
    <col min="4361" max="4361" width="10" style="1948" bestFit="1" customWidth="1"/>
    <col min="4362" max="4362" width="0" style="1948" hidden="1" customWidth="1"/>
    <col min="4363" max="4363" width="10" style="1948" bestFit="1" customWidth="1"/>
    <col min="4364" max="4364" width="0" style="1948" hidden="1" customWidth="1"/>
    <col min="4365" max="4365" width="10" style="1948" bestFit="1" customWidth="1"/>
    <col min="4366" max="4366" width="8.5703125" style="1948" bestFit="1" customWidth="1"/>
    <col min="4367" max="4367" width="4.7109375" style="1948" customWidth="1"/>
    <col min="4368" max="4608" width="11.7109375" style="1948"/>
    <col min="4609" max="4609" width="18.85546875" style="1948" customWidth="1"/>
    <col min="4610" max="4610" width="4.7109375" style="1948" customWidth="1"/>
    <col min="4611" max="4611" width="10.85546875" style="1948" customWidth="1"/>
    <col min="4612" max="4612" width="7.5703125" style="1948" bestFit="1" customWidth="1"/>
    <col min="4613" max="4613" width="11.5703125" style="1948" bestFit="1" customWidth="1"/>
    <col min="4614" max="4615" width="10" style="1948" bestFit="1" customWidth="1"/>
    <col min="4616" max="4616" width="0" style="1948" hidden="1" customWidth="1"/>
    <col min="4617" max="4617" width="10" style="1948" bestFit="1" customWidth="1"/>
    <col min="4618" max="4618" width="0" style="1948" hidden="1" customWidth="1"/>
    <col min="4619" max="4619" width="10" style="1948" bestFit="1" customWidth="1"/>
    <col min="4620" max="4620" width="0" style="1948" hidden="1" customWidth="1"/>
    <col min="4621" max="4621" width="10" style="1948" bestFit="1" customWidth="1"/>
    <col min="4622" max="4622" width="8.5703125" style="1948" bestFit="1" customWidth="1"/>
    <col min="4623" max="4623" width="4.7109375" style="1948" customWidth="1"/>
    <col min="4624" max="4864" width="11.7109375" style="1948"/>
    <col min="4865" max="4865" width="18.85546875" style="1948" customWidth="1"/>
    <col min="4866" max="4866" width="4.7109375" style="1948" customWidth="1"/>
    <col min="4867" max="4867" width="10.85546875" style="1948" customWidth="1"/>
    <col min="4868" max="4868" width="7.5703125" style="1948" bestFit="1" customWidth="1"/>
    <col min="4869" max="4869" width="11.5703125" style="1948" bestFit="1" customWidth="1"/>
    <col min="4870" max="4871" width="10" style="1948" bestFit="1" customWidth="1"/>
    <col min="4872" max="4872" width="0" style="1948" hidden="1" customWidth="1"/>
    <col min="4873" max="4873" width="10" style="1948" bestFit="1" customWidth="1"/>
    <col min="4874" max="4874" width="0" style="1948" hidden="1" customWidth="1"/>
    <col min="4875" max="4875" width="10" style="1948" bestFit="1" customWidth="1"/>
    <col min="4876" max="4876" width="0" style="1948" hidden="1" customWidth="1"/>
    <col min="4877" max="4877" width="10" style="1948" bestFit="1" customWidth="1"/>
    <col min="4878" max="4878" width="8.5703125" style="1948" bestFit="1" customWidth="1"/>
    <col min="4879" max="4879" width="4.7109375" style="1948" customWidth="1"/>
    <col min="4880" max="5120" width="11.7109375" style="1948"/>
    <col min="5121" max="5121" width="18.85546875" style="1948" customWidth="1"/>
    <col min="5122" max="5122" width="4.7109375" style="1948" customWidth="1"/>
    <col min="5123" max="5123" width="10.85546875" style="1948" customWidth="1"/>
    <col min="5124" max="5124" width="7.5703125" style="1948" bestFit="1" customWidth="1"/>
    <col min="5125" max="5125" width="11.5703125" style="1948" bestFit="1" customWidth="1"/>
    <col min="5126" max="5127" width="10" style="1948" bestFit="1" customWidth="1"/>
    <col min="5128" max="5128" width="0" style="1948" hidden="1" customWidth="1"/>
    <col min="5129" max="5129" width="10" style="1948" bestFit="1" customWidth="1"/>
    <col min="5130" max="5130" width="0" style="1948" hidden="1" customWidth="1"/>
    <col min="5131" max="5131" width="10" style="1948" bestFit="1" customWidth="1"/>
    <col min="5132" max="5132" width="0" style="1948" hidden="1" customWidth="1"/>
    <col min="5133" max="5133" width="10" style="1948" bestFit="1" customWidth="1"/>
    <col min="5134" max="5134" width="8.5703125" style="1948" bestFit="1" customWidth="1"/>
    <col min="5135" max="5135" width="4.7109375" style="1948" customWidth="1"/>
    <col min="5136" max="5376" width="11.7109375" style="1948"/>
    <col min="5377" max="5377" width="18.85546875" style="1948" customWidth="1"/>
    <col min="5378" max="5378" width="4.7109375" style="1948" customWidth="1"/>
    <col min="5379" max="5379" width="10.85546875" style="1948" customWidth="1"/>
    <col min="5380" max="5380" width="7.5703125" style="1948" bestFit="1" customWidth="1"/>
    <col min="5381" max="5381" width="11.5703125" style="1948" bestFit="1" customWidth="1"/>
    <col min="5382" max="5383" width="10" style="1948" bestFit="1" customWidth="1"/>
    <col min="5384" max="5384" width="0" style="1948" hidden="1" customWidth="1"/>
    <col min="5385" max="5385" width="10" style="1948" bestFit="1" customWidth="1"/>
    <col min="5386" max="5386" width="0" style="1948" hidden="1" customWidth="1"/>
    <col min="5387" max="5387" width="10" style="1948" bestFit="1" customWidth="1"/>
    <col min="5388" max="5388" width="0" style="1948" hidden="1" customWidth="1"/>
    <col min="5389" max="5389" width="10" style="1948" bestFit="1" customWidth="1"/>
    <col min="5390" max="5390" width="8.5703125" style="1948" bestFit="1" customWidth="1"/>
    <col min="5391" max="5391" width="4.7109375" style="1948" customWidth="1"/>
    <col min="5392" max="5632" width="11.7109375" style="1948"/>
    <col min="5633" max="5633" width="18.85546875" style="1948" customWidth="1"/>
    <col min="5634" max="5634" width="4.7109375" style="1948" customWidth="1"/>
    <col min="5635" max="5635" width="10.85546875" style="1948" customWidth="1"/>
    <col min="5636" max="5636" width="7.5703125" style="1948" bestFit="1" customWidth="1"/>
    <col min="5637" max="5637" width="11.5703125" style="1948" bestFit="1" customWidth="1"/>
    <col min="5638" max="5639" width="10" style="1948" bestFit="1" customWidth="1"/>
    <col min="5640" max="5640" width="0" style="1948" hidden="1" customWidth="1"/>
    <col min="5641" max="5641" width="10" style="1948" bestFit="1" customWidth="1"/>
    <col min="5642" max="5642" width="0" style="1948" hidden="1" customWidth="1"/>
    <col min="5643" max="5643" width="10" style="1948" bestFit="1" customWidth="1"/>
    <col min="5644" max="5644" width="0" style="1948" hidden="1" customWidth="1"/>
    <col min="5645" max="5645" width="10" style="1948" bestFit="1" customWidth="1"/>
    <col min="5646" max="5646" width="8.5703125" style="1948" bestFit="1" customWidth="1"/>
    <col min="5647" max="5647" width="4.7109375" style="1948" customWidth="1"/>
    <col min="5648" max="5888" width="11.7109375" style="1948"/>
    <col min="5889" max="5889" width="18.85546875" style="1948" customWidth="1"/>
    <col min="5890" max="5890" width="4.7109375" style="1948" customWidth="1"/>
    <col min="5891" max="5891" width="10.85546875" style="1948" customWidth="1"/>
    <col min="5892" max="5892" width="7.5703125" style="1948" bestFit="1" customWidth="1"/>
    <col min="5893" max="5893" width="11.5703125" style="1948" bestFit="1" customWidth="1"/>
    <col min="5894" max="5895" width="10" style="1948" bestFit="1" customWidth="1"/>
    <col min="5896" max="5896" width="0" style="1948" hidden="1" customWidth="1"/>
    <col min="5897" max="5897" width="10" style="1948" bestFit="1" customWidth="1"/>
    <col min="5898" max="5898" width="0" style="1948" hidden="1" customWidth="1"/>
    <col min="5899" max="5899" width="10" style="1948" bestFit="1" customWidth="1"/>
    <col min="5900" max="5900" width="0" style="1948" hidden="1" customWidth="1"/>
    <col min="5901" max="5901" width="10" style="1948" bestFit="1" customWidth="1"/>
    <col min="5902" max="5902" width="8.5703125" style="1948" bestFit="1" customWidth="1"/>
    <col min="5903" max="5903" width="4.7109375" style="1948" customWidth="1"/>
    <col min="5904" max="6144" width="11.7109375" style="1948"/>
    <col min="6145" max="6145" width="18.85546875" style="1948" customWidth="1"/>
    <col min="6146" max="6146" width="4.7109375" style="1948" customWidth="1"/>
    <col min="6147" max="6147" width="10.85546875" style="1948" customWidth="1"/>
    <col min="6148" max="6148" width="7.5703125" style="1948" bestFit="1" customWidth="1"/>
    <col min="6149" max="6149" width="11.5703125" style="1948" bestFit="1" customWidth="1"/>
    <col min="6150" max="6151" width="10" style="1948" bestFit="1" customWidth="1"/>
    <col min="6152" max="6152" width="0" style="1948" hidden="1" customWidth="1"/>
    <col min="6153" max="6153" width="10" style="1948" bestFit="1" customWidth="1"/>
    <col min="6154" max="6154" width="0" style="1948" hidden="1" customWidth="1"/>
    <col min="6155" max="6155" width="10" style="1948" bestFit="1" customWidth="1"/>
    <col min="6156" max="6156" width="0" style="1948" hidden="1" customWidth="1"/>
    <col min="6157" max="6157" width="10" style="1948" bestFit="1" customWidth="1"/>
    <col min="6158" max="6158" width="8.5703125" style="1948" bestFit="1" customWidth="1"/>
    <col min="6159" max="6159" width="4.7109375" style="1948" customWidth="1"/>
    <col min="6160" max="6400" width="11.7109375" style="1948"/>
    <col min="6401" max="6401" width="18.85546875" style="1948" customWidth="1"/>
    <col min="6402" max="6402" width="4.7109375" style="1948" customWidth="1"/>
    <col min="6403" max="6403" width="10.85546875" style="1948" customWidth="1"/>
    <col min="6404" max="6404" width="7.5703125" style="1948" bestFit="1" customWidth="1"/>
    <col min="6405" max="6405" width="11.5703125" style="1948" bestFit="1" customWidth="1"/>
    <col min="6406" max="6407" width="10" style="1948" bestFit="1" customWidth="1"/>
    <col min="6408" max="6408" width="0" style="1948" hidden="1" customWidth="1"/>
    <col min="6409" max="6409" width="10" style="1948" bestFit="1" customWidth="1"/>
    <col min="6410" max="6410" width="0" style="1948" hidden="1" customWidth="1"/>
    <col min="6411" max="6411" width="10" style="1948" bestFit="1" customWidth="1"/>
    <col min="6412" max="6412" width="0" style="1948" hidden="1" customWidth="1"/>
    <col min="6413" max="6413" width="10" style="1948" bestFit="1" customWidth="1"/>
    <col min="6414" max="6414" width="8.5703125" style="1948" bestFit="1" customWidth="1"/>
    <col min="6415" max="6415" width="4.7109375" style="1948" customWidth="1"/>
    <col min="6416" max="6656" width="11.7109375" style="1948"/>
    <col min="6657" max="6657" width="18.85546875" style="1948" customWidth="1"/>
    <col min="6658" max="6658" width="4.7109375" style="1948" customWidth="1"/>
    <col min="6659" max="6659" width="10.85546875" style="1948" customWidth="1"/>
    <col min="6660" max="6660" width="7.5703125" style="1948" bestFit="1" customWidth="1"/>
    <col min="6661" max="6661" width="11.5703125" style="1948" bestFit="1" customWidth="1"/>
    <col min="6662" max="6663" width="10" style="1948" bestFit="1" customWidth="1"/>
    <col min="6664" max="6664" width="0" style="1948" hidden="1" customWidth="1"/>
    <col min="6665" max="6665" width="10" style="1948" bestFit="1" customWidth="1"/>
    <col min="6666" max="6666" width="0" style="1948" hidden="1" customWidth="1"/>
    <col min="6667" max="6667" width="10" style="1948" bestFit="1" customWidth="1"/>
    <col min="6668" max="6668" width="0" style="1948" hidden="1" customWidth="1"/>
    <col min="6669" max="6669" width="10" style="1948" bestFit="1" customWidth="1"/>
    <col min="6670" max="6670" width="8.5703125" style="1948" bestFit="1" customWidth="1"/>
    <col min="6671" max="6671" width="4.7109375" style="1948" customWidth="1"/>
    <col min="6672" max="6912" width="11.7109375" style="1948"/>
    <col min="6913" max="6913" width="18.85546875" style="1948" customWidth="1"/>
    <col min="6914" max="6914" width="4.7109375" style="1948" customWidth="1"/>
    <col min="6915" max="6915" width="10.85546875" style="1948" customWidth="1"/>
    <col min="6916" max="6916" width="7.5703125" style="1948" bestFit="1" customWidth="1"/>
    <col min="6917" max="6917" width="11.5703125" style="1948" bestFit="1" customWidth="1"/>
    <col min="6918" max="6919" width="10" style="1948" bestFit="1" customWidth="1"/>
    <col min="6920" max="6920" width="0" style="1948" hidden="1" customWidth="1"/>
    <col min="6921" max="6921" width="10" style="1948" bestFit="1" customWidth="1"/>
    <col min="6922" max="6922" width="0" style="1948" hidden="1" customWidth="1"/>
    <col min="6923" max="6923" width="10" style="1948" bestFit="1" customWidth="1"/>
    <col min="6924" max="6924" width="0" style="1948" hidden="1" customWidth="1"/>
    <col min="6925" max="6925" width="10" style="1948" bestFit="1" customWidth="1"/>
    <col min="6926" max="6926" width="8.5703125" style="1948" bestFit="1" customWidth="1"/>
    <col min="6927" max="6927" width="4.7109375" style="1948" customWidth="1"/>
    <col min="6928" max="7168" width="11.7109375" style="1948"/>
    <col min="7169" max="7169" width="18.85546875" style="1948" customWidth="1"/>
    <col min="7170" max="7170" width="4.7109375" style="1948" customWidth="1"/>
    <col min="7171" max="7171" width="10.85546875" style="1948" customWidth="1"/>
    <col min="7172" max="7172" width="7.5703125" style="1948" bestFit="1" customWidth="1"/>
    <col min="7173" max="7173" width="11.5703125" style="1948" bestFit="1" customWidth="1"/>
    <col min="7174" max="7175" width="10" style="1948" bestFit="1" customWidth="1"/>
    <col min="7176" max="7176" width="0" style="1948" hidden="1" customWidth="1"/>
    <col min="7177" max="7177" width="10" style="1948" bestFit="1" customWidth="1"/>
    <col min="7178" max="7178" width="0" style="1948" hidden="1" customWidth="1"/>
    <col min="7179" max="7179" width="10" style="1948" bestFit="1" customWidth="1"/>
    <col min="7180" max="7180" width="0" style="1948" hidden="1" customWidth="1"/>
    <col min="7181" max="7181" width="10" style="1948" bestFit="1" customWidth="1"/>
    <col min="7182" max="7182" width="8.5703125" style="1948" bestFit="1" customWidth="1"/>
    <col min="7183" max="7183" width="4.7109375" style="1948" customWidth="1"/>
    <col min="7184" max="7424" width="11.7109375" style="1948"/>
    <col min="7425" max="7425" width="18.85546875" style="1948" customWidth="1"/>
    <col min="7426" max="7426" width="4.7109375" style="1948" customWidth="1"/>
    <col min="7427" max="7427" width="10.85546875" style="1948" customWidth="1"/>
    <col min="7428" max="7428" width="7.5703125" style="1948" bestFit="1" customWidth="1"/>
    <col min="7429" max="7429" width="11.5703125" style="1948" bestFit="1" customWidth="1"/>
    <col min="7430" max="7431" width="10" style="1948" bestFit="1" customWidth="1"/>
    <col min="7432" max="7432" width="0" style="1948" hidden="1" customWidth="1"/>
    <col min="7433" max="7433" width="10" style="1948" bestFit="1" customWidth="1"/>
    <col min="7434" max="7434" width="0" style="1948" hidden="1" customWidth="1"/>
    <col min="7435" max="7435" width="10" style="1948" bestFit="1" customWidth="1"/>
    <col min="7436" max="7436" width="0" style="1948" hidden="1" customWidth="1"/>
    <col min="7437" max="7437" width="10" style="1948" bestFit="1" customWidth="1"/>
    <col min="7438" max="7438" width="8.5703125" style="1948" bestFit="1" customWidth="1"/>
    <col min="7439" max="7439" width="4.7109375" style="1948" customWidth="1"/>
    <col min="7440" max="7680" width="11.7109375" style="1948"/>
    <col min="7681" max="7681" width="18.85546875" style="1948" customWidth="1"/>
    <col min="7682" max="7682" width="4.7109375" style="1948" customWidth="1"/>
    <col min="7683" max="7683" width="10.85546875" style="1948" customWidth="1"/>
    <col min="7684" max="7684" width="7.5703125" style="1948" bestFit="1" customWidth="1"/>
    <col min="7685" max="7685" width="11.5703125" style="1948" bestFit="1" customWidth="1"/>
    <col min="7686" max="7687" width="10" style="1948" bestFit="1" customWidth="1"/>
    <col min="7688" max="7688" width="0" style="1948" hidden="1" customWidth="1"/>
    <col min="7689" max="7689" width="10" style="1948" bestFit="1" customWidth="1"/>
    <col min="7690" max="7690" width="0" style="1948" hidden="1" customWidth="1"/>
    <col min="7691" max="7691" width="10" style="1948" bestFit="1" customWidth="1"/>
    <col min="7692" max="7692" width="0" style="1948" hidden="1" customWidth="1"/>
    <col min="7693" max="7693" width="10" style="1948" bestFit="1" customWidth="1"/>
    <col min="7694" max="7694" width="8.5703125" style="1948" bestFit="1" customWidth="1"/>
    <col min="7695" max="7695" width="4.7109375" style="1948" customWidth="1"/>
    <col min="7696" max="7936" width="11.7109375" style="1948"/>
    <col min="7937" max="7937" width="18.85546875" style="1948" customWidth="1"/>
    <col min="7938" max="7938" width="4.7109375" style="1948" customWidth="1"/>
    <col min="7939" max="7939" width="10.85546875" style="1948" customWidth="1"/>
    <col min="7940" max="7940" width="7.5703125" style="1948" bestFit="1" customWidth="1"/>
    <col min="7941" max="7941" width="11.5703125" style="1948" bestFit="1" customWidth="1"/>
    <col min="7942" max="7943" width="10" style="1948" bestFit="1" customWidth="1"/>
    <col min="7944" max="7944" width="0" style="1948" hidden="1" customWidth="1"/>
    <col min="7945" max="7945" width="10" style="1948" bestFit="1" customWidth="1"/>
    <col min="7946" max="7946" width="0" style="1948" hidden="1" customWidth="1"/>
    <col min="7947" max="7947" width="10" style="1948" bestFit="1" customWidth="1"/>
    <col min="7948" max="7948" width="0" style="1948" hidden="1" customWidth="1"/>
    <col min="7949" max="7949" width="10" style="1948" bestFit="1" customWidth="1"/>
    <col min="7950" max="7950" width="8.5703125" style="1948" bestFit="1" customWidth="1"/>
    <col min="7951" max="7951" width="4.7109375" style="1948" customWidth="1"/>
    <col min="7952" max="8192" width="11.7109375" style="1948"/>
    <col min="8193" max="8193" width="18.85546875" style="1948" customWidth="1"/>
    <col min="8194" max="8194" width="4.7109375" style="1948" customWidth="1"/>
    <col min="8195" max="8195" width="10.85546875" style="1948" customWidth="1"/>
    <col min="8196" max="8196" width="7.5703125" style="1948" bestFit="1" customWidth="1"/>
    <col min="8197" max="8197" width="11.5703125" style="1948" bestFit="1" customWidth="1"/>
    <col min="8198" max="8199" width="10" style="1948" bestFit="1" customWidth="1"/>
    <col min="8200" max="8200" width="0" style="1948" hidden="1" customWidth="1"/>
    <col min="8201" max="8201" width="10" style="1948" bestFit="1" customWidth="1"/>
    <col min="8202" max="8202" width="0" style="1948" hidden="1" customWidth="1"/>
    <col min="8203" max="8203" width="10" style="1948" bestFit="1" customWidth="1"/>
    <col min="8204" max="8204" width="0" style="1948" hidden="1" customWidth="1"/>
    <col min="8205" max="8205" width="10" style="1948" bestFit="1" customWidth="1"/>
    <col min="8206" max="8206" width="8.5703125" style="1948" bestFit="1" customWidth="1"/>
    <col min="8207" max="8207" width="4.7109375" style="1948" customWidth="1"/>
    <col min="8208" max="8448" width="11.7109375" style="1948"/>
    <col min="8449" max="8449" width="18.85546875" style="1948" customWidth="1"/>
    <col min="8450" max="8450" width="4.7109375" style="1948" customWidth="1"/>
    <col min="8451" max="8451" width="10.85546875" style="1948" customWidth="1"/>
    <col min="8452" max="8452" width="7.5703125" style="1948" bestFit="1" customWidth="1"/>
    <col min="8453" max="8453" width="11.5703125" style="1948" bestFit="1" customWidth="1"/>
    <col min="8454" max="8455" width="10" style="1948" bestFit="1" customWidth="1"/>
    <col min="8456" max="8456" width="0" style="1948" hidden="1" customWidth="1"/>
    <col min="8457" max="8457" width="10" style="1948" bestFit="1" customWidth="1"/>
    <col min="8458" max="8458" width="0" style="1948" hidden="1" customWidth="1"/>
    <col min="8459" max="8459" width="10" style="1948" bestFit="1" customWidth="1"/>
    <col min="8460" max="8460" width="0" style="1948" hidden="1" customWidth="1"/>
    <col min="8461" max="8461" width="10" style="1948" bestFit="1" customWidth="1"/>
    <col min="8462" max="8462" width="8.5703125" style="1948" bestFit="1" customWidth="1"/>
    <col min="8463" max="8463" width="4.7109375" style="1948" customWidth="1"/>
    <col min="8464" max="8704" width="11.7109375" style="1948"/>
    <col min="8705" max="8705" width="18.85546875" style="1948" customWidth="1"/>
    <col min="8706" max="8706" width="4.7109375" style="1948" customWidth="1"/>
    <col min="8707" max="8707" width="10.85546875" style="1948" customWidth="1"/>
    <col min="8708" max="8708" width="7.5703125" style="1948" bestFit="1" customWidth="1"/>
    <col min="8709" max="8709" width="11.5703125" style="1948" bestFit="1" customWidth="1"/>
    <col min="8710" max="8711" width="10" style="1948" bestFit="1" customWidth="1"/>
    <col min="8712" max="8712" width="0" style="1948" hidden="1" customWidth="1"/>
    <col min="8713" max="8713" width="10" style="1948" bestFit="1" customWidth="1"/>
    <col min="8714" max="8714" width="0" style="1948" hidden="1" customWidth="1"/>
    <col min="8715" max="8715" width="10" style="1948" bestFit="1" customWidth="1"/>
    <col min="8716" max="8716" width="0" style="1948" hidden="1" customWidth="1"/>
    <col min="8717" max="8717" width="10" style="1948" bestFit="1" customWidth="1"/>
    <col min="8718" max="8718" width="8.5703125" style="1948" bestFit="1" customWidth="1"/>
    <col min="8719" max="8719" width="4.7109375" style="1948" customWidth="1"/>
    <col min="8720" max="8960" width="11.7109375" style="1948"/>
    <col min="8961" max="8961" width="18.85546875" style="1948" customWidth="1"/>
    <col min="8962" max="8962" width="4.7109375" style="1948" customWidth="1"/>
    <col min="8963" max="8963" width="10.85546875" style="1948" customWidth="1"/>
    <col min="8964" max="8964" width="7.5703125" style="1948" bestFit="1" customWidth="1"/>
    <col min="8965" max="8965" width="11.5703125" style="1948" bestFit="1" customWidth="1"/>
    <col min="8966" max="8967" width="10" style="1948" bestFit="1" customWidth="1"/>
    <col min="8968" max="8968" width="0" style="1948" hidden="1" customWidth="1"/>
    <col min="8969" max="8969" width="10" style="1948" bestFit="1" customWidth="1"/>
    <col min="8970" max="8970" width="0" style="1948" hidden="1" customWidth="1"/>
    <col min="8971" max="8971" width="10" style="1948" bestFit="1" customWidth="1"/>
    <col min="8972" max="8972" width="0" style="1948" hidden="1" customWidth="1"/>
    <col min="8973" max="8973" width="10" style="1948" bestFit="1" customWidth="1"/>
    <col min="8974" max="8974" width="8.5703125" style="1948" bestFit="1" customWidth="1"/>
    <col min="8975" max="8975" width="4.7109375" style="1948" customWidth="1"/>
    <col min="8976" max="9216" width="11.7109375" style="1948"/>
    <col min="9217" max="9217" width="18.85546875" style="1948" customWidth="1"/>
    <col min="9218" max="9218" width="4.7109375" style="1948" customWidth="1"/>
    <col min="9219" max="9219" width="10.85546875" style="1948" customWidth="1"/>
    <col min="9220" max="9220" width="7.5703125" style="1948" bestFit="1" customWidth="1"/>
    <col min="9221" max="9221" width="11.5703125" style="1948" bestFit="1" customWidth="1"/>
    <col min="9222" max="9223" width="10" style="1948" bestFit="1" customWidth="1"/>
    <col min="9224" max="9224" width="0" style="1948" hidden="1" customWidth="1"/>
    <col min="9225" max="9225" width="10" style="1948" bestFit="1" customWidth="1"/>
    <col min="9226" max="9226" width="0" style="1948" hidden="1" customWidth="1"/>
    <col min="9227" max="9227" width="10" style="1948" bestFit="1" customWidth="1"/>
    <col min="9228" max="9228" width="0" style="1948" hidden="1" customWidth="1"/>
    <col min="9229" max="9229" width="10" style="1948" bestFit="1" customWidth="1"/>
    <col min="9230" max="9230" width="8.5703125" style="1948" bestFit="1" customWidth="1"/>
    <col min="9231" max="9231" width="4.7109375" style="1948" customWidth="1"/>
    <col min="9232" max="9472" width="11.7109375" style="1948"/>
    <col min="9473" max="9473" width="18.85546875" style="1948" customWidth="1"/>
    <col min="9474" max="9474" width="4.7109375" style="1948" customWidth="1"/>
    <col min="9475" max="9475" width="10.85546875" style="1948" customWidth="1"/>
    <col min="9476" max="9476" width="7.5703125" style="1948" bestFit="1" customWidth="1"/>
    <col min="9477" max="9477" width="11.5703125" style="1948" bestFit="1" customWidth="1"/>
    <col min="9478" max="9479" width="10" style="1948" bestFit="1" customWidth="1"/>
    <col min="9480" max="9480" width="0" style="1948" hidden="1" customWidth="1"/>
    <col min="9481" max="9481" width="10" style="1948" bestFit="1" customWidth="1"/>
    <col min="9482" max="9482" width="0" style="1948" hidden="1" customWidth="1"/>
    <col min="9483" max="9483" width="10" style="1948" bestFit="1" customWidth="1"/>
    <col min="9484" max="9484" width="0" style="1948" hidden="1" customWidth="1"/>
    <col min="9485" max="9485" width="10" style="1948" bestFit="1" customWidth="1"/>
    <col min="9486" max="9486" width="8.5703125" style="1948" bestFit="1" customWidth="1"/>
    <col min="9487" max="9487" width="4.7109375" style="1948" customWidth="1"/>
    <col min="9488" max="9728" width="11.7109375" style="1948"/>
    <col min="9729" max="9729" width="18.85546875" style="1948" customWidth="1"/>
    <col min="9730" max="9730" width="4.7109375" style="1948" customWidth="1"/>
    <col min="9731" max="9731" width="10.85546875" style="1948" customWidth="1"/>
    <col min="9732" max="9732" width="7.5703125" style="1948" bestFit="1" customWidth="1"/>
    <col min="9733" max="9733" width="11.5703125" style="1948" bestFit="1" customWidth="1"/>
    <col min="9734" max="9735" width="10" style="1948" bestFit="1" customWidth="1"/>
    <col min="9736" max="9736" width="0" style="1948" hidden="1" customWidth="1"/>
    <col min="9737" max="9737" width="10" style="1948" bestFit="1" customWidth="1"/>
    <col min="9738" max="9738" width="0" style="1948" hidden="1" customWidth="1"/>
    <col min="9739" max="9739" width="10" style="1948" bestFit="1" customWidth="1"/>
    <col min="9740" max="9740" width="0" style="1948" hidden="1" customWidth="1"/>
    <col min="9741" max="9741" width="10" style="1948" bestFit="1" customWidth="1"/>
    <col min="9742" max="9742" width="8.5703125" style="1948" bestFit="1" customWidth="1"/>
    <col min="9743" max="9743" width="4.7109375" style="1948" customWidth="1"/>
    <col min="9744" max="9984" width="11.7109375" style="1948"/>
    <col min="9985" max="9985" width="18.85546875" style="1948" customWidth="1"/>
    <col min="9986" max="9986" width="4.7109375" style="1948" customWidth="1"/>
    <col min="9987" max="9987" width="10.85546875" style="1948" customWidth="1"/>
    <col min="9988" max="9988" width="7.5703125" style="1948" bestFit="1" customWidth="1"/>
    <col min="9989" max="9989" width="11.5703125" style="1948" bestFit="1" customWidth="1"/>
    <col min="9990" max="9991" width="10" style="1948" bestFit="1" customWidth="1"/>
    <col min="9992" max="9992" width="0" style="1948" hidden="1" customWidth="1"/>
    <col min="9993" max="9993" width="10" style="1948" bestFit="1" customWidth="1"/>
    <col min="9994" max="9994" width="0" style="1948" hidden="1" customWidth="1"/>
    <col min="9995" max="9995" width="10" style="1948" bestFit="1" customWidth="1"/>
    <col min="9996" max="9996" width="0" style="1948" hidden="1" customWidth="1"/>
    <col min="9997" max="9997" width="10" style="1948" bestFit="1" customWidth="1"/>
    <col min="9998" max="9998" width="8.5703125" style="1948" bestFit="1" customWidth="1"/>
    <col min="9999" max="9999" width="4.7109375" style="1948" customWidth="1"/>
    <col min="10000" max="10240" width="11.7109375" style="1948"/>
    <col min="10241" max="10241" width="18.85546875" style="1948" customWidth="1"/>
    <col min="10242" max="10242" width="4.7109375" style="1948" customWidth="1"/>
    <col min="10243" max="10243" width="10.85546875" style="1948" customWidth="1"/>
    <col min="10244" max="10244" width="7.5703125" style="1948" bestFit="1" customWidth="1"/>
    <col min="10245" max="10245" width="11.5703125" style="1948" bestFit="1" customWidth="1"/>
    <col min="10246" max="10247" width="10" style="1948" bestFit="1" customWidth="1"/>
    <col min="10248" max="10248" width="0" style="1948" hidden="1" customWidth="1"/>
    <col min="10249" max="10249" width="10" style="1948" bestFit="1" customWidth="1"/>
    <col min="10250" max="10250" width="0" style="1948" hidden="1" customWidth="1"/>
    <col min="10251" max="10251" width="10" style="1948" bestFit="1" customWidth="1"/>
    <col min="10252" max="10252" width="0" style="1948" hidden="1" customWidth="1"/>
    <col min="10253" max="10253" width="10" style="1948" bestFit="1" customWidth="1"/>
    <col min="10254" max="10254" width="8.5703125" style="1948" bestFit="1" customWidth="1"/>
    <col min="10255" max="10255" width="4.7109375" style="1948" customWidth="1"/>
    <col min="10256" max="10496" width="11.7109375" style="1948"/>
    <col min="10497" max="10497" width="18.85546875" style="1948" customWidth="1"/>
    <col min="10498" max="10498" width="4.7109375" style="1948" customWidth="1"/>
    <col min="10499" max="10499" width="10.85546875" style="1948" customWidth="1"/>
    <col min="10500" max="10500" width="7.5703125" style="1948" bestFit="1" customWidth="1"/>
    <col min="10501" max="10501" width="11.5703125" style="1948" bestFit="1" customWidth="1"/>
    <col min="10502" max="10503" width="10" style="1948" bestFit="1" customWidth="1"/>
    <col min="10504" max="10504" width="0" style="1948" hidden="1" customWidth="1"/>
    <col min="10505" max="10505" width="10" style="1948" bestFit="1" customWidth="1"/>
    <col min="10506" max="10506" width="0" style="1948" hidden="1" customWidth="1"/>
    <col min="10507" max="10507" width="10" style="1948" bestFit="1" customWidth="1"/>
    <col min="10508" max="10508" width="0" style="1948" hidden="1" customWidth="1"/>
    <col min="10509" max="10509" width="10" style="1948" bestFit="1" customWidth="1"/>
    <col min="10510" max="10510" width="8.5703125" style="1948" bestFit="1" customWidth="1"/>
    <col min="10511" max="10511" width="4.7109375" style="1948" customWidth="1"/>
    <col min="10512" max="10752" width="11.7109375" style="1948"/>
    <col min="10753" max="10753" width="18.85546875" style="1948" customWidth="1"/>
    <col min="10754" max="10754" width="4.7109375" style="1948" customWidth="1"/>
    <col min="10755" max="10755" width="10.85546875" style="1948" customWidth="1"/>
    <col min="10756" max="10756" width="7.5703125" style="1948" bestFit="1" customWidth="1"/>
    <col min="10757" max="10757" width="11.5703125" style="1948" bestFit="1" customWidth="1"/>
    <col min="10758" max="10759" width="10" style="1948" bestFit="1" customWidth="1"/>
    <col min="10760" max="10760" width="0" style="1948" hidden="1" customWidth="1"/>
    <col min="10761" max="10761" width="10" style="1948" bestFit="1" customWidth="1"/>
    <col min="10762" max="10762" width="0" style="1948" hidden="1" customWidth="1"/>
    <col min="10763" max="10763" width="10" style="1948" bestFit="1" customWidth="1"/>
    <col min="10764" max="10764" width="0" style="1948" hidden="1" customWidth="1"/>
    <col min="10765" max="10765" width="10" style="1948" bestFit="1" customWidth="1"/>
    <col min="10766" max="10766" width="8.5703125" style="1948" bestFit="1" customWidth="1"/>
    <col min="10767" max="10767" width="4.7109375" style="1948" customWidth="1"/>
    <col min="10768" max="11008" width="11.7109375" style="1948"/>
    <col min="11009" max="11009" width="18.85546875" style="1948" customWidth="1"/>
    <col min="11010" max="11010" width="4.7109375" style="1948" customWidth="1"/>
    <col min="11011" max="11011" width="10.85546875" style="1948" customWidth="1"/>
    <col min="11012" max="11012" width="7.5703125" style="1948" bestFit="1" customWidth="1"/>
    <col min="11013" max="11013" width="11.5703125" style="1948" bestFit="1" customWidth="1"/>
    <col min="11014" max="11015" width="10" style="1948" bestFit="1" customWidth="1"/>
    <col min="11016" max="11016" width="0" style="1948" hidden="1" customWidth="1"/>
    <col min="11017" max="11017" width="10" style="1948" bestFit="1" customWidth="1"/>
    <col min="11018" max="11018" width="0" style="1948" hidden="1" customWidth="1"/>
    <col min="11019" max="11019" width="10" style="1948" bestFit="1" customWidth="1"/>
    <col min="11020" max="11020" width="0" style="1948" hidden="1" customWidth="1"/>
    <col min="11021" max="11021" width="10" style="1948" bestFit="1" customWidth="1"/>
    <col min="11022" max="11022" width="8.5703125" style="1948" bestFit="1" customWidth="1"/>
    <col min="11023" max="11023" width="4.7109375" style="1948" customWidth="1"/>
    <col min="11024" max="11264" width="11.7109375" style="1948"/>
    <col min="11265" max="11265" width="18.85546875" style="1948" customWidth="1"/>
    <col min="11266" max="11266" width="4.7109375" style="1948" customWidth="1"/>
    <col min="11267" max="11267" width="10.85546875" style="1948" customWidth="1"/>
    <col min="11268" max="11268" width="7.5703125" style="1948" bestFit="1" customWidth="1"/>
    <col min="11269" max="11269" width="11.5703125" style="1948" bestFit="1" customWidth="1"/>
    <col min="11270" max="11271" width="10" style="1948" bestFit="1" customWidth="1"/>
    <col min="11272" max="11272" width="0" style="1948" hidden="1" customWidth="1"/>
    <col min="11273" max="11273" width="10" style="1948" bestFit="1" customWidth="1"/>
    <col min="11274" max="11274" width="0" style="1948" hidden="1" customWidth="1"/>
    <col min="11275" max="11275" width="10" style="1948" bestFit="1" customWidth="1"/>
    <col min="11276" max="11276" width="0" style="1948" hidden="1" customWidth="1"/>
    <col min="11277" max="11277" width="10" style="1948" bestFit="1" customWidth="1"/>
    <col min="11278" max="11278" width="8.5703125" style="1948" bestFit="1" customWidth="1"/>
    <col min="11279" max="11279" width="4.7109375" style="1948" customWidth="1"/>
    <col min="11280" max="11520" width="11.7109375" style="1948"/>
    <col min="11521" max="11521" width="18.85546875" style="1948" customWidth="1"/>
    <col min="11522" max="11522" width="4.7109375" style="1948" customWidth="1"/>
    <col min="11523" max="11523" width="10.85546875" style="1948" customWidth="1"/>
    <col min="11524" max="11524" width="7.5703125" style="1948" bestFit="1" customWidth="1"/>
    <col min="11525" max="11525" width="11.5703125" style="1948" bestFit="1" customWidth="1"/>
    <col min="11526" max="11527" width="10" style="1948" bestFit="1" customWidth="1"/>
    <col min="11528" max="11528" width="0" style="1948" hidden="1" customWidth="1"/>
    <col min="11529" max="11529" width="10" style="1948" bestFit="1" customWidth="1"/>
    <col min="11530" max="11530" width="0" style="1948" hidden="1" customWidth="1"/>
    <col min="11531" max="11531" width="10" style="1948" bestFit="1" customWidth="1"/>
    <col min="11532" max="11532" width="0" style="1948" hidden="1" customWidth="1"/>
    <col min="11533" max="11533" width="10" style="1948" bestFit="1" customWidth="1"/>
    <col min="11534" max="11534" width="8.5703125" style="1948" bestFit="1" customWidth="1"/>
    <col min="11535" max="11535" width="4.7109375" style="1948" customWidth="1"/>
    <col min="11536" max="11776" width="11.7109375" style="1948"/>
    <col min="11777" max="11777" width="18.85546875" style="1948" customWidth="1"/>
    <col min="11778" max="11778" width="4.7109375" style="1948" customWidth="1"/>
    <col min="11779" max="11779" width="10.85546875" style="1948" customWidth="1"/>
    <col min="11780" max="11780" width="7.5703125" style="1948" bestFit="1" customWidth="1"/>
    <col min="11781" max="11781" width="11.5703125" style="1948" bestFit="1" customWidth="1"/>
    <col min="11782" max="11783" width="10" style="1948" bestFit="1" customWidth="1"/>
    <col min="11784" max="11784" width="0" style="1948" hidden="1" customWidth="1"/>
    <col min="11785" max="11785" width="10" style="1948" bestFit="1" customWidth="1"/>
    <col min="11786" max="11786" width="0" style="1948" hidden="1" customWidth="1"/>
    <col min="11787" max="11787" width="10" style="1948" bestFit="1" customWidth="1"/>
    <col min="11788" max="11788" width="0" style="1948" hidden="1" customWidth="1"/>
    <col min="11789" max="11789" width="10" style="1948" bestFit="1" customWidth="1"/>
    <col min="11790" max="11790" width="8.5703125" style="1948" bestFit="1" customWidth="1"/>
    <col min="11791" max="11791" width="4.7109375" style="1948" customWidth="1"/>
    <col min="11792" max="12032" width="11.7109375" style="1948"/>
    <col min="12033" max="12033" width="18.85546875" style="1948" customWidth="1"/>
    <col min="12034" max="12034" width="4.7109375" style="1948" customWidth="1"/>
    <col min="12035" max="12035" width="10.85546875" style="1948" customWidth="1"/>
    <col min="12036" max="12036" width="7.5703125" style="1948" bestFit="1" customWidth="1"/>
    <col min="12037" max="12037" width="11.5703125" style="1948" bestFit="1" customWidth="1"/>
    <col min="12038" max="12039" width="10" style="1948" bestFit="1" customWidth="1"/>
    <col min="12040" max="12040" width="0" style="1948" hidden="1" customWidth="1"/>
    <col min="12041" max="12041" width="10" style="1948" bestFit="1" customWidth="1"/>
    <col min="12042" max="12042" width="0" style="1948" hidden="1" customWidth="1"/>
    <col min="12043" max="12043" width="10" style="1948" bestFit="1" customWidth="1"/>
    <col min="12044" max="12044" width="0" style="1948" hidden="1" customWidth="1"/>
    <col min="12045" max="12045" width="10" style="1948" bestFit="1" customWidth="1"/>
    <col min="12046" max="12046" width="8.5703125" style="1948" bestFit="1" customWidth="1"/>
    <col min="12047" max="12047" width="4.7109375" style="1948" customWidth="1"/>
    <col min="12048" max="12288" width="11.7109375" style="1948"/>
    <col min="12289" max="12289" width="18.85546875" style="1948" customWidth="1"/>
    <col min="12290" max="12290" width="4.7109375" style="1948" customWidth="1"/>
    <col min="12291" max="12291" width="10.85546875" style="1948" customWidth="1"/>
    <col min="12292" max="12292" width="7.5703125" style="1948" bestFit="1" customWidth="1"/>
    <col min="12293" max="12293" width="11.5703125" style="1948" bestFit="1" customWidth="1"/>
    <col min="12294" max="12295" width="10" style="1948" bestFit="1" customWidth="1"/>
    <col min="12296" max="12296" width="0" style="1948" hidden="1" customWidth="1"/>
    <col min="12297" max="12297" width="10" style="1948" bestFit="1" customWidth="1"/>
    <col min="12298" max="12298" width="0" style="1948" hidden="1" customWidth="1"/>
    <col min="12299" max="12299" width="10" style="1948" bestFit="1" customWidth="1"/>
    <col min="12300" max="12300" width="0" style="1948" hidden="1" customWidth="1"/>
    <col min="12301" max="12301" width="10" style="1948" bestFit="1" customWidth="1"/>
    <col min="12302" max="12302" width="8.5703125" style="1948" bestFit="1" customWidth="1"/>
    <col min="12303" max="12303" width="4.7109375" style="1948" customWidth="1"/>
    <col min="12304" max="12544" width="11.7109375" style="1948"/>
    <col min="12545" max="12545" width="18.85546875" style="1948" customWidth="1"/>
    <col min="12546" max="12546" width="4.7109375" style="1948" customWidth="1"/>
    <col min="12547" max="12547" width="10.85546875" style="1948" customWidth="1"/>
    <col min="12548" max="12548" width="7.5703125" style="1948" bestFit="1" customWidth="1"/>
    <col min="12549" max="12549" width="11.5703125" style="1948" bestFit="1" customWidth="1"/>
    <col min="12550" max="12551" width="10" style="1948" bestFit="1" customWidth="1"/>
    <col min="12552" max="12552" width="0" style="1948" hidden="1" customWidth="1"/>
    <col min="12553" max="12553" width="10" style="1948" bestFit="1" customWidth="1"/>
    <col min="12554" max="12554" width="0" style="1948" hidden="1" customWidth="1"/>
    <col min="12555" max="12555" width="10" style="1948" bestFit="1" customWidth="1"/>
    <col min="12556" max="12556" width="0" style="1948" hidden="1" customWidth="1"/>
    <col min="12557" max="12557" width="10" style="1948" bestFit="1" customWidth="1"/>
    <col min="12558" max="12558" width="8.5703125" style="1948" bestFit="1" customWidth="1"/>
    <col min="12559" max="12559" width="4.7109375" style="1948" customWidth="1"/>
    <col min="12560" max="12800" width="11.7109375" style="1948"/>
    <col min="12801" max="12801" width="18.85546875" style="1948" customWidth="1"/>
    <col min="12802" max="12802" width="4.7109375" style="1948" customWidth="1"/>
    <col min="12803" max="12803" width="10.85546875" style="1948" customWidth="1"/>
    <col min="12804" max="12804" width="7.5703125" style="1948" bestFit="1" customWidth="1"/>
    <col min="12805" max="12805" width="11.5703125" style="1948" bestFit="1" customWidth="1"/>
    <col min="12806" max="12807" width="10" style="1948" bestFit="1" customWidth="1"/>
    <col min="12808" max="12808" width="0" style="1948" hidden="1" customWidth="1"/>
    <col min="12809" max="12809" width="10" style="1948" bestFit="1" customWidth="1"/>
    <col min="12810" max="12810" width="0" style="1948" hidden="1" customWidth="1"/>
    <col min="12811" max="12811" width="10" style="1948" bestFit="1" customWidth="1"/>
    <col min="12812" max="12812" width="0" style="1948" hidden="1" customWidth="1"/>
    <col min="12813" max="12813" width="10" style="1948" bestFit="1" customWidth="1"/>
    <col min="12814" max="12814" width="8.5703125" style="1948" bestFit="1" customWidth="1"/>
    <col min="12815" max="12815" width="4.7109375" style="1948" customWidth="1"/>
    <col min="12816" max="13056" width="11.7109375" style="1948"/>
    <col min="13057" max="13057" width="18.85546875" style="1948" customWidth="1"/>
    <col min="13058" max="13058" width="4.7109375" style="1948" customWidth="1"/>
    <col min="13059" max="13059" width="10.85546875" style="1948" customWidth="1"/>
    <col min="13060" max="13060" width="7.5703125" style="1948" bestFit="1" customWidth="1"/>
    <col min="13061" max="13061" width="11.5703125" style="1948" bestFit="1" customWidth="1"/>
    <col min="13062" max="13063" width="10" style="1948" bestFit="1" customWidth="1"/>
    <col min="13064" max="13064" width="0" style="1948" hidden="1" customWidth="1"/>
    <col min="13065" max="13065" width="10" style="1948" bestFit="1" customWidth="1"/>
    <col min="13066" max="13066" width="0" style="1948" hidden="1" customWidth="1"/>
    <col min="13067" max="13067" width="10" style="1948" bestFit="1" customWidth="1"/>
    <col min="13068" max="13068" width="0" style="1948" hidden="1" customWidth="1"/>
    <col min="13069" max="13069" width="10" style="1948" bestFit="1" customWidth="1"/>
    <col min="13070" max="13070" width="8.5703125" style="1948" bestFit="1" customWidth="1"/>
    <col min="13071" max="13071" width="4.7109375" style="1948" customWidth="1"/>
    <col min="13072" max="13312" width="11.7109375" style="1948"/>
    <col min="13313" max="13313" width="18.85546875" style="1948" customWidth="1"/>
    <col min="13314" max="13314" width="4.7109375" style="1948" customWidth="1"/>
    <col min="13315" max="13315" width="10.85546875" style="1948" customWidth="1"/>
    <col min="13316" max="13316" width="7.5703125" style="1948" bestFit="1" customWidth="1"/>
    <col min="13317" max="13317" width="11.5703125" style="1948" bestFit="1" customWidth="1"/>
    <col min="13318" max="13319" width="10" style="1948" bestFit="1" customWidth="1"/>
    <col min="13320" max="13320" width="0" style="1948" hidden="1" customWidth="1"/>
    <col min="13321" max="13321" width="10" style="1948" bestFit="1" customWidth="1"/>
    <col min="13322" max="13322" width="0" style="1948" hidden="1" customWidth="1"/>
    <col min="13323" max="13323" width="10" style="1948" bestFit="1" customWidth="1"/>
    <col min="13324" max="13324" width="0" style="1948" hidden="1" customWidth="1"/>
    <col min="13325" max="13325" width="10" style="1948" bestFit="1" customWidth="1"/>
    <col min="13326" max="13326" width="8.5703125" style="1948" bestFit="1" customWidth="1"/>
    <col min="13327" max="13327" width="4.7109375" style="1948" customWidth="1"/>
    <col min="13328" max="13568" width="11.7109375" style="1948"/>
    <col min="13569" max="13569" width="18.85546875" style="1948" customWidth="1"/>
    <col min="13570" max="13570" width="4.7109375" style="1948" customWidth="1"/>
    <col min="13571" max="13571" width="10.85546875" style="1948" customWidth="1"/>
    <col min="13572" max="13572" width="7.5703125" style="1948" bestFit="1" customWidth="1"/>
    <col min="13573" max="13573" width="11.5703125" style="1948" bestFit="1" customWidth="1"/>
    <col min="13574" max="13575" width="10" style="1948" bestFit="1" customWidth="1"/>
    <col min="13576" max="13576" width="0" style="1948" hidden="1" customWidth="1"/>
    <col min="13577" max="13577" width="10" style="1948" bestFit="1" customWidth="1"/>
    <col min="13578" max="13578" width="0" style="1948" hidden="1" customWidth="1"/>
    <col min="13579" max="13579" width="10" style="1948" bestFit="1" customWidth="1"/>
    <col min="13580" max="13580" width="0" style="1948" hidden="1" customWidth="1"/>
    <col min="13581" max="13581" width="10" style="1948" bestFit="1" customWidth="1"/>
    <col min="13582" max="13582" width="8.5703125" style="1948" bestFit="1" customWidth="1"/>
    <col min="13583" max="13583" width="4.7109375" style="1948" customWidth="1"/>
    <col min="13584" max="13824" width="11.7109375" style="1948"/>
    <col min="13825" max="13825" width="18.85546875" style="1948" customWidth="1"/>
    <col min="13826" max="13826" width="4.7109375" style="1948" customWidth="1"/>
    <col min="13827" max="13827" width="10.85546875" style="1948" customWidth="1"/>
    <col min="13828" max="13828" width="7.5703125" style="1948" bestFit="1" customWidth="1"/>
    <col min="13829" max="13829" width="11.5703125" style="1948" bestFit="1" customWidth="1"/>
    <col min="13830" max="13831" width="10" style="1948" bestFit="1" customWidth="1"/>
    <col min="13832" max="13832" width="0" style="1948" hidden="1" customWidth="1"/>
    <col min="13833" max="13833" width="10" style="1948" bestFit="1" customWidth="1"/>
    <col min="13834" max="13834" width="0" style="1948" hidden="1" customWidth="1"/>
    <col min="13835" max="13835" width="10" style="1948" bestFit="1" customWidth="1"/>
    <col min="13836" max="13836" width="0" style="1948" hidden="1" customWidth="1"/>
    <col min="13837" max="13837" width="10" style="1948" bestFit="1" customWidth="1"/>
    <col min="13838" max="13838" width="8.5703125" style="1948" bestFit="1" customWidth="1"/>
    <col min="13839" max="13839" width="4.7109375" style="1948" customWidth="1"/>
    <col min="13840" max="14080" width="11.7109375" style="1948"/>
    <col min="14081" max="14081" width="18.85546875" style="1948" customWidth="1"/>
    <col min="14082" max="14082" width="4.7109375" style="1948" customWidth="1"/>
    <col min="14083" max="14083" width="10.85546875" style="1948" customWidth="1"/>
    <col min="14084" max="14084" width="7.5703125" style="1948" bestFit="1" customWidth="1"/>
    <col min="14085" max="14085" width="11.5703125" style="1948" bestFit="1" customWidth="1"/>
    <col min="14086" max="14087" width="10" style="1948" bestFit="1" customWidth="1"/>
    <col min="14088" max="14088" width="0" style="1948" hidden="1" customWidth="1"/>
    <col min="14089" max="14089" width="10" style="1948" bestFit="1" customWidth="1"/>
    <col min="14090" max="14090" width="0" style="1948" hidden="1" customWidth="1"/>
    <col min="14091" max="14091" width="10" style="1948" bestFit="1" customWidth="1"/>
    <col min="14092" max="14092" width="0" style="1948" hidden="1" customWidth="1"/>
    <col min="14093" max="14093" width="10" style="1948" bestFit="1" customWidth="1"/>
    <col min="14094" max="14094" width="8.5703125" style="1948" bestFit="1" customWidth="1"/>
    <col min="14095" max="14095" width="4.7109375" style="1948" customWidth="1"/>
    <col min="14096" max="14336" width="11.7109375" style="1948"/>
    <col min="14337" max="14337" width="18.85546875" style="1948" customWidth="1"/>
    <col min="14338" max="14338" width="4.7109375" style="1948" customWidth="1"/>
    <col min="14339" max="14339" width="10.85546875" style="1948" customWidth="1"/>
    <col min="14340" max="14340" width="7.5703125" style="1948" bestFit="1" customWidth="1"/>
    <col min="14341" max="14341" width="11.5703125" style="1948" bestFit="1" customWidth="1"/>
    <col min="14342" max="14343" width="10" style="1948" bestFit="1" customWidth="1"/>
    <col min="14344" max="14344" width="0" style="1948" hidden="1" customWidth="1"/>
    <col min="14345" max="14345" width="10" style="1948" bestFit="1" customWidth="1"/>
    <col min="14346" max="14346" width="0" style="1948" hidden="1" customWidth="1"/>
    <col min="14347" max="14347" width="10" style="1948" bestFit="1" customWidth="1"/>
    <col min="14348" max="14348" width="0" style="1948" hidden="1" customWidth="1"/>
    <col min="14349" max="14349" width="10" style="1948" bestFit="1" customWidth="1"/>
    <col min="14350" max="14350" width="8.5703125" style="1948" bestFit="1" customWidth="1"/>
    <col min="14351" max="14351" width="4.7109375" style="1948" customWidth="1"/>
    <col min="14352" max="14592" width="11.7109375" style="1948"/>
    <col min="14593" max="14593" width="18.85546875" style="1948" customWidth="1"/>
    <col min="14594" max="14594" width="4.7109375" style="1948" customWidth="1"/>
    <col min="14595" max="14595" width="10.85546875" style="1948" customWidth="1"/>
    <col min="14596" max="14596" width="7.5703125" style="1948" bestFit="1" customWidth="1"/>
    <col min="14597" max="14597" width="11.5703125" style="1948" bestFit="1" customWidth="1"/>
    <col min="14598" max="14599" width="10" style="1948" bestFit="1" customWidth="1"/>
    <col min="14600" max="14600" width="0" style="1948" hidden="1" customWidth="1"/>
    <col min="14601" max="14601" width="10" style="1948" bestFit="1" customWidth="1"/>
    <col min="14602" max="14602" width="0" style="1948" hidden="1" customWidth="1"/>
    <col min="14603" max="14603" width="10" style="1948" bestFit="1" customWidth="1"/>
    <col min="14604" max="14604" width="0" style="1948" hidden="1" customWidth="1"/>
    <col min="14605" max="14605" width="10" style="1948" bestFit="1" customWidth="1"/>
    <col min="14606" max="14606" width="8.5703125" style="1948" bestFit="1" customWidth="1"/>
    <col min="14607" max="14607" width="4.7109375" style="1948" customWidth="1"/>
    <col min="14608" max="14848" width="11.7109375" style="1948"/>
    <col min="14849" max="14849" width="18.85546875" style="1948" customWidth="1"/>
    <col min="14850" max="14850" width="4.7109375" style="1948" customWidth="1"/>
    <col min="14851" max="14851" width="10.85546875" style="1948" customWidth="1"/>
    <col min="14852" max="14852" width="7.5703125" style="1948" bestFit="1" customWidth="1"/>
    <col min="14853" max="14853" width="11.5703125" style="1948" bestFit="1" customWidth="1"/>
    <col min="14854" max="14855" width="10" style="1948" bestFit="1" customWidth="1"/>
    <col min="14856" max="14856" width="0" style="1948" hidden="1" customWidth="1"/>
    <col min="14857" max="14857" width="10" style="1948" bestFit="1" customWidth="1"/>
    <col min="14858" max="14858" width="0" style="1948" hidden="1" customWidth="1"/>
    <col min="14859" max="14859" width="10" style="1948" bestFit="1" customWidth="1"/>
    <col min="14860" max="14860" width="0" style="1948" hidden="1" customWidth="1"/>
    <col min="14861" max="14861" width="10" style="1948" bestFit="1" customWidth="1"/>
    <col min="14862" max="14862" width="8.5703125" style="1948" bestFit="1" customWidth="1"/>
    <col min="14863" max="14863" width="4.7109375" style="1948" customWidth="1"/>
    <col min="14864" max="15104" width="11.7109375" style="1948"/>
    <col min="15105" max="15105" width="18.85546875" style="1948" customWidth="1"/>
    <col min="15106" max="15106" width="4.7109375" style="1948" customWidth="1"/>
    <col min="15107" max="15107" width="10.85546875" style="1948" customWidth="1"/>
    <col min="15108" max="15108" width="7.5703125" style="1948" bestFit="1" customWidth="1"/>
    <col min="15109" max="15109" width="11.5703125" style="1948" bestFit="1" customWidth="1"/>
    <col min="15110" max="15111" width="10" style="1948" bestFit="1" customWidth="1"/>
    <col min="15112" max="15112" width="0" style="1948" hidden="1" customWidth="1"/>
    <col min="15113" max="15113" width="10" style="1948" bestFit="1" customWidth="1"/>
    <col min="15114" max="15114" width="0" style="1948" hidden="1" customWidth="1"/>
    <col min="15115" max="15115" width="10" style="1948" bestFit="1" customWidth="1"/>
    <col min="15116" max="15116" width="0" style="1948" hidden="1" customWidth="1"/>
    <col min="15117" max="15117" width="10" style="1948" bestFit="1" customWidth="1"/>
    <col min="15118" max="15118" width="8.5703125" style="1948" bestFit="1" customWidth="1"/>
    <col min="15119" max="15119" width="4.7109375" style="1948" customWidth="1"/>
    <col min="15120" max="15360" width="11.7109375" style="1948"/>
    <col min="15361" max="15361" width="18.85546875" style="1948" customWidth="1"/>
    <col min="15362" max="15362" width="4.7109375" style="1948" customWidth="1"/>
    <col min="15363" max="15363" width="10.85546875" style="1948" customWidth="1"/>
    <col min="15364" max="15364" width="7.5703125" style="1948" bestFit="1" customWidth="1"/>
    <col min="15365" max="15365" width="11.5703125" style="1948" bestFit="1" customWidth="1"/>
    <col min="15366" max="15367" width="10" style="1948" bestFit="1" customWidth="1"/>
    <col min="15368" max="15368" width="0" style="1948" hidden="1" customWidth="1"/>
    <col min="15369" max="15369" width="10" style="1948" bestFit="1" customWidth="1"/>
    <col min="15370" max="15370" width="0" style="1948" hidden="1" customWidth="1"/>
    <col min="15371" max="15371" width="10" style="1948" bestFit="1" customWidth="1"/>
    <col min="15372" max="15372" width="0" style="1948" hidden="1" customWidth="1"/>
    <col min="15373" max="15373" width="10" style="1948" bestFit="1" customWidth="1"/>
    <col min="15374" max="15374" width="8.5703125" style="1948" bestFit="1" customWidth="1"/>
    <col min="15375" max="15375" width="4.7109375" style="1948" customWidth="1"/>
    <col min="15376" max="15616" width="11.7109375" style="1948"/>
    <col min="15617" max="15617" width="18.85546875" style="1948" customWidth="1"/>
    <col min="15618" max="15618" width="4.7109375" style="1948" customWidth="1"/>
    <col min="15619" max="15619" width="10.85546875" style="1948" customWidth="1"/>
    <col min="15620" max="15620" width="7.5703125" style="1948" bestFit="1" customWidth="1"/>
    <col min="15621" max="15621" width="11.5703125" style="1948" bestFit="1" customWidth="1"/>
    <col min="15622" max="15623" width="10" style="1948" bestFit="1" customWidth="1"/>
    <col min="15624" max="15624" width="0" style="1948" hidden="1" customWidth="1"/>
    <col min="15625" max="15625" width="10" style="1948" bestFit="1" customWidth="1"/>
    <col min="15626" max="15626" width="0" style="1948" hidden="1" customWidth="1"/>
    <col min="15627" max="15627" width="10" style="1948" bestFit="1" customWidth="1"/>
    <col min="15628" max="15628" width="0" style="1948" hidden="1" customWidth="1"/>
    <col min="15629" max="15629" width="10" style="1948" bestFit="1" customWidth="1"/>
    <col min="15630" max="15630" width="8.5703125" style="1948" bestFit="1" customWidth="1"/>
    <col min="15631" max="15631" width="4.7109375" style="1948" customWidth="1"/>
    <col min="15632" max="15872" width="11.7109375" style="1948"/>
    <col min="15873" max="15873" width="18.85546875" style="1948" customWidth="1"/>
    <col min="15874" max="15874" width="4.7109375" style="1948" customWidth="1"/>
    <col min="15875" max="15875" width="10.85546875" style="1948" customWidth="1"/>
    <col min="15876" max="15876" width="7.5703125" style="1948" bestFit="1" customWidth="1"/>
    <col min="15877" max="15877" width="11.5703125" style="1948" bestFit="1" customWidth="1"/>
    <col min="15878" max="15879" width="10" style="1948" bestFit="1" customWidth="1"/>
    <col min="15880" max="15880" width="0" style="1948" hidden="1" customWidth="1"/>
    <col min="15881" max="15881" width="10" style="1948" bestFit="1" customWidth="1"/>
    <col min="15882" max="15882" width="0" style="1948" hidden="1" customWidth="1"/>
    <col min="15883" max="15883" width="10" style="1948" bestFit="1" customWidth="1"/>
    <col min="15884" max="15884" width="0" style="1948" hidden="1" customWidth="1"/>
    <col min="15885" max="15885" width="10" style="1948" bestFit="1" customWidth="1"/>
    <col min="15886" max="15886" width="8.5703125" style="1948" bestFit="1" customWidth="1"/>
    <col min="15887" max="15887" width="4.7109375" style="1948" customWidth="1"/>
    <col min="15888" max="16128" width="11.7109375" style="1948"/>
    <col min="16129" max="16129" width="18.85546875" style="1948" customWidth="1"/>
    <col min="16130" max="16130" width="4.7109375" style="1948" customWidth="1"/>
    <col min="16131" max="16131" width="10.85546875" style="1948" customWidth="1"/>
    <col min="16132" max="16132" width="7.5703125" style="1948" bestFit="1" customWidth="1"/>
    <col min="16133" max="16133" width="11.5703125" style="1948" bestFit="1" customWidth="1"/>
    <col min="16134" max="16135" width="10" style="1948" bestFit="1" customWidth="1"/>
    <col min="16136" max="16136" width="0" style="1948" hidden="1" customWidth="1"/>
    <col min="16137" max="16137" width="10" style="1948" bestFit="1" customWidth="1"/>
    <col min="16138" max="16138" width="0" style="1948" hidden="1" customWidth="1"/>
    <col min="16139" max="16139" width="10" style="1948" bestFit="1" customWidth="1"/>
    <col min="16140" max="16140" width="0" style="1948" hidden="1" customWidth="1"/>
    <col min="16141" max="16141" width="10" style="1948" bestFit="1" customWidth="1"/>
    <col min="16142" max="16142" width="8.5703125" style="1948" bestFit="1" customWidth="1"/>
    <col min="16143" max="16143" width="4.7109375" style="1948" customWidth="1"/>
    <col min="16144" max="16384" width="11.7109375" style="1948"/>
  </cols>
  <sheetData>
    <row r="1" spans="1:16" x14ac:dyDescent="0.2">
      <c r="A1" s="2554" t="s">
        <v>2112</v>
      </c>
      <c r="B1" s="2554"/>
      <c r="C1" s="2554"/>
      <c r="D1" s="2554"/>
      <c r="E1" s="2554"/>
      <c r="F1" s="2554"/>
      <c r="G1" s="2554"/>
      <c r="H1" s="2554"/>
      <c r="I1" s="2554"/>
      <c r="J1" s="2554"/>
      <c r="K1" s="2554"/>
      <c r="L1" s="2554"/>
      <c r="M1" s="2554"/>
      <c r="N1" s="2554"/>
    </row>
    <row r="2" spans="1:16" x14ac:dyDescent="0.2">
      <c r="A2" s="2554" t="s">
        <v>2082</v>
      </c>
      <c r="B2" s="2554"/>
      <c r="C2" s="2554"/>
      <c r="D2" s="2554"/>
      <c r="E2" s="2554"/>
      <c r="F2" s="2554"/>
      <c r="G2" s="2554"/>
      <c r="H2" s="2554"/>
      <c r="I2" s="2554"/>
      <c r="J2" s="2554"/>
      <c r="K2" s="2554"/>
      <c r="L2" s="2554"/>
      <c r="M2" s="2554"/>
      <c r="N2" s="2554"/>
    </row>
    <row r="3" spans="1:16" x14ac:dyDescent="0.2">
      <c r="A3" s="2555" t="s">
        <v>1281</v>
      </c>
      <c r="B3" s="2555"/>
      <c r="C3" s="2555"/>
      <c r="D3" s="2555"/>
      <c r="E3" s="2555"/>
      <c r="F3" s="2555"/>
      <c r="G3" s="2555"/>
      <c r="H3" s="2555"/>
      <c r="I3" s="2555"/>
      <c r="J3" s="2555"/>
      <c r="K3" s="2555"/>
      <c r="L3" s="2555"/>
      <c r="M3" s="2555"/>
      <c r="N3" s="2555"/>
    </row>
    <row r="4" spans="1:16" x14ac:dyDescent="0.2">
      <c r="A4" s="2556" t="s">
        <v>1799</v>
      </c>
      <c r="B4" s="2556"/>
      <c r="C4" s="2556"/>
      <c r="D4" s="2556"/>
      <c r="E4" s="2556"/>
      <c r="F4" s="2556"/>
      <c r="G4" s="2556"/>
      <c r="H4" s="2556"/>
      <c r="I4" s="2556"/>
      <c r="J4" s="2556"/>
      <c r="K4" s="2556"/>
      <c r="L4" s="2556"/>
      <c r="M4" s="2556"/>
      <c r="N4" s="2556"/>
    </row>
    <row r="5" spans="1:16" x14ac:dyDescent="0.2">
      <c r="A5" s="2557"/>
      <c r="B5" s="2557"/>
      <c r="C5" s="2557"/>
      <c r="D5" s="2557"/>
      <c r="E5" s="2557"/>
      <c r="F5" s="2557"/>
      <c r="G5" s="2557"/>
      <c r="H5" s="2557"/>
      <c r="I5" s="2557"/>
      <c r="J5" s="2557"/>
      <c r="K5" s="2557"/>
      <c r="L5" s="2557"/>
      <c r="M5" s="2557"/>
      <c r="N5" s="2557"/>
    </row>
    <row r="6" spans="1:16" ht="12" thickBot="1" x14ac:dyDescent="0.25">
      <c r="A6" s="1949"/>
      <c r="B6" s="1949"/>
      <c r="C6" s="1949"/>
      <c r="D6" s="1949"/>
      <c r="E6" s="1949"/>
      <c r="F6" s="1949"/>
      <c r="G6" s="1949"/>
      <c r="H6" s="1949"/>
      <c r="I6" s="1949"/>
      <c r="J6" s="1949"/>
      <c r="K6" s="1950"/>
      <c r="L6" s="1950"/>
      <c r="M6" s="1950"/>
      <c r="N6" s="1950"/>
    </row>
    <row r="7" spans="1:16" ht="12" thickTop="1" x14ac:dyDescent="0.2">
      <c r="A7" s="1951"/>
      <c r="B7" s="1951"/>
      <c r="C7" s="1951"/>
      <c r="D7" s="1952"/>
      <c r="E7" s="1953" t="s">
        <v>2113</v>
      </c>
      <c r="F7" s="1951"/>
      <c r="G7" s="1954"/>
      <c r="H7" s="1951"/>
      <c r="I7" s="1951"/>
      <c r="J7" s="1955"/>
      <c r="K7" s="1956"/>
      <c r="L7" s="1954"/>
      <c r="M7" s="1954"/>
      <c r="N7" s="1957"/>
    </row>
    <row r="8" spans="1:16" x14ac:dyDescent="0.2">
      <c r="A8" s="1958" t="s">
        <v>2114</v>
      </c>
      <c r="B8" s="1959"/>
      <c r="C8" s="1959"/>
      <c r="D8" s="1960" t="s">
        <v>1326</v>
      </c>
      <c r="E8" s="1961" t="s">
        <v>2115</v>
      </c>
      <c r="F8" s="1962" t="s">
        <v>548</v>
      </c>
      <c r="G8" s="1963"/>
      <c r="H8" s="1962" t="s">
        <v>2116</v>
      </c>
      <c r="I8" s="1964" t="s">
        <v>2116</v>
      </c>
      <c r="J8" s="1965"/>
      <c r="K8" s="1966"/>
      <c r="L8" s="2558" t="s">
        <v>1323</v>
      </c>
      <c r="M8" s="1967"/>
      <c r="N8" s="1968"/>
    </row>
    <row r="9" spans="1:16" x14ac:dyDescent="0.2">
      <c r="A9" s="1958" t="s">
        <v>1328</v>
      </c>
      <c r="B9" s="1959"/>
      <c r="C9" s="1959"/>
      <c r="D9" s="1960" t="s">
        <v>2117</v>
      </c>
      <c r="E9" s="1961" t="s">
        <v>1325</v>
      </c>
      <c r="F9" s="1969" t="s">
        <v>2118</v>
      </c>
      <c r="G9" s="1969" t="s">
        <v>2119</v>
      </c>
      <c r="H9" s="1969" t="s">
        <v>2118</v>
      </c>
      <c r="I9" s="1969" t="s">
        <v>2118</v>
      </c>
      <c r="J9" s="1969" t="s">
        <v>2119</v>
      </c>
      <c r="K9" s="1970" t="str">
        <f>G9</f>
        <v>7-1-17 to</v>
      </c>
      <c r="L9" s="2559"/>
      <c r="M9" s="1971" t="s">
        <v>2120</v>
      </c>
      <c r="N9" s="1968"/>
    </row>
    <row r="10" spans="1:16" x14ac:dyDescent="0.2">
      <c r="A10" s="2552" t="s">
        <v>1321</v>
      </c>
      <c r="B10" s="2552"/>
      <c r="C10" s="2553"/>
      <c r="D10" s="1952"/>
      <c r="E10" s="1961" t="s">
        <v>2121</v>
      </c>
      <c r="F10" s="1969" t="s">
        <v>2122</v>
      </c>
      <c r="G10" s="1969" t="s">
        <v>2123</v>
      </c>
      <c r="H10" s="1969" t="s">
        <v>2122</v>
      </c>
      <c r="I10" s="1969" t="s">
        <v>2122</v>
      </c>
      <c r="J10" s="1969" t="s">
        <v>2123</v>
      </c>
      <c r="K10" s="1972" t="str">
        <f>G10</f>
        <v>6-30-18</v>
      </c>
      <c r="L10" s="1971" t="s">
        <v>1320</v>
      </c>
      <c r="M10" s="1971" t="s">
        <v>1319</v>
      </c>
      <c r="N10" s="1973" t="s">
        <v>30</v>
      </c>
    </row>
    <row r="11" spans="1:16" x14ac:dyDescent="0.2">
      <c r="A11" s="1958" t="s">
        <v>1318</v>
      </c>
      <c r="B11" s="1959"/>
      <c r="C11" s="1959"/>
      <c r="D11" s="1952"/>
      <c r="E11" s="1954"/>
      <c r="F11" s="1954"/>
      <c r="G11" s="1954"/>
      <c r="H11" s="1968" t="s">
        <v>2124</v>
      </c>
      <c r="I11" s="1974"/>
      <c r="J11" s="1954" t="s">
        <v>2124</v>
      </c>
      <c r="K11" s="1974"/>
      <c r="L11" s="1954"/>
      <c r="M11" s="1954"/>
      <c r="N11" s="1968"/>
    </row>
    <row r="12" spans="1:16" ht="12" thickBot="1" x14ac:dyDescent="0.25">
      <c r="A12" s="1975"/>
      <c r="B12" s="1975"/>
      <c r="C12" s="1975"/>
      <c r="D12" s="1976" t="s">
        <v>1317</v>
      </c>
      <c r="E12" s="1977" t="s">
        <v>1316</v>
      </c>
      <c r="F12" s="1978" t="s">
        <v>1315</v>
      </c>
      <c r="G12" s="1978" t="s">
        <v>1314</v>
      </c>
      <c r="H12" s="1978" t="s">
        <v>1328</v>
      </c>
      <c r="I12" s="1979" t="s">
        <v>1313</v>
      </c>
      <c r="J12" s="1978" t="s">
        <v>1328</v>
      </c>
      <c r="K12" s="1979" t="s">
        <v>1312</v>
      </c>
      <c r="L12" s="1978" t="s">
        <v>1311</v>
      </c>
      <c r="M12" s="1978" t="s">
        <v>1310</v>
      </c>
      <c r="N12" s="1980" t="s">
        <v>1309</v>
      </c>
    </row>
    <row r="13" spans="1:16" ht="12" thickTop="1" x14ac:dyDescent="0.2">
      <c r="A13" s="1981" t="s">
        <v>2125</v>
      </c>
      <c r="C13" s="1974"/>
      <c r="D13" s="1974"/>
      <c r="E13" s="1974"/>
      <c r="F13" s="1974"/>
      <c r="G13" s="1974"/>
      <c r="H13" s="1974"/>
      <c r="I13" s="1974"/>
      <c r="J13" s="1974"/>
      <c r="K13" s="1974"/>
      <c r="L13" s="1974"/>
      <c r="M13" s="1974"/>
      <c r="N13" s="1982"/>
    </row>
    <row r="14" spans="1:16" ht="10.5" customHeight="1" x14ac:dyDescent="0.2">
      <c r="A14" s="1983" t="s">
        <v>2126</v>
      </c>
      <c r="B14" s="1984"/>
      <c r="C14" s="1985"/>
      <c r="D14" s="1985"/>
      <c r="E14" s="1985"/>
      <c r="F14" s="1985"/>
      <c r="G14" s="1985"/>
      <c r="H14" s="1985"/>
      <c r="I14" s="1985"/>
      <c r="J14" s="1985"/>
      <c r="K14" s="1985"/>
      <c r="L14" s="1985"/>
      <c r="M14" s="1985"/>
      <c r="N14" s="1986"/>
    </row>
    <row r="15" spans="1:16" x14ac:dyDescent="0.2">
      <c r="A15" s="1987"/>
      <c r="B15" s="1987"/>
      <c r="C15" s="1974"/>
      <c r="D15" s="1970"/>
      <c r="E15" s="1972"/>
      <c r="F15" s="1988"/>
      <c r="G15" s="1988"/>
      <c r="H15" s="1988"/>
      <c r="I15" s="1988"/>
      <c r="J15" s="1988"/>
      <c r="K15" s="1988"/>
      <c r="L15" s="1988"/>
      <c r="M15" s="1972" t="s">
        <v>2127</v>
      </c>
      <c r="N15" s="1989"/>
    </row>
    <row r="16" spans="1:16" x14ac:dyDescent="0.2">
      <c r="A16" s="1984" t="s">
        <v>2128</v>
      </c>
      <c r="B16" s="1990"/>
      <c r="C16" s="1991"/>
      <c r="D16" s="1992">
        <v>84.01</v>
      </c>
      <c r="E16" s="1993" t="s">
        <v>2129</v>
      </c>
      <c r="F16" s="1994">
        <v>253772</v>
      </c>
      <c r="G16" s="1994">
        <v>20458</v>
      </c>
      <c r="H16" s="1994"/>
      <c r="I16" s="1994">
        <v>253772</v>
      </c>
      <c r="J16" s="1994"/>
      <c r="K16" s="1994">
        <v>20458</v>
      </c>
      <c r="L16" s="1994"/>
      <c r="M16" s="1995">
        <f>SUM(I16:L16)</f>
        <v>274230</v>
      </c>
      <c r="N16" s="1996">
        <v>296902</v>
      </c>
      <c r="P16" s="1997" t="s">
        <v>2130</v>
      </c>
    </row>
    <row r="17" spans="1:16" x14ac:dyDescent="0.2">
      <c r="A17" s="1987"/>
      <c r="B17" s="1987"/>
      <c r="C17" s="1974"/>
      <c r="D17" s="1970"/>
      <c r="E17" s="1972"/>
      <c r="F17" s="1988"/>
      <c r="G17" s="1988"/>
      <c r="H17" s="1988"/>
      <c r="I17" s="1988"/>
      <c r="J17" s="1988"/>
      <c r="K17" s="1988"/>
      <c r="L17" s="1988"/>
      <c r="M17" s="1972" t="s">
        <v>2127</v>
      </c>
      <c r="N17" s="1989"/>
    </row>
    <row r="18" spans="1:16" x14ac:dyDescent="0.2">
      <c r="A18" s="1990"/>
      <c r="B18" s="1990"/>
      <c r="C18" s="1991"/>
      <c r="D18" s="1992">
        <v>84.01</v>
      </c>
      <c r="E18" s="1993" t="s">
        <v>2131</v>
      </c>
      <c r="F18" s="1994">
        <v>0</v>
      </c>
      <c r="G18" s="1994">
        <f>169856+75743</f>
        <v>245599</v>
      </c>
      <c r="H18" s="1994"/>
      <c r="I18" s="1994">
        <v>0</v>
      </c>
      <c r="J18" s="1994"/>
      <c r="K18" s="1994">
        <v>245599</v>
      </c>
      <c r="L18" s="1994"/>
      <c r="M18" s="1995">
        <f>SUM(I18:L18)</f>
        <v>245599</v>
      </c>
      <c r="N18" s="1996">
        <v>301258</v>
      </c>
      <c r="P18" s="1997" t="s">
        <v>2132</v>
      </c>
    </row>
    <row r="19" spans="1:16" x14ac:dyDescent="0.2">
      <c r="A19" s="1987" t="s">
        <v>2133</v>
      </c>
      <c r="B19" s="1987"/>
      <c r="C19" s="1974"/>
      <c r="D19" s="1998"/>
      <c r="E19" s="1999"/>
      <c r="F19" s="1988">
        <f>SUBTOTAL(9,F16:F18)</f>
        <v>253772</v>
      </c>
      <c r="G19" s="1988">
        <f t="shared" ref="G19:M19" si="0">SUBTOTAL(9,G16:G18)</f>
        <v>266057</v>
      </c>
      <c r="H19" s="1988">
        <f t="shared" si="0"/>
        <v>0</v>
      </c>
      <c r="I19" s="1988">
        <f>SUBTOTAL(9,I16:I18)</f>
        <v>253772</v>
      </c>
      <c r="J19" s="1988">
        <f t="shared" si="0"/>
        <v>0</v>
      </c>
      <c r="K19" s="1988">
        <f>SUBTOTAL(9,K16:K18)</f>
        <v>266057</v>
      </c>
      <c r="L19" s="1988">
        <f t="shared" si="0"/>
        <v>0</v>
      </c>
      <c r="M19" s="1988">
        <f t="shared" si="0"/>
        <v>519829</v>
      </c>
      <c r="N19" s="1989"/>
      <c r="P19" s="1997"/>
    </row>
    <row r="20" spans="1:16" x14ac:dyDescent="0.2">
      <c r="A20" s="1987"/>
      <c r="B20" s="1987"/>
      <c r="C20" s="1974"/>
      <c r="D20" s="2000"/>
      <c r="E20" s="1972"/>
      <c r="F20" s="1988"/>
      <c r="G20" s="1988"/>
      <c r="H20" s="1988"/>
      <c r="I20" s="1988"/>
      <c r="J20" s="1988"/>
      <c r="K20" s="1988"/>
      <c r="L20" s="1988"/>
      <c r="M20" s="1972"/>
      <c r="N20" s="1989"/>
    </row>
    <row r="21" spans="1:16" x14ac:dyDescent="0.2">
      <c r="A21" s="1990" t="s">
        <v>782</v>
      </c>
      <c r="B21" s="1990"/>
      <c r="C21" s="1991"/>
      <c r="D21" s="2001">
        <v>84.367000000000004</v>
      </c>
      <c r="E21" s="1993" t="s">
        <v>2134</v>
      </c>
      <c r="F21" s="2002">
        <v>48075</v>
      </c>
      <c r="G21" s="1994">
        <v>0</v>
      </c>
      <c r="H21" s="1994"/>
      <c r="I21" s="1994">
        <v>48075</v>
      </c>
      <c r="J21" s="1994"/>
      <c r="K21" s="1994">
        <v>0</v>
      </c>
      <c r="L21" s="1994"/>
      <c r="M21" s="1995">
        <f>SUM(I21:L21)</f>
        <v>48075</v>
      </c>
      <c r="N21" s="1996">
        <v>71477</v>
      </c>
      <c r="P21" s="1997" t="s">
        <v>2135</v>
      </c>
    </row>
    <row r="22" spans="1:16" x14ac:dyDescent="0.2">
      <c r="A22" s="1987"/>
      <c r="B22" s="1987"/>
      <c r="C22" s="1974"/>
      <c r="D22" s="2003"/>
      <c r="E22" s="2004"/>
      <c r="F22" s="1988"/>
      <c r="G22" s="1988"/>
      <c r="H22" s="1988"/>
      <c r="I22" s="1988"/>
      <c r="J22" s="1988"/>
      <c r="K22" s="1988"/>
      <c r="L22" s="1988"/>
      <c r="M22" s="1972"/>
      <c r="N22" s="2005"/>
    </row>
    <row r="23" spans="1:16" x14ac:dyDescent="0.2">
      <c r="A23" s="1990"/>
      <c r="B23" s="1990"/>
      <c r="C23" s="1991"/>
      <c r="D23" s="2001">
        <v>84.367000000000004</v>
      </c>
      <c r="E23" s="1993" t="s">
        <v>2136</v>
      </c>
      <c r="F23" s="2006">
        <v>0</v>
      </c>
      <c r="G23" s="2006">
        <f>31426+53868</f>
        <v>85294</v>
      </c>
      <c r="H23" s="1994"/>
      <c r="I23" s="1994">
        <v>0</v>
      </c>
      <c r="J23" s="1994"/>
      <c r="K23" s="2006">
        <v>85294</v>
      </c>
      <c r="L23" s="1994"/>
      <c r="M23" s="2006">
        <f>SUM(I23:L23)</f>
        <v>85294</v>
      </c>
      <c r="N23" s="1996">
        <v>92703</v>
      </c>
      <c r="P23" s="1997" t="s">
        <v>2137</v>
      </c>
    </row>
    <row r="24" spans="1:16" x14ac:dyDescent="0.2">
      <c r="A24" s="1987" t="s">
        <v>2138</v>
      </c>
      <c r="B24" s="1987"/>
      <c r="C24" s="1974"/>
      <c r="D24" s="2007"/>
      <c r="E24" s="1972"/>
      <c r="F24" s="1988">
        <f>SUBTOTAL(9,F21:F23)</f>
        <v>48075</v>
      </c>
      <c r="G24" s="1988">
        <f t="shared" ref="G24:M24" si="1">SUBTOTAL(9,G21:G23)</f>
        <v>85294</v>
      </c>
      <c r="H24" s="1988">
        <f t="shared" si="1"/>
        <v>0</v>
      </c>
      <c r="I24" s="1988">
        <f t="shared" si="1"/>
        <v>48075</v>
      </c>
      <c r="J24" s="1988">
        <f t="shared" si="1"/>
        <v>0</v>
      </c>
      <c r="K24" s="1988">
        <f t="shared" si="1"/>
        <v>85294</v>
      </c>
      <c r="L24" s="1988">
        <f t="shared" si="1"/>
        <v>0</v>
      </c>
      <c r="M24" s="1988">
        <f t="shared" si="1"/>
        <v>133369</v>
      </c>
      <c r="N24" s="1989"/>
      <c r="P24" s="1997"/>
    </row>
    <row r="25" spans="1:16" x14ac:dyDescent="0.2">
      <c r="A25" s="1987"/>
      <c r="B25" s="1987"/>
      <c r="C25" s="1974"/>
      <c r="D25" s="2008"/>
      <c r="E25" s="1972"/>
      <c r="F25" s="2009"/>
      <c r="G25" s="1988"/>
      <c r="H25" s="1988"/>
      <c r="I25" s="1988"/>
      <c r="J25" s="1988"/>
      <c r="K25" s="1988"/>
      <c r="L25" s="1988"/>
      <c r="M25" s="1972" t="s">
        <v>2127</v>
      </c>
      <c r="N25" s="1989"/>
    </row>
    <row r="26" spans="1:16" x14ac:dyDescent="0.2">
      <c r="A26" s="1990" t="s">
        <v>2139</v>
      </c>
      <c r="B26" s="1990"/>
      <c r="C26" s="1991"/>
      <c r="D26" s="1992" t="s">
        <v>2140</v>
      </c>
      <c r="E26" s="1993" t="s">
        <v>2141</v>
      </c>
      <c r="F26" s="2010">
        <v>309847</v>
      </c>
      <c r="G26" s="2010">
        <f>171852-28765</f>
        <v>143087</v>
      </c>
      <c r="H26" s="2010"/>
      <c r="I26" s="2010">
        <v>309847</v>
      </c>
      <c r="J26" s="2010"/>
      <c r="K26" s="2010">
        <v>143087</v>
      </c>
      <c r="L26" s="2010"/>
      <c r="M26" s="2011">
        <f>SUM(I26:L26)</f>
        <v>452934</v>
      </c>
      <c r="N26" s="2012" t="s">
        <v>2102</v>
      </c>
      <c r="P26" s="1997" t="s">
        <v>2130</v>
      </c>
    </row>
    <row r="27" spans="1:16" x14ac:dyDescent="0.2">
      <c r="A27" s="1987"/>
      <c r="B27" s="1987"/>
      <c r="C27" s="1974"/>
      <c r="D27" s="2000"/>
      <c r="E27" s="1970"/>
      <c r="F27" s="2009"/>
      <c r="G27" s="1988"/>
      <c r="H27" s="1988"/>
      <c r="I27" s="1988"/>
      <c r="J27" s="1988"/>
      <c r="K27" s="1988"/>
      <c r="L27" s="1988"/>
      <c r="M27" s="1972" t="s">
        <v>2127</v>
      </c>
      <c r="N27" s="2005"/>
    </row>
    <row r="28" spans="1:16" x14ac:dyDescent="0.2">
      <c r="A28" s="1990"/>
      <c r="B28" s="1990"/>
      <c r="C28" s="1991"/>
      <c r="D28" s="1992" t="s">
        <v>2140</v>
      </c>
      <c r="E28" s="1993" t="s">
        <v>2142</v>
      </c>
      <c r="F28" s="1994">
        <v>0</v>
      </c>
      <c r="G28" s="1994">
        <f>71438+18007</f>
        <v>89445</v>
      </c>
      <c r="H28" s="1994"/>
      <c r="I28" s="1994">
        <v>0</v>
      </c>
      <c r="J28" s="1994"/>
      <c r="K28" s="1994">
        <v>89445</v>
      </c>
      <c r="L28" s="1994"/>
      <c r="M28" s="1995">
        <f>SUM(I28:L28)</f>
        <v>89445</v>
      </c>
      <c r="N28" s="2013" t="s">
        <v>2102</v>
      </c>
      <c r="P28" s="1997" t="s">
        <v>2132</v>
      </c>
    </row>
    <row r="29" spans="1:16" x14ac:dyDescent="0.2">
      <c r="A29" s="1987" t="s">
        <v>2143</v>
      </c>
      <c r="B29" s="1987"/>
      <c r="C29" s="1974"/>
      <c r="D29" s="2000"/>
      <c r="E29" s="1972"/>
      <c r="F29" s="1988">
        <f t="shared" ref="F29:M29" si="2">SUBTOTAL(9,F25:F28)</f>
        <v>309847</v>
      </c>
      <c r="G29" s="1988">
        <f t="shared" si="2"/>
        <v>232532</v>
      </c>
      <c r="H29" s="1988">
        <f t="shared" si="2"/>
        <v>0</v>
      </c>
      <c r="I29" s="1988">
        <f t="shared" si="2"/>
        <v>309847</v>
      </c>
      <c r="J29" s="1988">
        <f t="shared" si="2"/>
        <v>0</v>
      </c>
      <c r="K29" s="1988">
        <f t="shared" si="2"/>
        <v>232532</v>
      </c>
      <c r="L29" s="1988">
        <f t="shared" si="2"/>
        <v>0</v>
      </c>
      <c r="M29" s="1988">
        <f t="shared" si="2"/>
        <v>542379</v>
      </c>
      <c r="N29" s="1989"/>
      <c r="P29" s="1997"/>
    </row>
    <row r="30" spans="1:16" x14ac:dyDescent="0.2">
      <c r="A30" s="2014" t="s">
        <v>2144</v>
      </c>
      <c r="B30" s="1987"/>
      <c r="C30" s="1974"/>
      <c r="D30" s="2007"/>
      <c r="E30" s="1972"/>
      <c r="F30" s="1988"/>
      <c r="G30" s="1988"/>
      <c r="H30" s="1988"/>
      <c r="I30" s="1988"/>
      <c r="J30" s="1988"/>
      <c r="K30" s="1988"/>
      <c r="L30" s="1988"/>
      <c r="M30" s="1972" t="s">
        <v>2127</v>
      </c>
      <c r="N30" s="1989"/>
      <c r="P30" s="1997"/>
    </row>
    <row r="31" spans="1:16" x14ac:dyDescent="0.2">
      <c r="A31" s="1990" t="s">
        <v>2145</v>
      </c>
      <c r="B31" s="1990"/>
      <c r="C31" s="1991"/>
      <c r="D31" s="2015">
        <v>84.027000000000001</v>
      </c>
      <c r="E31" s="2016" t="s">
        <v>2146</v>
      </c>
      <c r="F31" s="1994">
        <v>184590</v>
      </c>
      <c r="G31" s="1994">
        <v>0</v>
      </c>
      <c r="H31" s="1994"/>
      <c r="I31" s="1994">
        <v>184590</v>
      </c>
      <c r="J31" s="1994"/>
      <c r="K31" s="1994">
        <v>0</v>
      </c>
      <c r="L31" s="1994"/>
      <c r="M31" s="1995">
        <f>SUM(I31:L31)</f>
        <v>184590</v>
      </c>
      <c r="N31" s="1996">
        <v>184590</v>
      </c>
      <c r="P31" s="1997" t="s">
        <v>2130</v>
      </c>
    </row>
    <row r="32" spans="1:16" x14ac:dyDescent="0.2">
      <c r="A32" s="1987"/>
      <c r="B32" s="1987"/>
      <c r="C32" s="1974"/>
      <c r="D32" s="1970"/>
      <c r="E32" s="1972"/>
      <c r="F32" s="1988"/>
      <c r="G32" s="1988"/>
      <c r="H32" s="1988"/>
      <c r="I32" s="1988"/>
      <c r="J32" s="1988"/>
      <c r="K32" s="1988"/>
      <c r="L32" s="1988"/>
      <c r="M32" s="1972" t="s">
        <v>2127</v>
      </c>
      <c r="N32" s="1989"/>
    </row>
    <row r="33" spans="1:16" x14ac:dyDescent="0.2">
      <c r="A33" s="1990"/>
      <c r="B33" s="1990"/>
      <c r="C33" s="1991"/>
      <c r="D33" s="2015">
        <v>84.027000000000001</v>
      </c>
      <c r="E33" s="2016" t="s">
        <v>2147</v>
      </c>
      <c r="F33" s="1994">
        <v>0</v>
      </c>
      <c r="G33" s="1994">
        <v>200979</v>
      </c>
      <c r="H33" s="1994"/>
      <c r="I33" s="1994">
        <v>0</v>
      </c>
      <c r="J33" s="1994"/>
      <c r="K33" s="1994">
        <v>200979</v>
      </c>
      <c r="L33" s="1994"/>
      <c r="M33" s="1995">
        <f>SUM(I33:L33)</f>
        <v>200979</v>
      </c>
      <c r="N33" s="1996">
        <v>204154</v>
      </c>
      <c r="P33" s="1997" t="s">
        <v>2132</v>
      </c>
    </row>
    <row r="34" spans="1:16" x14ac:dyDescent="0.2">
      <c r="A34" s="1987" t="s">
        <v>2148</v>
      </c>
      <c r="B34" s="1987"/>
      <c r="C34" s="1974"/>
      <c r="D34" s="2007"/>
      <c r="E34" s="1972"/>
      <c r="F34" s="1988">
        <f>SUBTOTAL(9,F30:F33)</f>
        <v>184590</v>
      </c>
      <c r="G34" s="1988">
        <f t="shared" ref="G34:M34" si="3">SUBTOTAL(9,G30:G33)</f>
        <v>200979</v>
      </c>
      <c r="H34" s="1988">
        <f t="shared" si="3"/>
        <v>0</v>
      </c>
      <c r="I34" s="1988">
        <f t="shared" si="3"/>
        <v>184590</v>
      </c>
      <c r="J34" s="1988">
        <f t="shared" si="3"/>
        <v>0</v>
      </c>
      <c r="K34" s="1988">
        <f t="shared" si="3"/>
        <v>200979</v>
      </c>
      <c r="L34" s="1988">
        <f t="shared" si="3"/>
        <v>0</v>
      </c>
      <c r="M34" s="1988">
        <f t="shared" si="3"/>
        <v>385569</v>
      </c>
      <c r="N34" s="1989"/>
      <c r="P34" s="1997"/>
    </row>
    <row r="35" spans="1:16" x14ac:dyDescent="0.2">
      <c r="A35" s="2017" t="s">
        <v>2149</v>
      </c>
      <c r="B35" s="1987"/>
      <c r="C35" s="1974"/>
      <c r="D35" s="2007"/>
      <c r="E35" s="1972"/>
      <c r="F35" s="1988"/>
      <c r="G35" s="1988"/>
      <c r="H35" s="1988"/>
      <c r="I35" s="1988"/>
      <c r="J35" s="1988"/>
      <c r="K35" s="1988"/>
      <c r="L35" s="1988"/>
      <c r="M35" s="1988"/>
      <c r="N35" s="1989"/>
      <c r="P35" s="1997"/>
    </row>
    <row r="36" spans="1:16" x14ac:dyDescent="0.2">
      <c r="A36" s="1990" t="s">
        <v>2150</v>
      </c>
      <c r="B36" s="1990"/>
      <c r="C36" s="1991"/>
      <c r="D36" s="2015">
        <v>84.048000000000002</v>
      </c>
      <c r="E36" s="2016" t="s">
        <v>2151</v>
      </c>
      <c r="F36" s="1994">
        <v>40961</v>
      </c>
      <c r="G36" s="1994">
        <v>0</v>
      </c>
      <c r="H36" s="1994"/>
      <c r="I36" s="1994">
        <v>40961</v>
      </c>
      <c r="J36" s="1994"/>
      <c r="K36" s="1994">
        <v>0</v>
      </c>
      <c r="L36" s="1994"/>
      <c r="M36" s="1995">
        <f>SUM(I36:L36)</f>
        <v>40961</v>
      </c>
      <c r="N36" s="1996">
        <v>44154</v>
      </c>
      <c r="P36" s="1997"/>
    </row>
    <row r="37" spans="1:16" x14ac:dyDescent="0.2">
      <c r="A37" s="1987"/>
      <c r="B37" s="1987"/>
      <c r="C37" s="1974"/>
      <c r="D37" s="1970"/>
      <c r="E37" s="1972"/>
      <c r="F37" s="1988"/>
      <c r="G37" s="1988"/>
      <c r="H37" s="1988"/>
      <c r="I37" s="1988"/>
      <c r="J37" s="1988"/>
      <c r="K37" s="1988"/>
      <c r="L37" s="1988"/>
      <c r="M37" s="1972"/>
      <c r="N37" s="1989"/>
    </row>
    <row r="38" spans="1:16" x14ac:dyDescent="0.2">
      <c r="A38" s="1990"/>
      <c r="B38" s="1990"/>
      <c r="C38" s="1991"/>
      <c r="D38" s="2015">
        <v>84.048000000000002</v>
      </c>
      <c r="E38" s="2016" t="s">
        <v>2152</v>
      </c>
      <c r="F38" s="1994">
        <v>0</v>
      </c>
      <c r="G38" s="1994">
        <v>39084</v>
      </c>
      <c r="H38" s="1994"/>
      <c r="I38" s="1994">
        <v>0</v>
      </c>
      <c r="J38" s="1994"/>
      <c r="K38" s="1994">
        <v>39084</v>
      </c>
      <c r="L38" s="1994"/>
      <c r="M38" s="1995">
        <f>SUM(I38:L38)</f>
        <v>39084</v>
      </c>
      <c r="N38" s="1996">
        <v>40887</v>
      </c>
      <c r="P38" s="1997"/>
    </row>
    <row r="39" spans="1:16" x14ac:dyDescent="0.2">
      <c r="A39" s="1987" t="s">
        <v>2153</v>
      </c>
      <c r="B39" s="1987"/>
      <c r="C39" s="1974"/>
      <c r="D39" s="2007"/>
      <c r="E39" s="1972"/>
      <c r="F39" s="1988">
        <f>SUBTOTAL(9,F35:F38)</f>
        <v>40961</v>
      </c>
      <c r="G39" s="1988">
        <f t="shared" ref="G39:M39" si="4">SUBTOTAL(9,G35:G38)</f>
        <v>39084</v>
      </c>
      <c r="H39" s="1988">
        <f t="shared" si="4"/>
        <v>0</v>
      </c>
      <c r="I39" s="1988">
        <f t="shared" si="4"/>
        <v>40961</v>
      </c>
      <c r="J39" s="1988">
        <f t="shared" si="4"/>
        <v>0</v>
      </c>
      <c r="K39" s="1988">
        <f t="shared" si="4"/>
        <v>39084</v>
      </c>
      <c r="L39" s="1988">
        <f t="shared" si="4"/>
        <v>0</v>
      </c>
      <c r="M39" s="1988">
        <f t="shared" si="4"/>
        <v>80045</v>
      </c>
      <c r="N39" s="1989"/>
      <c r="P39" s="1997"/>
    </row>
    <row r="40" spans="1:16" x14ac:dyDescent="0.2">
      <c r="A40" s="1990"/>
      <c r="B40" s="1990"/>
      <c r="C40" s="1991"/>
      <c r="D40" s="1991"/>
      <c r="E40" s="1991"/>
      <c r="F40" s="1994"/>
      <c r="G40" s="1994"/>
      <c r="H40" s="1994"/>
      <c r="I40" s="1994"/>
      <c r="J40" s="1994"/>
      <c r="K40" s="1994"/>
      <c r="L40" s="1994"/>
      <c r="M40" s="1991"/>
      <c r="N40" s="2018"/>
    </row>
    <row r="41" spans="1:16" ht="12" thickBot="1" x14ac:dyDescent="0.25">
      <c r="A41" s="1983" t="s">
        <v>2154</v>
      </c>
      <c r="B41" s="1984"/>
      <c r="C41" s="1985"/>
      <c r="D41" s="1985"/>
      <c r="E41" s="1985"/>
      <c r="F41" s="2019">
        <f t="shared" ref="F41:M41" si="5">SUBTOTAL(9,F15:F40)</f>
        <v>837245</v>
      </c>
      <c r="G41" s="2019">
        <f t="shared" si="5"/>
        <v>823946</v>
      </c>
      <c r="H41" s="2019">
        <f t="shared" si="5"/>
        <v>0</v>
      </c>
      <c r="I41" s="2019">
        <f t="shared" si="5"/>
        <v>837245</v>
      </c>
      <c r="J41" s="2019">
        <f t="shared" si="5"/>
        <v>0</v>
      </c>
      <c r="K41" s="2019">
        <f t="shared" si="5"/>
        <v>823946</v>
      </c>
      <c r="L41" s="2019">
        <f t="shared" si="5"/>
        <v>0</v>
      </c>
      <c r="M41" s="2019">
        <f t="shared" si="5"/>
        <v>1661191</v>
      </c>
      <c r="N41" s="2020"/>
      <c r="O41" s="1987"/>
    </row>
    <row r="42" spans="1:16" ht="12" thickTop="1" x14ac:dyDescent="0.2">
      <c r="A42" s="1981" t="s">
        <v>2155</v>
      </c>
      <c r="C42" s="1974"/>
      <c r="D42" s="1974"/>
      <c r="E42" s="1974"/>
      <c r="F42" s="1988"/>
      <c r="G42" s="1988"/>
      <c r="H42" s="1988"/>
      <c r="I42" s="1988"/>
      <c r="J42" s="1988"/>
      <c r="K42" s="1988"/>
      <c r="L42" s="1988"/>
      <c r="M42" s="1974"/>
      <c r="N42" s="1989"/>
      <c r="O42" s="1987"/>
    </row>
    <row r="43" spans="1:16" x14ac:dyDescent="0.2">
      <c r="A43" s="2021" t="s">
        <v>2156</v>
      </c>
      <c r="B43" s="2021"/>
      <c r="C43" s="2022"/>
      <c r="D43" s="2022"/>
      <c r="E43" s="1991"/>
      <c r="F43" s="1994"/>
      <c r="G43" s="1994"/>
      <c r="H43" s="1994"/>
      <c r="I43" s="1994"/>
      <c r="J43" s="1994"/>
      <c r="K43" s="2023"/>
      <c r="L43" s="1994"/>
      <c r="M43" s="1991"/>
      <c r="N43" s="2018"/>
      <c r="O43" s="1987"/>
    </row>
    <row r="44" spans="1:16" x14ac:dyDescent="0.2">
      <c r="A44" s="1981"/>
      <c r="B44" s="1981"/>
      <c r="C44" s="2024"/>
      <c r="D44" s="2024"/>
      <c r="E44" s="1974"/>
      <c r="F44" s="1988"/>
      <c r="G44" s="1988"/>
      <c r="H44" s="1988"/>
      <c r="I44" s="1988"/>
      <c r="J44" s="1988"/>
      <c r="K44" s="2009"/>
      <c r="L44" s="1988"/>
      <c r="M44" s="1974"/>
      <c r="N44" s="1989"/>
      <c r="O44" s="1987"/>
    </row>
    <row r="45" spans="1:16" x14ac:dyDescent="0.2">
      <c r="A45" s="1984" t="s">
        <v>2157</v>
      </c>
      <c r="B45" s="1990"/>
      <c r="C45" s="1991"/>
      <c r="D45" s="2025" t="s">
        <v>2158</v>
      </c>
      <c r="E45" s="1993" t="s">
        <v>2159</v>
      </c>
      <c r="F45" s="2006">
        <v>37209</v>
      </c>
      <c r="G45" s="1994">
        <v>0</v>
      </c>
      <c r="H45" s="1994"/>
      <c r="I45" s="1994">
        <v>37209</v>
      </c>
      <c r="J45" s="1994"/>
      <c r="K45" s="1994">
        <v>0</v>
      </c>
      <c r="L45" s="1994"/>
      <c r="M45" s="1994">
        <f>SUM(I45:L45)</f>
        <v>37209</v>
      </c>
      <c r="N45" s="2026" t="s">
        <v>2102</v>
      </c>
      <c r="O45" s="1987"/>
    </row>
    <row r="46" spans="1:16" x14ac:dyDescent="0.2">
      <c r="A46" s="1987"/>
      <c r="B46" s="1987"/>
      <c r="C46" s="1974"/>
      <c r="D46" s="1970"/>
      <c r="E46" s="1972"/>
      <c r="F46" s="2027"/>
      <c r="G46" s="2028"/>
      <c r="H46" s="2028"/>
      <c r="I46" s="2028"/>
      <c r="J46" s="2028"/>
      <c r="K46" s="2028"/>
      <c r="L46" s="2028"/>
      <c r="M46" s="2029"/>
      <c r="N46" s="2005"/>
      <c r="O46" s="1987"/>
    </row>
    <row r="47" spans="1:16" x14ac:dyDescent="0.2">
      <c r="A47" s="1990"/>
      <c r="B47" s="1990"/>
      <c r="C47" s="1991"/>
      <c r="D47" s="2030" t="s">
        <v>2158</v>
      </c>
      <c r="E47" s="1993" t="s">
        <v>2160</v>
      </c>
      <c r="F47" s="2006">
        <v>0</v>
      </c>
      <c r="G47" s="1994">
        <f>21933+16351</f>
        <v>38284</v>
      </c>
      <c r="H47" s="1994"/>
      <c r="I47" s="1994">
        <v>0</v>
      </c>
      <c r="J47" s="1994"/>
      <c r="K47" s="1994">
        <v>38284</v>
      </c>
      <c r="L47" s="1994"/>
      <c r="M47" s="2006">
        <f>SUM(I47:L47)</f>
        <v>38284</v>
      </c>
      <c r="N47" s="2026" t="s">
        <v>2102</v>
      </c>
      <c r="O47" s="1987"/>
    </row>
    <row r="48" spans="1:16" x14ac:dyDescent="0.2">
      <c r="A48" s="1987" t="s">
        <v>2161</v>
      </c>
      <c r="B48" s="1987"/>
      <c r="C48" s="1974"/>
      <c r="D48" s="1970"/>
      <c r="E48" s="1972"/>
      <c r="F48" s="1988">
        <f t="shared" ref="F48:L48" si="6">SUBTOTAL(9,F45:F47)</f>
        <v>37209</v>
      </c>
      <c r="G48" s="1988">
        <f t="shared" si="6"/>
        <v>38284</v>
      </c>
      <c r="H48" s="1988">
        <f t="shared" si="6"/>
        <v>0</v>
      </c>
      <c r="I48" s="1988">
        <f t="shared" si="6"/>
        <v>37209</v>
      </c>
      <c r="J48" s="1988">
        <f t="shared" si="6"/>
        <v>0</v>
      </c>
      <c r="K48" s="1988">
        <f t="shared" si="6"/>
        <v>38284</v>
      </c>
      <c r="L48" s="1988">
        <f t="shared" si="6"/>
        <v>0</v>
      </c>
      <c r="M48" s="1988">
        <f>SUM(M45:M47)</f>
        <v>75493</v>
      </c>
      <c r="N48" s="2005"/>
      <c r="O48" s="1987"/>
    </row>
    <row r="49" spans="1:16" x14ac:dyDescent="0.2">
      <c r="A49" s="1990"/>
      <c r="B49" s="1990"/>
      <c r="C49" s="1991"/>
      <c r="D49" s="1991"/>
      <c r="E49" s="1991"/>
      <c r="F49" s="1994"/>
      <c r="G49" s="1994"/>
      <c r="H49" s="1994"/>
      <c r="I49" s="1994"/>
      <c r="J49" s="1994"/>
      <c r="K49" s="1994"/>
      <c r="L49" s="1994"/>
      <c r="M49" s="1991"/>
      <c r="N49" s="2018"/>
      <c r="O49" s="1987"/>
    </row>
    <row r="50" spans="1:16" ht="12" thickBot="1" x14ac:dyDescent="0.25">
      <c r="A50" s="1983" t="s">
        <v>2162</v>
      </c>
      <c r="B50" s="1984"/>
      <c r="C50" s="1985"/>
      <c r="D50" s="1985"/>
      <c r="E50" s="1985"/>
      <c r="F50" s="2019">
        <f>SUBTOTAL(9,F45:F49)</f>
        <v>37209</v>
      </c>
      <c r="G50" s="2019">
        <f t="shared" ref="G50:L50" si="7">SUBTOTAL(9,G45:G49)</f>
        <v>38284</v>
      </c>
      <c r="H50" s="2019">
        <f t="shared" si="7"/>
        <v>0</v>
      </c>
      <c r="I50" s="2019">
        <f t="shared" si="7"/>
        <v>37209</v>
      </c>
      <c r="J50" s="2019">
        <f t="shared" si="7"/>
        <v>0</v>
      </c>
      <c r="K50" s="2019">
        <f t="shared" si="7"/>
        <v>38284</v>
      </c>
      <c r="L50" s="2019">
        <f t="shared" si="7"/>
        <v>0</v>
      </c>
      <c r="M50" s="2019">
        <f>+M48</f>
        <v>75493</v>
      </c>
      <c r="N50" s="2020"/>
      <c r="O50" s="1987"/>
    </row>
    <row r="51" spans="1:16" ht="12" thickTop="1" x14ac:dyDescent="0.2">
      <c r="A51" s="2031"/>
      <c r="B51" s="1987"/>
      <c r="C51" s="1974"/>
      <c r="D51" s="1974"/>
      <c r="E51" s="1974"/>
      <c r="F51" s="1988"/>
      <c r="G51" s="1988"/>
      <c r="H51" s="1988"/>
      <c r="I51" s="1988"/>
      <c r="J51" s="1988"/>
      <c r="K51" s="1988"/>
      <c r="L51" s="1988"/>
      <c r="M51" s="1974"/>
      <c r="N51" s="1989"/>
      <c r="O51" s="1987"/>
    </row>
    <row r="52" spans="1:16" x14ac:dyDescent="0.2">
      <c r="A52" s="1981" t="s">
        <v>2163</v>
      </c>
      <c r="C52" s="1974"/>
      <c r="D52" s="1974"/>
      <c r="E52" s="1974"/>
      <c r="F52" s="1988"/>
      <c r="G52" s="1988"/>
      <c r="H52" s="1988"/>
      <c r="I52" s="1988"/>
      <c r="J52" s="1988"/>
      <c r="K52" s="1988"/>
      <c r="L52" s="1988"/>
      <c r="M52" s="1974"/>
      <c r="N52" s="1989"/>
    </row>
    <row r="53" spans="1:16" x14ac:dyDescent="0.2">
      <c r="A53" s="2021" t="s">
        <v>2126</v>
      </c>
      <c r="B53" s="1990"/>
      <c r="C53" s="1991"/>
      <c r="D53" s="1991"/>
      <c r="E53" s="1991"/>
      <c r="F53" s="1994"/>
      <c r="G53" s="1994"/>
      <c r="H53" s="1994"/>
      <c r="I53" s="1994"/>
      <c r="J53" s="1994"/>
      <c r="K53" s="1994"/>
      <c r="L53" s="1994"/>
      <c r="M53" s="2032"/>
      <c r="N53" s="2018"/>
    </row>
    <row r="54" spans="1:16" x14ac:dyDescent="0.2">
      <c r="A54" s="2033"/>
      <c r="B54" s="2034"/>
      <c r="C54" s="2035"/>
      <c r="D54" s="2036"/>
      <c r="E54" s="1972"/>
      <c r="F54" s="1988"/>
      <c r="G54" s="1988"/>
      <c r="H54" s="1988"/>
      <c r="I54" s="1988"/>
      <c r="J54" s="1988"/>
      <c r="K54" s="1988"/>
      <c r="L54" s="1988"/>
      <c r="M54" s="1972" t="s">
        <v>2164</v>
      </c>
      <c r="N54" s="2005"/>
    </row>
    <row r="55" spans="1:16" x14ac:dyDescent="0.2">
      <c r="A55" s="2037" t="s">
        <v>2165</v>
      </c>
      <c r="B55" s="2038"/>
      <c r="C55" s="2039"/>
      <c r="D55" s="2040" t="s">
        <v>2166</v>
      </c>
      <c r="E55" s="1993" t="s">
        <v>2167</v>
      </c>
      <c r="F55" s="1994">
        <v>12238</v>
      </c>
      <c r="G55" s="1994">
        <v>2150</v>
      </c>
      <c r="H55" s="1994"/>
      <c r="I55" s="1994">
        <v>12238</v>
      </c>
      <c r="J55" s="1994"/>
      <c r="K55" s="1994">
        <v>2150</v>
      </c>
      <c r="L55" s="1994"/>
      <c r="M55" s="2006">
        <f>SUM(I55:L55)</f>
        <v>14388</v>
      </c>
      <c r="N55" s="2026" t="s">
        <v>2102</v>
      </c>
      <c r="P55" s="1997" t="s">
        <v>2168</v>
      </c>
    </row>
    <row r="56" spans="1:16" x14ac:dyDescent="0.2">
      <c r="A56" s="2033"/>
      <c r="B56" s="2034"/>
      <c r="C56" s="2035"/>
      <c r="D56" s="2041"/>
      <c r="E56" s="1972"/>
      <c r="F56" s="1988"/>
      <c r="G56" s="1988"/>
      <c r="H56" s="1988"/>
      <c r="I56" s="1988"/>
      <c r="J56" s="1988"/>
      <c r="K56" s="1988"/>
      <c r="L56" s="1988"/>
      <c r="M56" s="1972" t="s">
        <v>2164</v>
      </c>
      <c r="N56" s="2005"/>
    </row>
    <row r="57" spans="1:16" x14ac:dyDescent="0.2">
      <c r="A57" s="2037"/>
      <c r="B57" s="2038"/>
      <c r="C57" s="2039"/>
      <c r="D57" s="2040" t="s">
        <v>2166</v>
      </c>
      <c r="E57" s="1993" t="s">
        <v>2169</v>
      </c>
      <c r="F57" s="2006">
        <v>0</v>
      </c>
      <c r="G57" s="1994">
        <v>10459</v>
      </c>
      <c r="H57" s="1994"/>
      <c r="I57" s="1994">
        <v>0</v>
      </c>
      <c r="J57" s="1994"/>
      <c r="K57" s="1994">
        <v>10459</v>
      </c>
      <c r="L57" s="1994"/>
      <c r="M57" s="2006">
        <f>SUM(I57:L57)</f>
        <v>10459</v>
      </c>
      <c r="N57" s="2026" t="s">
        <v>2102</v>
      </c>
      <c r="P57" s="1997" t="s">
        <v>2170</v>
      </c>
    </row>
    <row r="58" spans="1:16" x14ac:dyDescent="0.2">
      <c r="A58" s="2033" t="s">
        <v>2171</v>
      </c>
      <c r="B58" s="2034"/>
      <c r="C58" s="2035"/>
      <c r="D58" s="2041"/>
      <c r="E58" s="1972"/>
      <c r="F58" s="1988">
        <f>SUBTOTAL(9,F55:F57)</f>
        <v>12238</v>
      </c>
      <c r="G58" s="1988">
        <f t="shared" ref="G58:L58" si="8">SUBTOTAL(9,G55:G57)</f>
        <v>12609</v>
      </c>
      <c r="H58" s="1988">
        <f t="shared" si="8"/>
        <v>0</v>
      </c>
      <c r="I58" s="1988">
        <f t="shared" si="8"/>
        <v>12238</v>
      </c>
      <c r="J58" s="1988">
        <f t="shared" si="8"/>
        <v>0</v>
      </c>
      <c r="K58" s="1988">
        <f t="shared" si="8"/>
        <v>12609</v>
      </c>
      <c r="L58" s="1988">
        <f t="shared" si="8"/>
        <v>0</v>
      </c>
      <c r="M58" s="1988">
        <f>SUBTOTAL(9,M55:M57)</f>
        <v>24847</v>
      </c>
      <c r="N58" s="2005"/>
      <c r="P58" s="1997"/>
    </row>
    <row r="59" spans="1:16" x14ac:dyDescent="0.2">
      <c r="B59" s="1987"/>
      <c r="C59" s="1974"/>
      <c r="D59" s="1970"/>
      <c r="E59" s="1972"/>
      <c r="F59" s="2042"/>
      <c r="G59" s="1988"/>
      <c r="H59" s="1988"/>
      <c r="I59" s="1988"/>
      <c r="J59" s="1988"/>
      <c r="K59" s="1988"/>
      <c r="L59" s="1988"/>
      <c r="M59" s="1974"/>
      <c r="N59" s="2005"/>
    </row>
    <row r="60" spans="1:16" ht="12" thickBot="1" x14ac:dyDescent="0.25">
      <c r="A60" s="1983" t="s">
        <v>2172</v>
      </c>
      <c r="B60" s="1983"/>
      <c r="C60" s="2043"/>
      <c r="D60" s="1985"/>
      <c r="E60" s="1985"/>
      <c r="F60" s="2019">
        <f t="shared" ref="F60:M60" si="9">SUBTOTAL(9,F53:F59)</f>
        <v>12238</v>
      </c>
      <c r="G60" s="2019">
        <f t="shared" si="9"/>
        <v>12609</v>
      </c>
      <c r="H60" s="2019">
        <f t="shared" si="9"/>
        <v>0</v>
      </c>
      <c r="I60" s="2019">
        <f t="shared" si="9"/>
        <v>12238</v>
      </c>
      <c r="J60" s="2019">
        <f t="shared" si="9"/>
        <v>0</v>
      </c>
      <c r="K60" s="2019">
        <f t="shared" si="9"/>
        <v>12609</v>
      </c>
      <c r="L60" s="2019">
        <f t="shared" si="9"/>
        <v>0</v>
      </c>
      <c r="M60" s="2019">
        <f t="shared" si="9"/>
        <v>24847</v>
      </c>
      <c r="N60" s="2020"/>
    </row>
    <row r="61" spans="1:16" ht="12" thickTop="1" x14ac:dyDescent="0.2">
      <c r="A61" s="1981"/>
      <c r="B61" s="1981"/>
      <c r="C61" s="2024"/>
      <c r="D61" s="1974"/>
      <c r="E61" s="1974"/>
      <c r="F61" s="1988"/>
      <c r="G61" s="1988"/>
      <c r="H61" s="1988"/>
      <c r="I61" s="1988"/>
      <c r="J61" s="1988"/>
      <c r="K61" s="1988"/>
      <c r="L61" s="1988"/>
      <c r="M61" s="1974"/>
      <c r="N61" s="1989"/>
    </row>
    <row r="62" spans="1:16" ht="12" thickBot="1" x14ac:dyDescent="0.25">
      <c r="A62" s="1983" t="s">
        <v>2173</v>
      </c>
      <c r="B62" s="1983"/>
      <c r="C62" s="2043"/>
      <c r="D62" s="1985"/>
      <c r="E62" s="1985"/>
      <c r="F62" s="2044">
        <f>SUBTOTAL(9,F15:F61)</f>
        <v>886692</v>
      </c>
      <c r="G62" s="2044">
        <f>SUBTOTAL(9,G15:G61)</f>
        <v>874839</v>
      </c>
      <c r="H62" s="2044"/>
      <c r="I62" s="2044">
        <f>SUBTOTAL(9,I15:I61)</f>
        <v>886692</v>
      </c>
      <c r="J62" s="2044"/>
      <c r="K62" s="2044">
        <f>SUBTOTAL(9,K15:K61)</f>
        <v>874839</v>
      </c>
      <c r="L62" s="2044">
        <f>SUBTOTAL(9,L15:L61)</f>
        <v>0</v>
      </c>
      <c r="M62" s="2044">
        <f>+M60+M50+M41</f>
        <v>1761531</v>
      </c>
      <c r="N62" s="2045"/>
      <c r="O62" s="1987"/>
    </row>
    <row r="63" spans="1:16" ht="12" thickTop="1" x14ac:dyDescent="0.2"/>
    <row r="64" spans="1:16" x14ac:dyDescent="0.2">
      <c r="A64" s="2046" t="s">
        <v>2174</v>
      </c>
    </row>
    <row r="65" spans="1:1" x14ac:dyDescent="0.2">
      <c r="A65" s="1981" t="s">
        <v>2175</v>
      </c>
    </row>
    <row r="66" spans="1:1" x14ac:dyDescent="0.2">
      <c r="A66" s="1981" t="s">
        <v>2176</v>
      </c>
    </row>
    <row r="67" spans="1:1" x14ac:dyDescent="0.2">
      <c r="A67" s="1981"/>
    </row>
    <row r="68" spans="1:1" x14ac:dyDescent="0.2">
      <c r="A68" s="1951" t="s">
        <v>1308</v>
      </c>
    </row>
  </sheetData>
  <mergeCells count="7">
    <mergeCell ref="A10:C10"/>
    <mergeCell ref="A1:N1"/>
    <mergeCell ref="A2:N2"/>
    <mergeCell ref="A3:N3"/>
    <mergeCell ref="A4:N4"/>
    <mergeCell ref="A5:N5"/>
    <mergeCell ref="L8:L9"/>
  </mergeCells>
  <printOptions horizontalCentered="1"/>
  <pageMargins left="0.25" right="0.25" top="0.25" bottom="0.25" header="0.5" footer="0.5"/>
  <pageSetup scale="88" fitToHeight="2" orientation="landscape" r:id="rId1"/>
  <rowBreaks count="1" manualBreakCount="1">
    <brk id="41"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60" t="s">
        <v>1230</v>
      </c>
      <c r="B2" s="2160"/>
      <c r="C2" s="2160"/>
      <c r="D2" s="2160"/>
      <c r="E2" s="2160"/>
      <c r="F2" s="2160"/>
      <c r="G2" s="2160"/>
      <c r="H2" s="2160"/>
      <c r="I2" s="2160"/>
      <c r="J2" s="21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74" t="s">
        <v>1731</v>
      </c>
      <c r="B35" s="2175"/>
      <c r="C35" s="2175"/>
      <c r="D35" s="2175"/>
      <c r="E35" s="2176"/>
      <c r="F35" s="2176"/>
      <c r="G35" s="2176"/>
      <c r="H35" s="2176"/>
      <c r="I35" s="21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74" t="s">
        <v>331</v>
      </c>
      <c r="B47" s="2177"/>
      <c r="C47" s="2177"/>
      <c r="D47" s="2177"/>
      <c r="E47" s="2178"/>
      <c r="F47" s="2178"/>
      <c r="G47" s="2178"/>
      <c r="H47" s="2178"/>
      <c r="I47" s="21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81"/>
      <c r="C57" s="2182"/>
      <c r="D57" s="2182"/>
      <c r="E57" s="2182"/>
      <c r="F57" s="2182"/>
      <c r="G57" s="2182"/>
      <c r="H57" s="2182"/>
      <c r="I57" s="2182"/>
      <c r="J57" s="2183"/>
    </row>
    <row r="58" spans="1:10" s="181" customFormat="1" x14ac:dyDescent="0.2">
      <c r="A58" s="253"/>
      <c r="B58" s="2184"/>
      <c r="C58" s="2185"/>
      <c r="D58" s="2185"/>
      <c r="E58" s="2185"/>
      <c r="F58" s="2185"/>
      <c r="G58" s="2185"/>
      <c r="H58" s="2185"/>
      <c r="I58" s="2185"/>
      <c r="J58" s="2186"/>
    </row>
    <row r="59" spans="1:10" s="181" customFormat="1" x14ac:dyDescent="0.2">
      <c r="A59" s="253"/>
      <c r="B59" s="2184"/>
      <c r="C59" s="2185"/>
      <c r="D59" s="2185"/>
      <c r="E59" s="2185"/>
      <c r="F59" s="2185"/>
      <c r="G59" s="2185"/>
      <c r="H59" s="2185"/>
      <c r="I59" s="2185"/>
      <c r="J59" s="2186"/>
    </row>
    <row r="60" spans="1:10" s="181" customFormat="1" x14ac:dyDescent="0.2">
      <c r="A60" s="253"/>
      <c r="B60" s="2184"/>
      <c r="C60" s="2185"/>
      <c r="D60" s="2185"/>
      <c r="E60" s="2185"/>
      <c r="F60" s="2185"/>
      <c r="G60" s="2185"/>
      <c r="H60" s="2185"/>
      <c r="I60" s="2185"/>
      <c r="J60" s="2186"/>
    </row>
    <row r="61" spans="1:10" s="181" customFormat="1" x14ac:dyDescent="0.2">
      <c r="A61" s="253"/>
      <c r="B61" s="2184"/>
      <c r="C61" s="2185"/>
      <c r="D61" s="2185"/>
      <c r="E61" s="2185"/>
      <c r="F61" s="2185"/>
      <c r="G61" s="2185"/>
      <c r="H61" s="2185"/>
      <c r="I61" s="2185"/>
      <c r="J61" s="2186"/>
    </row>
    <row r="62" spans="1:10" s="181" customFormat="1" x14ac:dyDescent="0.2">
      <c r="A62" s="253"/>
      <c r="B62" s="2184"/>
      <c r="C62" s="2185"/>
      <c r="D62" s="2185"/>
      <c r="E62" s="2185"/>
      <c r="F62" s="2185"/>
      <c r="G62" s="2185"/>
      <c r="H62" s="2185"/>
      <c r="I62" s="2185"/>
      <c r="J62" s="2186"/>
    </row>
    <row r="63" spans="1:10" s="181" customFormat="1" x14ac:dyDescent="0.2">
      <c r="A63" s="253"/>
      <c r="B63" s="2184"/>
      <c r="C63" s="2185"/>
      <c r="D63" s="2185"/>
      <c r="E63" s="2185"/>
      <c r="F63" s="2185"/>
      <c r="G63" s="2185"/>
      <c r="H63" s="2185"/>
      <c r="I63" s="2185"/>
      <c r="J63" s="2186"/>
    </row>
    <row r="64" spans="1:10" s="181" customFormat="1" x14ac:dyDescent="0.2">
      <c r="A64" s="253"/>
      <c r="B64" s="2184"/>
      <c r="C64" s="2185"/>
      <c r="D64" s="2185"/>
      <c r="E64" s="2185"/>
      <c r="F64" s="2185"/>
      <c r="G64" s="2185"/>
      <c r="H64" s="2185"/>
      <c r="I64" s="2185"/>
      <c r="J64" s="2186"/>
    </row>
    <row r="65" spans="1:10" s="181" customFormat="1" x14ac:dyDescent="0.2">
      <c r="A65" s="253"/>
      <c r="B65" s="2184"/>
      <c r="C65" s="2185"/>
      <c r="D65" s="2185"/>
      <c r="E65" s="2185"/>
      <c r="F65" s="2185"/>
      <c r="G65" s="2185"/>
      <c r="H65" s="2185"/>
      <c r="I65" s="2185"/>
      <c r="J65" s="2186"/>
    </row>
    <row r="66" spans="1:10" s="181" customFormat="1" x14ac:dyDescent="0.2">
      <c r="A66" s="253"/>
      <c r="B66" s="2184"/>
      <c r="C66" s="2185"/>
      <c r="D66" s="2185"/>
      <c r="E66" s="2185"/>
      <c r="F66" s="2185"/>
      <c r="G66" s="2185"/>
      <c r="H66" s="2185"/>
      <c r="I66" s="2185"/>
      <c r="J66" s="2186"/>
    </row>
    <row r="67" spans="1:10" s="181" customFormat="1" ht="9" customHeight="1" x14ac:dyDescent="0.2">
      <c r="A67" s="254"/>
      <c r="B67" s="2187"/>
      <c r="C67" s="2188"/>
      <c r="D67" s="2188"/>
      <c r="E67" s="2188"/>
      <c r="F67" s="2188"/>
      <c r="G67" s="2188"/>
      <c r="H67" s="2188"/>
      <c r="I67" s="2188"/>
      <c r="J67" s="21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74" t="s">
        <v>1390</v>
      </c>
      <c r="B70" s="2177"/>
      <c r="C70" s="2177"/>
      <c r="D70" s="2177"/>
      <c r="E70" s="2178"/>
      <c r="F70" s="2178"/>
      <c r="G70" s="2178"/>
      <c r="H70" s="2178"/>
      <c r="I70" s="21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79" t="s">
        <v>1387</v>
      </c>
      <c r="B83" s="2179"/>
      <c r="C83" s="2179"/>
      <c r="D83" s="21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15187</v>
      </c>
      <c r="G85" s="276">
        <v>239107</v>
      </c>
      <c r="H85" s="276">
        <v>126835</v>
      </c>
      <c r="I85" s="276"/>
      <c r="J85" s="277">
        <f>SUM(E85:I85)</f>
        <v>381129</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v>15187</v>
      </c>
      <c r="G88" s="276">
        <v>239107</v>
      </c>
      <c r="H88" s="276">
        <v>126835</v>
      </c>
      <c r="I88" s="276"/>
      <c r="J88" s="277">
        <f>SUM(E88:I88)</f>
        <v>381129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762258</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61"/>
      <c r="C102" s="2162"/>
      <c r="D102" s="2162"/>
      <c r="E102" s="2162"/>
      <c r="F102" s="2162"/>
      <c r="G102" s="2162"/>
      <c r="H102" s="2162"/>
      <c r="I102" s="2163"/>
    </row>
    <row r="103" spans="1:9" s="181" customFormat="1" ht="11.25" customHeight="1" x14ac:dyDescent="0.2">
      <c r="A103" s="316"/>
      <c r="B103" s="2164"/>
      <c r="C103" s="2165"/>
      <c r="D103" s="2165"/>
      <c r="E103" s="2165"/>
      <c r="F103" s="2165"/>
      <c r="G103" s="2165"/>
      <c r="H103" s="2165"/>
      <c r="I103" s="2166"/>
    </row>
    <row r="104" spans="1:9" s="181" customFormat="1" ht="11.25" customHeight="1" x14ac:dyDescent="0.2">
      <c r="A104" s="316"/>
      <c r="B104" s="2164"/>
      <c r="C104" s="2165"/>
      <c r="D104" s="2165"/>
      <c r="E104" s="2165"/>
      <c r="F104" s="2165"/>
      <c r="G104" s="2165"/>
      <c r="H104" s="2165"/>
      <c r="I104" s="2166"/>
    </row>
    <row r="105" spans="1:9" s="181" customFormat="1" x14ac:dyDescent="0.2">
      <c r="A105" s="316"/>
      <c r="B105" s="2164"/>
      <c r="C105" s="2165"/>
      <c r="D105" s="2165"/>
      <c r="E105" s="2165"/>
      <c r="F105" s="2165"/>
      <c r="G105" s="2165"/>
      <c r="H105" s="2165"/>
      <c r="I105" s="2166"/>
    </row>
    <row r="106" spans="1:9" s="181" customFormat="1" ht="11.25" customHeight="1" x14ac:dyDescent="0.2">
      <c r="A106" s="316"/>
      <c r="B106" s="2164"/>
      <c r="C106" s="2165"/>
      <c r="D106" s="2165"/>
      <c r="E106" s="2165"/>
      <c r="F106" s="2165"/>
      <c r="G106" s="2165"/>
      <c r="H106" s="2165"/>
      <c r="I106" s="2166"/>
    </row>
    <row r="107" spans="1:9" s="181" customFormat="1" ht="11.25" customHeight="1" x14ac:dyDescent="0.2">
      <c r="A107" s="316"/>
      <c r="B107" s="2164"/>
      <c r="C107" s="2165"/>
      <c r="D107" s="2165"/>
      <c r="E107" s="2165"/>
      <c r="F107" s="2165"/>
      <c r="G107" s="2165"/>
      <c r="H107" s="2165"/>
      <c r="I107" s="2166"/>
    </row>
    <row r="108" spans="1:9" s="181" customFormat="1" ht="11.25" customHeight="1" x14ac:dyDescent="0.2">
      <c r="A108" s="316"/>
      <c r="B108" s="2164"/>
      <c r="C108" s="2165"/>
      <c r="D108" s="2165"/>
      <c r="E108" s="2165"/>
      <c r="F108" s="2165"/>
      <c r="G108" s="2165"/>
      <c r="H108" s="2165"/>
      <c r="I108" s="2166"/>
    </row>
    <row r="109" spans="1:9" s="181" customFormat="1" ht="11.25" customHeight="1" x14ac:dyDescent="0.2">
      <c r="A109" s="316"/>
      <c r="B109" s="2164"/>
      <c r="C109" s="2165"/>
      <c r="D109" s="2165"/>
      <c r="E109" s="2165"/>
      <c r="F109" s="2165"/>
      <c r="G109" s="2165"/>
      <c r="H109" s="2165"/>
      <c r="I109" s="2166"/>
    </row>
    <row r="110" spans="1:9" s="181" customFormat="1" ht="11.25" customHeight="1" x14ac:dyDescent="0.2">
      <c r="A110" s="316"/>
      <c r="B110" s="2164"/>
      <c r="C110" s="2165"/>
      <c r="D110" s="2165"/>
      <c r="E110" s="2165"/>
      <c r="F110" s="2165"/>
      <c r="G110" s="2165"/>
      <c r="H110" s="2165"/>
      <c r="I110" s="2166"/>
    </row>
    <row r="111" spans="1:9" s="181" customFormat="1" ht="11.25" customHeight="1" x14ac:dyDescent="0.2">
      <c r="A111" s="316"/>
      <c r="B111" s="2164"/>
      <c r="C111" s="2165"/>
      <c r="D111" s="2165"/>
      <c r="E111" s="2165"/>
      <c r="F111" s="2165"/>
      <c r="G111" s="2165"/>
      <c r="H111" s="2165"/>
      <c r="I111" s="2166"/>
    </row>
    <row r="112" spans="1:9" s="181" customFormat="1" ht="11.25" customHeight="1" x14ac:dyDescent="0.2">
      <c r="A112" s="316"/>
      <c r="B112" s="2167"/>
      <c r="C112" s="2168"/>
      <c r="D112" s="2168"/>
      <c r="E112" s="2168"/>
      <c r="F112" s="2168"/>
      <c r="G112" s="2168"/>
      <c r="H112" s="2168"/>
      <c r="I112" s="21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70" t="s">
        <v>2080</v>
      </c>
      <c r="D114" s="21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71" t="s">
        <v>1397</v>
      </c>
      <c r="D117" s="2172"/>
      <c r="E117" s="2173"/>
      <c r="F117" s="2173"/>
      <c r="G117" s="2173"/>
      <c r="H117" s="2173"/>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E19" sqref="E19"/>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499" t="str">
        <f>'Single Audit Cover'!A7</f>
        <v>Lyons Twp HSD 204</v>
      </c>
      <c r="C1" s="2560"/>
      <c r="D1" s="2560"/>
      <c r="E1" s="2560"/>
      <c r="F1" s="2560"/>
      <c r="G1" s="2560"/>
      <c r="H1" s="2560"/>
      <c r="I1" s="2560"/>
      <c r="J1" s="2560"/>
      <c r="K1" s="2560"/>
      <c r="L1" s="2560"/>
      <c r="M1" s="2560"/>
    </row>
    <row r="2" spans="2:14" ht="15" x14ac:dyDescent="0.2">
      <c r="B2" s="2549">
        <f>'Single Audit Cover'!E7</f>
        <v>6016204017</v>
      </c>
      <c r="C2" s="2549"/>
      <c r="D2" s="2549"/>
      <c r="E2" s="2549"/>
      <c r="F2" s="2549"/>
      <c r="G2" s="2549"/>
      <c r="H2" s="2549"/>
      <c r="I2" s="2549"/>
      <c r="J2" s="2549"/>
      <c r="K2" s="2549"/>
      <c r="L2" s="2549"/>
      <c r="M2" s="2549"/>
      <c r="N2" s="1291"/>
    </row>
    <row r="3" spans="2:14" ht="15" x14ac:dyDescent="0.2">
      <c r="B3" s="2561" t="s">
        <v>1281</v>
      </c>
      <c r="C3" s="2561"/>
      <c r="D3" s="2561"/>
      <c r="E3" s="2561"/>
      <c r="F3" s="2561"/>
      <c r="G3" s="2561"/>
      <c r="H3" s="2561"/>
      <c r="I3" s="2561"/>
      <c r="J3" s="2561"/>
      <c r="K3" s="2561"/>
      <c r="L3" s="2561"/>
      <c r="M3" s="2561"/>
      <c r="N3" s="1291"/>
    </row>
    <row r="4" spans="2:14" ht="15" x14ac:dyDescent="0.2">
      <c r="B4" s="2562" t="str">
        <f>'Single Audit Cover'!A4</f>
        <v>Year Ending June 30, 2018</v>
      </c>
      <c r="C4" s="2562"/>
      <c r="D4" s="2562"/>
      <c r="E4" s="2562"/>
      <c r="F4" s="2562"/>
      <c r="G4" s="2562"/>
      <c r="H4" s="2562"/>
      <c r="I4" s="2562"/>
      <c r="J4" s="2562"/>
      <c r="K4" s="2562"/>
      <c r="L4" s="2562"/>
      <c r="M4" s="2562"/>
      <c r="N4" s="1291"/>
    </row>
    <row r="6" spans="2:14" x14ac:dyDescent="0.2">
      <c r="B6" s="1292"/>
      <c r="C6" s="1293"/>
      <c r="D6" s="1294" t="s">
        <v>1327</v>
      </c>
      <c r="E6" s="1295" t="s">
        <v>548</v>
      </c>
      <c r="F6" s="1296"/>
      <c r="G6" s="1297" t="s">
        <v>1834</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1947</v>
      </c>
      <c r="K8" s="1308" t="s">
        <v>1323</v>
      </c>
      <c r="L8" s="1309" t="s">
        <v>1319</v>
      </c>
      <c r="M8" s="1310" t="s">
        <v>30</v>
      </c>
    </row>
    <row r="9" spans="2:14" ht="14.25" x14ac:dyDescent="0.2">
      <c r="B9" s="1314" t="s">
        <v>1321</v>
      </c>
      <c r="C9" s="1302" t="s">
        <v>1835</v>
      </c>
      <c r="D9" s="1303" t="s">
        <v>1836</v>
      </c>
      <c r="E9" s="1311" t="s">
        <v>1663</v>
      </c>
      <c r="F9" s="1312" t="s">
        <v>1947</v>
      </c>
      <c r="G9" s="1313" t="s">
        <v>1663</v>
      </c>
      <c r="H9" s="1306" t="s">
        <v>1664</v>
      </c>
      <c r="I9" s="1308" t="s">
        <v>1947</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1837</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1948</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1838</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1839</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1840</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1841</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0" zoomScale="110" zoomScaleNormal="110" workbookViewId="0">
      <selection sqref="A1:K1"/>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4" t="str">
        <f>'Single Audit Cover'!A7</f>
        <v>Lyons Twp HSD 204</v>
      </c>
      <c r="C1" s="2575"/>
      <c r="D1" s="2575"/>
      <c r="E1" s="2575"/>
      <c r="F1" s="2575"/>
      <c r="G1" s="2575"/>
      <c r="H1" s="2575"/>
      <c r="I1" s="2575"/>
      <c r="J1" s="1411"/>
    </row>
    <row r="2" spans="2:10" s="317" customFormat="1" ht="12.75" customHeight="1" x14ac:dyDescent="0.2">
      <c r="B2" s="2576">
        <f>'Single Audit Cover'!E7</f>
        <v>6016204017</v>
      </c>
      <c r="C2" s="2577"/>
      <c r="D2" s="2577"/>
      <c r="E2" s="2577"/>
      <c r="F2" s="2577"/>
      <c r="G2" s="2577"/>
      <c r="H2" s="2577"/>
      <c r="I2" s="2577"/>
      <c r="J2" s="1411"/>
    </row>
    <row r="3" spans="2:10" s="317" customFormat="1" ht="12.75" customHeight="1" x14ac:dyDescent="0.2">
      <c r="B3" s="2578" t="s">
        <v>1347</v>
      </c>
      <c r="C3" s="2579"/>
      <c r="D3" s="2579"/>
      <c r="E3" s="2579"/>
      <c r="F3" s="2579"/>
      <c r="G3" s="2579"/>
      <c r="H3" s="2579"/>
      <c r="I3" s="2579"/>
      <c r="J3" s="1412"/>
    </row>
    <row r="4" spans="2:10" s="317" customFormat="1" ht="12.75" customHeight="1" x14ac:dyDescent="0.2">
      <c r="B4" s="2578" t="str">
        <f>'Single Audit Cover'!A4</f>
        <v>Year Ending June 30, 2018</v>
      </c>
      <c r="C4" s="2579"/>
      <c r="D4" s="2579"/>
      <c r="E4" s="2579"/>
      <c r="F4" s="2579"/>
      <c r="G4" s="2579"/>
      <c r="H4" s="2579"/>
      <c r="I4" s="2579"/>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578" t="s">
        <v>1346</v>
      </c>
      <c r="C7" s="2579"/>
      <c r="D7" s="2579"/>
      <c r="E7" s="2579"/>
      <c r="F7" s="2579"/>
      <c r="G7" s="2579"/>
      <c r="H7" s="2579"/>
      <c r="I7" s="2579"/>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580" t="s">
        <v>2100</v>
      </c>
      <c r="D11" s="2580"/>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2081</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2081</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2081</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2081</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2081</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581" t="s">
        <v>2100</v>
      </c>
      <c r="E29" s="2581"/>
      <c r="F29" s="2581"/>
      <c r="G29" s="2581"/>
      <c r="H29" s="2581"/>
      <c r="I29" s="2581"/>
    </row>
    <row r="30" spans="2:9" s="317" customFormat="1" x14ac:dyDescent="0.2">
      <c r="B30" s="1357"/>
      <c r="C30" s="322"/>
      <c r="D30" s="1422" t="s">
        <v>1848</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2081</v>
      </c>
      <c r="H33" s="1289" t="s">
        <v>101</v>
      </c>
    </row>
    <row r="35" spans="2:9" x14ac:dyDescent="0.2">
      <c r="B35" s="1430" t="s">
        <v>1849</v>
      </c>
      <c r="C35" s="1431"/>
      <c r="D35" s="1256"/>
    </row>
    <row r="36" spans="2:9" ht="6" customHeight="1" x14ac:dyDescent="0.2">
      <c r="B36" s="1430"/>
      <c r="C36" s="1431"/>
      <c r="D36" s="1256"/>
    </row>
    <row r="37" spans="2:9" ht="17.25" customHeight="1" x14ac:dyDescent="0.2">
      <c r="B37" s="1432" t="s">
        <v>1850</v>
      </c>
      <c r="C37" s="2582" t="s">
        <v>1851</v>
      </c>
      <c r="D37" s="2583"/>
      <c r="E37" s="2583"/>
      <c r="F37" s="2584"/>
      <c r="G37" s="2582" t="s">
        <v>1674</v>
      </c>
      <c r="H37" s="2583"/>
      <c r="I37" s="2584"/>
    </row>
    <row r="38" spans="2:9" ht="16.5" customHeight="1" x14ac:dyDescent="0.2">
      <c r="B38" s="1433">
        <v>84.027000000000001</v>
      </c>
      <c r="C38" s="2570" t="s">
        <v>2101</v>
      </c>
      <c r="D38" s="2571"/>
      <c r="E38" s="2571"/>
      <c r="F38" s="2572"/>
      <c r="G38" s="2585">
        <f>200979+232532</f>
        <v>433511</v>
      </c>
      <c r="H38" s="2586"/>
      <c r="I38" s="2587"/>
    </row>
    <row r="39" spans="2:9" ht="16.5" customHeight="1" x14ac:dyDescent="0.2">
      <c r="B39" s="1433"/>
      <c r="C39" s="2570"/>
      <c r="D39" s="2571"/>
      <c r="E39" s="2571"/>
      <c r="F39" s="2572"/>
      <c r="G39" s="2573"/>
      <c r="H39" s="2573"/>
      <c r="I39" s="2573"/>
    </row>
    <row r="40" spans="2:9" ht="16.5" customHeight="1" x14ac:dyDescent="0.2">
      <c r="B40" s="1433"/>
      <c r="C40" s="2570"/>
      <c r="D40" s="2571"/>
      <c r="E40" s="2571"/>
      <c r="F40" s="2572"/>
      <c r="G40" s="2573"/>
      <c r="H40" s="2573"/>
      <c r="I40" s="2573"/>
    </row>
    <row r="41" spans="2:9" ht="16.5" customHeight="1" x14ac:dyDescent="0.2">
      <c r="B41" s="1433"/>
      <c r="C41" s="2570"/>
      <c r="D41" s="2571"/>
      <c r="E41" s="2571"/>
      <c r="F41" s="2572"/>
      <c r="G41" s="2573"/>
      <c r="H41" s="2573"/>
      <c r="I41" s="2573"/>
    </row>
    <row r="42" spans="2:9" ht="16.5" customHeight="1" x14ac:dyDescent="0.2">
      <c r="B42" s="1433"/>
      <c r="C42" s="2570"/>
      <c r="D42" s="2571"/>
      <c r="E42" s="2571"/>
      <c r="F42" s="2572"/>
      <c r="G42" s="2573"/>
      <c r="H42" s="2573"/>
      <c r="I42" s="2573"/>
    </row>
    <row r="43" spans="2:9" ht="16.5" customHeight="1" x14ac:dyDescent="0.2">
      <c r="B43" s="1433"/>
      <c r="C43" s="2563" t="s">
        <v>1675</v>
      </c>
      <c r="D43" s="2564"/>
      <c r="E43" s="2564"/>
      <c r="F43" s="2565"/>
      <c r="G43" s="2566">
        <f>SUM(G38:I42)</f>
        <v>433511</v>
      </c>
      <c r="H43" s="2566"/>
      <c r="I43" s="2566"/>
    </row>
    <row r="44" spans="2:9" ht="12.75" customHeight="1" x14ac:dyDescent="0.2"/>
    <row r="45" spans="2:9" ht="12.75" customHeight="1" x14ac:dyDescent="0.2">
      <c r="B45" s="1424" t="s">
        <v>1949</v>
      </c>
      <c r="D45" s="2567">
        <v>874839</v>
      </c>
      <c r="E45" s="2568"/>
    </row>
    <row r="46" spans="2:9" ht="5.25" customHeight="1" x14ac:dyDescent="0.2">
      <c r="B46" s="1434"/>
      <c r="D46" s="1435"/>
      <c r="E46" s="1436"/>
    </row>
    <row r="47" spans="2:9" ht="12.75" customHeight="1" x14ac:dyDescent="0.2">
      <c r="B47" s="1289" t="s">
        <v>1676</v>
      </c>
      <c r="C47" s="1289"/>
      <c r="D47" s="1437">
        <f>+G43/D45</f>
        <v>0.49553232080417081</v>
      </c>
      <c r="E47" s="1438"/>
      <c r="F47" s="1439"/>
      <c r="I47" s="1440"/>
    </row>
    <row r="48" spans="2:9" ht="9.9499999999999993" customHeight="1" x14ac:dyDescent="0.2"/>
    <row r="49" spans="1:9" x14ac:dyDescent="0.2">
      <c r="B49" s="1357" t="s">
        <v>1335</v>
      </c>
      <c r="C49" s="1271"/>
      <c r="D49" s="1271"/>
      <c r="E49" s="2569">
        <v>750000</v>
      </c>
      <c r="F49" s="2569"/>
      <c r="G49" s="2569"/>
      <c r="H49" s="322"/>
    </row>
    <row r="51" spans="1:9" ht="13.5" customHeight="1" x14ac:dyDescent="0.2">
      <c r="B51" s="1357" t="s">
        <v>1334</v>
      </c>
      <c r="C51" s="1271"/>
      <c r="E51" s="1427" t="s">
        <v>2081</v>
      </c>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1852</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1853</v>
      </c>
      <c r="C58" s="1453"/>
      <c r="D58" s="1453"/>
    </row>
    <row r="59" spans="1:9" s="1450" customFormat="1" ht="3.95" customHeight="1" x14ac:dyDescent="0.2">
      <c r="A59" s="1447"/>
      <c r="B59" s="1452"/>
      <c r="C59" s="1453"/>
      <c r="D59" s="1453"/>
    </row>
    <row r="60" spans="1:9" s="1450" customFormat="1" ht="13.5" customHeight="1" x14ac:dyDescent="0.2">
      <c r="A60" s="1447"/>
      <c r="B60" s="1452" t="s">
        <v>1854</v>
      </c>
      <c r="C60" s="1453"/>
      <c r="D60" s="1453"/>
    </row>
    <row r="61" spans="1:9" s="1450" customFormat="1" ht="3.95" customHeight="1" x14ac:dyDescent="0.2">
      <c r="A61" s="1447"/>
      <c r="B61" s="1452"/>
      <c r="C61" s="1453"/>
      <c r="D61" s="1453"/>
    </row>
    <row r="62" spans="1:9" s="1450" customFormat="1" ht="12.75" customHeight="1" x14ac:dyDescent="0.2">
      <c r="A62" s="1447"/>
      <c r="B62" s="1452" t="s">
        <v>1855</v>
      </c>
      <c r="C62" s="1453"/>
      <c r="D62" s="1453"/>
    </row>
    <row r="63" spans="1:9" s="1450" customFormat="1" ht="13.5" customHeight="1" x14ac:dyDescent="0.2">
      <c r="A63" s="1447"/>
      <c r="B63" s="1451" t="s">
        <v>1679</v>
      </c>
      <c r="C63" s="1447"/>
      <c r="D63" s="144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4" t="str">
        <f>'Single Audit Cover'!A7</f>
        <v>Lyons Twp HSD 204</v>
      </c>
      <c r="C1" s="2574"/>
      <c r="D1" s="2574"/>
      <c r="E1" s="2574"/>
      <c r="F1" s="2574"/>
      <c r="G1" s="2574"/>
      <c r="H1" s="2574"/>
      <c r="I1" s="2574"/>
      <c r="J1" s="2574"/>
      <c r="K1" s="2574"/>
      <c r="L1" s="1363"/>
      <c r="M1" s="1363"/>
    </row>
    <row r="2" spans="1:13" ht="12" customHeight="1" x14ac:dyDescent="0.2">
      <c r="B2" s="2576">
        <f>'Single Audit Cover'!E7</f>
        <v>6016204017</v>
      </c>
      <c r="C2" s="2576"/>
      <c r="D2" s="2576"/>
      <c r="E2" s="2576"/>
      <c r="F2" s="2576"/>
      <c r="G2" s="2576"/>
      <c r="H2" s="2576"/>
      <c r="I2" s="2576"/>
      <c r="J2" s="2576"/>
      <c r="K2" s="2576"/>
      <c r="L2" s="1364"/>
      <c r="M2" s="1365"/>
    </row>
    <row r="3" spans="1:13" ht="10.35" customHeight="1" x14ac:dyDescent="0.2">
      <c r="B3" s="2590" t="s">
        <v>1347</v>
      </c>
      <c r="C3" s="2590"/>
      <c r="D3" s="2590"/>
      <c r="E3" s="2590"/>
      <c r="F3" s="2590"/>
      <c r="G3" s="2590"/>
      <c r="H3" s="2590"/>
      <c r="I3" s="2590"/>
      <c r="J3" s="2590"/>
      <c r="K3" s="2590"/>
      <c r="L3" s="1366"/>
      <c r="M3" s="1366"/>
    </row>
    <row r="4" spans="1:13" ht="14.25" customHeight="1" x14ac:dyDescent="0.2">
      <c r="B4" s="2591" t="str">
        <f>'Single Audit Cover'!A4</f>
        <v>Year Ending June 30, 2018</v>
      </c>
      <c r="C4" s="2591"/>
      <c r="D4" s="2591"/>
      <c r="E4" s="2591"/>
      <c r="F4" s="2591"/>
      <c r="G4" s="2591"/>
      <c r="H4" s="2591"/>
      <c r="I4" s="2591"/>
      <c r="J4" s="2591"/>
      <c r="K4" s="2591"/>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591" t="s">
        <v>1363</v>
      </c>
      <c r="C7" s="2591"/>
      <c r="D7" s="2592"/>
      <c r="E7" s="2592"/>
      <c r="F7" s="2592"/>
      <c r="G7" s="2592"/>
      <c r="H7" s="2592"/>
      <c r="I7" s="2592"/>
      <c r="J7" s="2592"/>
      <c r="K7" s="2592"/>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1842</v>
      </c>
      <c r="C10" s="1374" t="s">
        <v>1950</v>
      </c>
      <c r="D10" s="1375" t="s">
        <v>2102</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589"/>
      <c r="C14" s="2589"/>
      <c r="D14" s="2589"/>
      <c r="E14" s="2589"/>
      <c r="F14" s="2589"/>
      <c r="G14" s="2589"/>
      <c r="H14" s="2589"/>
      <c r="I14" s="2589"/>
      <c r="J14" s="2589"/>
      <c r="K14" s="2589"/>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589"/>
      <c r="C17" s="2589"/>
      <c r="D17" s="2589"/>
      <c r="E17" s="2589"/>
      <c r="F17" s="2589"/>
      <c r="G17" s="2589"/>
      <c r="H17" s="2589"/>
      <c r="I17" s="2589"/>
      <c r="J17" s="2589"/>
      <c r="K17" s="2589"/>
      <c r="L17" s="1370"/>
    </row>
    <row r="18" spans="2:12" ht="4.5" customHeight="1" x14ac:dyDescent="0.2">
      <c r="B18" s="1387"/>
      <c r="C18" s="1387"/>
      <c r="L18" s="1370"/>
    </row>
    <row r="19" spans="2:12" s="1271" customFormat="1" ht="13.5" customHeight="1" x14ac:dyDescent="0.2">
      <c r="B19" s="1382" t="s">
        <v>1843</v>
      </c>
      <c r="C19" s="1382"/>
      <c r="D19" s="1383"/>
      <c r="E19" s="1383"/>
      <c r="F19" s="1383"/>
      <c r="G19" s="1384"/>
      <c r="H19" s="1383"/>
      <c r="I19" s="1384"/>
      <c r="J19" s="1383"/>
      <c r="K19" s="1383"/>
      <c r="L19" s="1385"/>
    </row>
    <row r="20" spans="2:12" ht="45.75" customHeight="1" x14ac:dyDescent="0.2">
      <c r="B20" s="2593"/>
      <c r="C20" s="2593"/>
      <c r="D20" s="2589"/>
      <c r="E20" s="2589"/>
      <c r="F20" s="2589"/>
      <c r="G20" s="2589"/>
      <c r="H20" s="2589"/>
      <c r="I20" s="2589"/>
      <c r="J20" s="2589"/>
      <c r="K20" s="2589"/>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589"/>
      <c r="C23" s="2589"/>
      <c r="D23" s="2589"/>
      <c r="E23" s="2589"/>
      <c r="F23" s="2589"/>
      <c r="G23" s="2589"/>
      <c r="H23" s="2589"/>
      <c r="I23" s="2589"/>
      <c r="J23" s="2589"/>
      <c r="K23" s="2589"/>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589"/>
      <c r="C26" s="2589"/>
      <c r="D26" s="2589"/>
      <c r="E26" s="2589"/>
      <c r="F26" s="2589"/>
      <c r="G26" s="2589"/>
      <c r="H26" s="2589"/>
      <c r="I26" s="2589"/>
      <c r="J26" s="2589"/>
      <c r="K26" s="2589"/>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588"/>
      <c r="C29" s="2588"/>
      <c r="D29" s="2589"/>
      <c r="E29" s="2589"/>
      <c r="F29" s="2589"/>
      <c r="G29" s="2589"/>
      <c r="H29" s="2589"/>
      <c r="I29" s="2589"/>
      <c r="J29" s="2589"/>
      <c r="K29" s="2589"/>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1844</v>
      </c>
      <c r="C31" s="1392"/>
      <c r="D31" s="1367"/>
      <c r="E31" s="1368"/>
      <c r="F31" s="1368"/>
      <c r="G31" s="1369"/>
      <c r="H31" s="1368"/>
      <c r="I31" s="1369"/>
      <c r="J31" s="1368"/>
      <c r="K31" s="1368"/>
      <c r="L31" s="1370"/>
    </row>
    <row r="32" spans="2:12" s="322" customFormat="1" ht="44.25" customHeight="1" x14ac:dyDescent="0.2">
      <c r="B32" s="2588"/>
      <c r="C32" s="2588"/>
      <c r="D32" s="2589"/>
      <c r="E32" s="2589"/>
      <c r="F32" s="2589"/>
      <c r="G32" s="2589"/>
      <c r="H32" s="2589"/>
      <c r="I32" s="2589"/>
      <c r="J32" s="2589"/>
      <c r="K32" s="2589"/>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1845</v>
      </c>
      <c r="C35" s="1408"/>
      <c r="D35" s="322"/>
      <c r="E35" s="322"/>
      <c r="F35" s="322"/>
      <c r="L35" s="1370"/>
    </row>
    <row r="36" spans="1:13" ht="9.6" customHeight="1" x14ac:dyDescent="0.2">
      <c r="B36" s="1289" t="s">
        <v>1951</v>
      </c>
      <c r="C36" s="1289"/>
      <c r="L36" s="1370"/>
    </row>
    <row r="37" spans="1:13" ht="9.6" customHeight="1" x14ac:dyDescent="0.2">
      <c r="B37" s="1289" t="s">
        <v>1952</v>
      </c>
      <c r="C37" s="1289"/>
    </row>
    <row r="38" spans="1:13" ht="11.85" customHeight="1" x14ac:dyDescent="0.2">
      <c r="B38" s="1409" t="s">
        <v>1846</v>
      </c>
      <c r="C38" s="1409"/>
    </row>
    <row r="39" spans="1:13" ht="9.6" customHeight="1" x14ac:dyDescent="0.2">
      <c r="B39" s="1289" t="s">
        <v>1348</v>
      </c>
      <c r="C39" s="1289"/>
      <c r="M39" s="1410"/>
    </row>
    <row r="40" spans="1:13" ht="12.6" customHeight="1" x14ac:dyDescent="0.2">
      <c r="B40" s="1409" t="s">
        <v>1847</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sqref="A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97" t="str">
        <f>'Single Audit Cover'!A7</f>
        <v>Lyons Twp HSD 204</v>
      </c>
      <c r="C1" s="2597"/>
      <c r="D1" s="2597"/>
      <c r="E1" s="2597"/>
      <c r="F1" s="2597"/>
      <c r="G1" s="2597"/>
      <c r="H1" s="2597"/>
      <c r="I1" s="2597"/>
      <c r="J1" s="2597"/>
      <c r="K1" s="2597"/>
      <c r="L1" s="1454"/>
    </row>
    <row r="2" spans="1:12" ht="12.75" customHeight="1" x14ac:dyDescent="0.2">
      <c r="B2" s="2598">
        <f>'Single Audit Cover'!E7</f>
        <v>6016204017</v>
      </c>
      <c r="C2" s="2598"/>
      <c r="D2" s="2598"/>
      <c r="E2" s="2598"/>
      <c r="F2" s="2598"/>
      <c r="G2" s="2598"/>
      <c r="H2" s="2598"/>
      <c r="I2" s="2598"/>
      <c r="J2" s="2598"/>
      <c r="K2" s="2598"/>
      <c r="L2" s="1455"/>
    </row>
    <row r="3" spans="1:12" ht="12.75" customHeight="1" x14ac:dyDescent="0.2">
      <c r="B3" s="2590" t="s">
        <v>1347</v>
      </c>
      <c r="C3" s="2590"/>
      <c r="D3" s="2590"/>
      <c r="E3" s="2590"/>
      <c r="F3" s="2590"/>
      <c r="G3" s="2590"/>
      <c r="H3" s="2590"/>
      <c r="I3" s="2590"/>
      <c r="J3" s="2590"/>
      <c r="K3" s="2590"/>
      <c r="L3" s="1366"/>
    </row>
    <row r="4" spans="1:12" ht="12.75" customHeight="1" x14ac:dyDescent="0.2">
      <c r="B4" s="2590" t="str">
        <f>'Single Audit Cover'!A4</f>
        <v>Year Ending June 30, 2018</v>
      </c>
      <c r="C4" s="2590"/>
      <c r="D4" s="2590"/>
      <c r="E4" s="2590"/>
      <c r="F4" s="2590"/>
      <c r="G4" s="2590"/>
      <c r="H4" s="2590"/>
      <c r="I4" s="2590"/>
      <c r="J4" s="2590"/>
      <c r="K4" s="2590"/>
      <c r="L4" s="1366"/>
    </row>
    <row r="5" spans="1:12" ht="5.25" customHeight="1" x14ac:dyDescent="0.2">
      <c r="B5" s="1249" t="s">
        <v>1231</v>
      </c>
      <c r="C5" s="1249"/>
      <c r="L5" s="322"/>
    </row>
    <row r="6" spans="1:12" ht="30.75" customHeight="1" x14ac:dyDescent="0.2">
      <c r="A6" s="322"/>
      <c r="B6" s="2599" t="s">
        <v>1375</v>
      </c>
      <c r="C6" s="2599"/>
      <c r="D6" s="2599"/>
      <c r="E6" s="2599"/>
      <c r="F6" s="2599"/>
      <c r="G6" s="2599"/>
      <c r="H6" s="2599"/>
      <c r="I6" s="2599"/>
      <c r="J6" s="2599"/>
      <c r="K6" s="2599"/>
      <c r="L6" s="322"/>
    </row>
    <row r="7" spans="1:12" ht="4.5" customHeight="1" x14ac:dyDescent="0.2">
      <c r="B7" s="1368"/>
      <c r="C7" s="1368"/>
      <c r="D7" s="1368"/>
      <c r="E7" s="1368"/>
      <c r="F7" s="1368"/>
      <c r="G7" s="1369"/>
      <c r="H7" s="1368"/>
      <c r="I7" s="1369"/>
      <c r="J7" s="1368"/>
      <c r="K7" s="1368"/>
      <c r="L7" s="322"/>
    </row>
    <row r="8" spans="1:12" ht="13.5" customHeight="1" x14ac:dyDescent="0.2">
      <c r="B8" s="1376" t="s">
        <v>1856</v>
      </c>
      <c r="C8" s="1456" t="s">
        <v>1950</v>
      </c>
      <c r="D8" s="1457" t="s">
        <v>2102</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581"/>
      <c r="G12" s="2581"/>
      <c r="H12" s="2581"/>
      <c r="I12" s="2581"/>
      <c r="J12" s="2581"/>
      <c r="K12" s="2581"/>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594"/>
      <c r="E14" s="2594"/>
      <c r="F14" s="2594"/>
      <c r="H14" s="1464" t="s">
        <v>1370</v>
      </c>
      <c r="I14" s="2595"/>
      <c r="J14" s="2595"/>
      <c r="K14" s="2595"/>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595"/>
      <c r="E16" s="2595"/>
      <c r="F16" s="2595"/>
      <c r="G16" s="2595"/>
      <c r="H16" s="2595"/>
      <c r="I16" s="2595"/>
      <c r="J16" s="2595"/>
      <c r="K16" s="2595"/>
      <c r="L16" s="322"/>
    </row>
    <row r="17" spans="2:12" ht="13.5" customHeight="1" x14ac:dyDescent="0.2">
      <c r="B17" s="1376" t="s">
        <v>1368</v>
      </c>
      <c r="C17" s="1376"/>
      <c r="D17" s="2596"/>
      <c r="E17" s="2596"/>
      <c r="F17" s="2596"/>
      <c r="G17" s="2596"/>
      <c r="H17" s="2596"/>
      <c r="I17" s="2596"/>
      <c r="J17" s="2596"/>
      <c r="K17" s="2596"/>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589"/>
      <c r="C20" s="2589"/>
      <c r="D20" s="2589"/>
      <c r="E20" s="2589"/>
      <c r="F20" s="2589"/>
      <c r="G20" s="2589"/>
      <c r="H20" s="2589"/>
      <c r="I20" s="2589"/>
      <c r="J20" s="2589"/>
      <c r="K20" s="2589"/>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1857</v>
      </c>
      <c r="C22" s="1466"/>
      <c r="D22" s="322"/>
      <c r="E22" s="322"/>
      <c r="F22" s="322"/>
      <c r="G22" s="1372"/>
      <c r="H22" s="322"/>
      <c r="I22" s="1372"/>
      <c r="J22" s="322"/>
      <c r="K22" s="322"/>
      <c r="L22" s="322"/>
    </row>
    <row r="23" spans="2:12" ht="37.5" customHeight="1" x14ac:dyDescent="0.2">
      <c r="B23" s="2589"/>
      <c r="C23" s="2589"/>
      <c r="D23" s="2589"/>
      <c r="E23" s="2589"/>
      <c r="F23" s="2589"/>
      <c r="G23" s="2589"/>
      <c r="H23" s="2589"/>
      <c r="I23" s="2589"/>
      <c r="J23" s="2589"/>
      <c r="K23" s="2589"/>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1858</v>
      </c>
      <c r="C25" s="1466"/>
      <c r="D25" s="322"/>
      <c r="E25" s="322"/>
      <c r="F25" s="322"/>
      <c r="G25" s="1372"/>
      <c r="H25" s="322"/>
      <c r="I25" s="1372"/>
      <c r="J25" s="322"/>
      <c r="K25" s="322"/>
      <c r="L25" s="322"/>
    </row>
    <row r="26" spans="2:12" ht="37.5" customHeight="1" x14ac:dyDescent="0.2">
      <c r="B26" s="2589"/>
      <c r="C26" s="2589"/>
      <c r="D26" s="2589"/>
      <c r="E26" s="2589"/>
      <c r="F26" s="2589"/>
      <c r="G26" s="2589"/>
      <c r="H26" s="2589"/>
      <c r="I26" s="2589"/>
      <c r="J26" s="2589"/>
      <c r="K26" s="2589"/>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1859</v>
      </c>
      <c r="C28" s="1466"/>
      <c r="D28" s="322"/>
      <c r="E28" s="322"/>
      <c r="F28" s="322"/>
      <c r="G28" s="1372"/>
      <c r="H28" s="322"/>
      <c r="I28" s="1372"/>
      <c r="J28" s="322"/>
      <c r="K28" s="322"/>
      <c r="L28" s="322"/>
    </row>
    <row r="29" spans="2:12" ht="37.5" customHeight="1" x14ac:dyDescent="0.2">
      <c r="B29" s="2589"/>
      <c r="C29" s="2589"/>
      <c r="D29" s="2589"/>
      <c r="E29" s="2589"/>
      <c r="F29" s="2589"/>
      <c r="G29" s="2589"/>
      <c r="H29" s="2589"/>
      <c r="I29" s="2589"/>
      <c r="J29" s="2589"/>
      <c r="K29" s="2589"/>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589"/>
      <c r="C32" s="2589"/>
      <c r="D32" s="2589"/>
      <c r="E32" s="2589"/>
      <c r="F32" s="2589"/>
      <c r="G32" s="2589"/>
      <c r="H32" s="2589"/>
      <c r="I32" s="2589"/>
      <c r="J32" s="2589"/>
      <c r="K32" s="2589"/>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589"/>
      <c r="C35" s="2589"/>
      <c r="D35" s="2589"/>
      <c r="E35" s="2589"/>
      <c r="F35" s="2589"/>
      <c r="G35" s="2589"/>
      <c r="H35" s="2589"/>
      <c r="I35" s="2589"/>
      <c r="J35" s="2589"/>
      <c r="K35" s="2589"/>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589"/>
      <c r="C38" s="2589"/>
      <c r="D38" s="2589"/>
      <c r="E38" s="2589"/>
      <c r="F38" s="2589"/>
      <c r="G38" s="2589"/>
      <c r="H38" s="2589"/>
      <c r="I38" s="2589"/>
      <c r="J38" s="2589"/>
      <c r="K38" s="2589"/>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1860</v>
      </c>
      <c r="C40" s="1392"/>
      <c r="D40" s="1367"/>
      <c r="E40" s="1368"/>
      <c r="F40" s="1368"/>
      <c r="G40" s="1369"/>
      <c r="H40" s="1368"/>
      <c r="I40" s="1369"/>
      <c r="J40" s="1368"/>
      <c r="K40" s="1368"/>
    </row>
    <row r="41" spans="2:12" s="322" customFormat="1" ht="33.75" customHeight="1" x14ac:dyDescent="0.2">
      <c r="B41" s="2589"/>
      <c r="C41" s="2589"/>
      <c r="D41" s="2589"/>
      <c r="E41" s="2589"/>
      <c r="F41" s="2589"/>
      <c r="G41" s="2589"/>
      <c r="H41" s="2589"/>
      <c r="I41" s="2589"/>
      <c r="J41" s="2589"/>
      <c r="K41" s="2589"/>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1861</v>
      </c>
      <c r="C48" s="1408"/>
      <c r="D48" s="322"/>
      <c r="E48" s="322"/>
      <c r="F48" s="322"/>
    </row>
    <row r="49" spans="2:3" s="317" customFormat="1" ht="10.5" customHeight="1" x14ac:dyDescent="0.2">
      <c r="B49" s="1409" t="s">
        <v>1862</v>
      </c>
      <c r="C49" s="1409"/>
    </row>
    <row r="50" spans="2:3" s="317" customFormat="1" ht="11.1" customHeight="1" x14ac:dyDescent="0.2">
      <c r="B50" s="1409" t="s">
        <v>1863</v>
      </c>
      <c r="C50" s="1409"/>
    </row>
    <row r="51" spans="2:3" s="317" customFormat="1" ht="11.1" customHeight="1" x14ac:dyDescent="0.2">
      <c r="B51" s="1409" t="s">
        <v>1864</v>
      </c>
      <c r="C51" s="1409"/>
    </row>
    <row r="52" spans="2:3" s="317" customFormat="1" ht="11.1" customHeight="1" x14ac:dyDescent="0.2">
      <c r="B52" s="1409" t="s">
        <v>1865</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23" sqref="E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574" t="str">
        <f>'Single Audit Cover'!A7</f>
        <v>Lyons Twp HSD 204</v>
      </c>
      <c r="C1" s="2574"/>
      <c r="D1" s="2574"/>
      <c r="E1" s="1480"/>
    </row>
    <row r="2" spans="2:5" s="1271" customFormat="1" ht="12.75" customHeight="1" x14ac:dyDescent="0.2">
      <c r="B2" s="2576">
        <f>'Single Audit Cover'!E7</f>
        <v>6016204017</v>
      </c>
      <c r="C2" s="2576"/>
      <c r="D2" s="2576"/>
      <c r="E2" s="1481"/>
    </row>
    <row r="3" spans="2:5" ht="12.75" customHeight="1" x14ac:dyDescent="0.2">
      <c r="B3" s="2590" t="s">
        <v>1866</v>
      </c>
      <c r="C3" s="2590"/>
      <c r="D3" s="2590"/>
      <c r="E3" s="1263"/>
    </row>
    <row r="4" spans="2:5" s="1271" customFormat="1" ht="12.75" customHeight="1" x14ac:dyDescent="0.2">
      <c r="B4" s="2600" t="str">
        <f>'Single Audit Cover'!A4</f>
        <v>Year Ending June 30, 2018</v>
      </c>
      <c r="C4" s="2600"/>
      <c r="D4" s="2600"/>
      <c r="E4" s="1482"/>
    </row>
    <row r="5" spans="2:5" s="1271" customFormat="1" ht="40.15" customHeight="1" x14ac:dyDescent="0.2">
      <c r="B5" s="1483" t="s">
        <v>1867</v>
      </c>
      <c r="C5" s="328"/>
      <c r="D5" s="328"/>
      <c r="E5" s="328"/>
    </row>
    <row r="6" spans="2:5" s="1271" customFormat="1" ht="13.5" customHeight="1" x14ac:dyDescent="0.2">
      <c r="B6" s="1484" t="s">
        <v>1382</v>
      </c>
      <c r="C6" s="1484" t="s">
        <v>1381</v>
      </c>
      <c r="D6" s="1484" t="s">
        <v>1868</v>
      </c>
    </row>
    <row r="7" spans="2:5" ht="13.5" customHeight="1" x14ac:dyDescent="0.2">
      <c r="B7" s="1485"/>
      <c r="C7" s="324"/>
      <c r="D7" s="324"/>
      <c r="E7" s="324"/>
    </row>
    <row r="8" spans="2:5" ht="13.5" customHeight="1" x14ac:dyDescent="0.2">
      <c r="B8" s="1485" t="s">
        <v>2098</v>
      </c>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1869</v>
      </c>
    </row>
    <row r="46" spans="2:5" ht="12.2" customHeight="1" x14ac:dyDescent="0.2">
      <c r="B46" s="1494" t="s">
        <v>1870</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90" t="s">
        <v>404</v>
      </c>
      <c r="B1" s="2190"/>
      <c r="C1" s="2190"/>
      <c r="D1" s="2190"/>
      <c r="E1" s="2190"/>
      <c r="F1" s="2190"/>
      <c r="G1" s="2190"/>
      <c r="H1" s="2190"/>
      <c r="I1" s="2190"/>
      <c r="J1" s="2190"/>
      <c r="K1" s="2190"/>
      <c r="L1" s="2190"/>
      <c r="M1" s="21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3403571721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1.5459000000000001E-2</v>
      </c>
      <c r="E10" s="356" t="s">
        <v>1062</v>
      </c>
      <c r="F10" s="355">
        <v>2.5200000000000001E-3</v>
      </c>
      <c r="G10" s="356" t="s">
        <v>1062</v>
      </c>
      <c r="H10" s="355">
        <v>5.3300000000000005E-4</v>
      </c>
      <c r="I10" s="356" t="s">
        <v>1063</v>
      </c>
      <c r="J10" s="1743">
        <f>ROUND(D10+F10+H10,5)</f>
        <v>1.8509999999999999E-2</v>
      </c>
      <c r="K10" s="222"/>
      <c r="L10" s="355">
        <v>0</v>
      </c>
      <c r="M10" s="222"/>
    </row>
    <row r="11" spans="1:14" ht="7.5" customHeight="1" x14ac:dyDescent="0.2">
      <c r="B11" s="222"/>
      <c r="C11" s="222"/>
      <c r="D11" s="2200" t="str">
        <f>IF(SUM(J10)&lt;=0.0999999,"","Enter the Tax Rates by moving the decimal two places to the left.")</f>
        <v/>
      </c>
      <c r="E11" s="2201"/>
      <c r="F11" s="2201"/>
      <c r="G11" s="2201"/>
      <c r="H11" s="2201"/>
      <c r="I11" s="2201"/>
      <c r="J11" s="22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72269183</v>
      </c>
      <c r="E16" s="356"/>
      <c r="F16" s="1744">
        <f>SUM('Acct Summary 7-8'!C17,'Acct Summary 7-8'!D17,'Acct Summary 7-8'!F17)</f>
        <v>71209570</v>
      </c>
      <c r="G16" s="356"/>
      <c r="H16" s="1744">
        <f>SUM(D16-F16)</f>
        <v>1059613</v>
      </c>
      <c r="I16" s="222"/>
      <c r="J16" s="1744">
        <f>SUM('Acct Summary 7-8'!C81,'Acct Summary 7-8'!D81,'Acct Summary 7-8'!F81,'Acct Summary 7-8'!I81)</f>
        <v>38540467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607</v>
      </c>
      <c r="D31" s="237" t="s">
        <v>1132</v>
      </c>
      <c r="E31" s="222"/>
      <c r="F31" s="222"/>
      <c r="G31" s="363"/>
      <c r="H31" s="1746">
        <f>IF(B31="X",(J7*0.069),IF(B32="X",(J7*0.138),"Enter x in a.or b."))</f>
        <v>234846448.74900001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13710000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91"/>
      <c r="C54" s="2192"/>
      <c r="D54" s="2192"/>
      <c r="E54" s="2192"/>
      <c r="F54" s="2192"/>
      <c r="G54" s="2192"/>
      <c r="H54" s="2192"/>
      <c r="I54" s="2192"/>
      <c r="J54" s="2192"/>
      <c r="K54" s="2192"/>
      <c r="L54" s="2193"/>
      <c r="M54" s="380"/>
    </row>
    <row r="55" spans="1:13" ht="12.75" customHeight="1" x14ac:dyDescent="0.2">
      <c r="B55" s="2194"/>
      <c r="C55" s="2195"/>
      <c r="D55" s="2195"/>
      <c r="E55" s="2195"/>
      <c r="F55" s="2195"/>
      <c r="G55" s="2195"/>
      <c r="H55" s="2195"/>
      <c r="I55" s="2195"/>
      <c r="J55" s="2195"/>
      <c r="K55" s="2195"/>
      <c r="L55" s="2196"/>
      <c r="M55" s="380"/>
    </row>
    <row r="56" spans="1:13" ht="12.75" customHeight="1" x14ac:dyDescent="0.2">
      <c r="B56" s="2194"/>
      <c r="C56" s="2195"/>
      <c r="D56" s="2195"/>
      <c r="E56" s="2195"/>
      <c r="F56" s="2195"/>
      <c r="G56" s="2195"/>
      <c r="H56" s="2195"/>
      <c r="I56" s="2195"/>
      <c r="J56" s="2195"/>
      <c r="K56" s="2195"/>
      <c r="L56" s="2196"/>
      <c r="M56" s="222"/>
    </row>
    <row r="57" spans="1:13" ht="12.75" customHeight="1" x14ac:dyDescent="0.2">
      <c r="B57" s="2194"/>
      <c r="C57" s="2195"/>
      <c r="D57" s="2195"/>
      <c r="E57" s="2195"/>
      <c r="F57" s="2195"/>
      <c r="G57" s="2195"/>
      <c r="H57" s="2195"/>
      <c r="I57" s="2195"/>
      <c r="J57" s="2195"/>
      <c r="K57" s="2195"/>
      <c r="L57" s="2196"/>
      <c r="M57" s="222"/>
    </row>
    <row r="58" spans="1:13" x14ac:dyDescent="0.2">
      <c r="B58" s="2197"/>
      <c r="C58" s="2198"/>
      <c r="D58" s="2198"/>
      <c r="E58" s="2198"/>
      <c r="F58" s="2198"/>
      <c r="G58" s="2198"/>
      <c r="H58" s="2198"/>
      <c r="I58" s="2198"/>
      <c r="J58" s="2198"/>
      <c r="K58" s="2198"/>
      <c r="L58" s="21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02"/>
      <c r="D61" s="22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5" zoomScale="110" zoomScaleNormal="110" workbookViewId="0">
      <selection activeCell="L28" sqref="L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05"/>
      <c r="B1" s="2206"/>
      <c r="C1" s="2206"/>
      <c r="D1" s="384"/>
      <c r="E1" s="384"/>
      <c r="F1" s="384"/>
      <c r="G1" s="384"/>
      <c r="H1" s="384"/>
      <c r="I1" s="384"/>
      <c r="J1" s="384"/>
      <c r="K1" s="384"/>
      <c r="L1" s="384"/>
      <c r="M1" s="384"/>
      <c r="N1" s="384"/>
      <c r="O1" s="2205"/>
      <c r="P1" s="2206"/>
      <c r="Q1" s="2206"/>
    </row>
    <row r="2" spans="1:18" ht="15" x14ac:dyDescent="0.2">
      <c r="A2" s="2209" t="s">
        <v>577</v>
      </c>
      <c r="B2" s="2209"/>
      <c r="C2" s="2209"/>
      <c r="D2" s="2209"/>
      <c r="E2" s="2209"/>
      <c r="F2" s="2209"/>
      <c r="G2" s="2209"/>
      <c r="H2" s="2209"/>
      <c r="I2" s="2209"/>
      <c r="J2" s="2209"/>
      <c r="K2" s="2209"/>
      <c r="L2" s="2209"/>
      <c r="M2" s="2209"/>
      <c r="N2" s="2209"/>
      <c r="O2" s="2209"/>
      <c r="P2" s="2209"/>
      <c r="Q2" s="2209"/>
      <c r="R2" s="2209"/>
    </row>
    <row r="3" spans="1:18" ht="12.75" x14ac:dyDescent="0.2">
      <c r="A3" s="2210" t="s">
        <v>1480</v>
      </c>
      <c r="B3" s="2210"/>
      <c r="C3" s="2210"/>
      <c r="D3" s="2210"/>
      <c r="E3" s="2210"/>
      <c r="F3" s="2210"/>
      <c r="G3" s="2210"/>
      <c r="H3" s="2210"/>
      <c r="I3" s="2210"/>
      <c r="J3" s="2210"/>
      <c r="K3" s="2210"/>
      <c r="L3" s="2210"/>
      <c r="M3" s="2210"/>
      <c r="N3" s="2210"/>
      <c r="O3" s="2210"/>
      <c r="P3" s="2210"/>
      <c r="Q3" s="2210"/>
      <c r="R3" s="2210"/>
    </row>
    <row r="4" spans="1:18" x14ac:dyDescent="0.2">
      <c r="A4" s="2211" t="s">
        <v>1635</v>
      </c>
      <c r="B4" s="2211"/>
      <c r="C4" s="2211"/>
      <c r="D4" s="2211"/>
      <c r="E4" s="2211"/>
      <c r="F4" s="2211"/>
      <c r="G4" s="2211"/>
      <c r="H4" s="2211"/>
      <c r="I4" s="2211"/>
      <c r="J4" s="2211"/>
      <c r="K4" s="2211"/>
      <c r="L4" s="2211"/>
      <c r="M4" s="2211"/>
      <c r="N4" s="2211"/>
      <c r="O4" s="2211"/>
      <c r="P4" s="2211"/>
      <c r="Q4" s="2211"/>
      <c r="R4" s="22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Lyons Twp HSD 204</v>
      </c>
      <c r="E7" s="391"/>
      <c r="G7" s="252"/>
      <c r="H7" s="387"/>
      <c r="I7" s="387"/>
      <c r="J7" s="387"/>
      <c r="K7" s="387"/>
      <c r="L7" s="329"/>
      <c r="M7" s="329"/>
      <c r="N7" s="329"/>
      <c r="O7" s="329"/>
      <c r="P7" s="329"/>
    </row>
    <row r="8" spans="1:18" ht="12.75" x14ac:dyDescent="0.2">
      <c r="A8" s="329"/>
      <c r="B8" s="329"/>
      <c r="C8" s="389" t="s">
        <v>1187</v>
      </c>
      <c r="D8" s="392">
        <f>COVER!A13</f>
        <v>6016204017</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38540467</v>
      </c>
      <c r="I12" s="404"/>
      <c r="J12" s="404"/>
      <c r="K12" s="405">
        <f>TRUNC((H12/H13*100000),5)/100000</f>
        <v>0.53329047590000001</v>
      </c>
      <c r="L12" s="406"/>
      <c r="M12" s="360" t="s">
        <v>1206</v>
      </c>
      <c r="N12" s="360"/>
      <c r="O12" s="407">
        <v>0.35</v>
      </c>
      <c r="P12" s="218"/>
      <c r="Q12" s="218"/>
    </row>
    <row r="13" spans="1:18" s="408" customFormat="1" ht="12.75" x14ac:dyDescent="0.2">
      <c r="A13" s="218"/>
      <c r="B13" s="401"/>
      <c r="C13" s="2207" t="s">
        <v>1391</v>
      </c>
      <c r="D13" s="2208"/>
      <c r="E13" s="218"/>
      <c r="F13" s="409" t="s">
        <v>826</v>
      </c>
      <c r="G13" s="402"/>
      <c r="H13" s="403">
        <f>SUM('Acct Summary 7-8'!C8+'Acct Summary 7-8'!D8+'Acct Summary 7-8'!F8+'Acct Summary 7-8'!I8)+H14</f>
        <v>72269183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71209570</v>
      </c>
      <c r="I17" s="404"/>
      <c r="J17" s="416"/>
      <c r="K17" s="405">
        <f>TRUNC((H17/H18*100000),5)/100000</f>
        <v>0.98533796900000004</v>
      </c>
      <c r="L17" s="406"/>
      <c r="M17" s="417" t="s">
        <v>1233</v>
      </c>
      <c r="O17" s="418" t="str">
        <f>IF(AND(O16="2", J20 &gt; 2),"1",IF(AND(O16 = "1", J20 &gt; 2),"2",IF(AND(O16="1", J20 &gt;1),"1","0")))</f>
        <v>0</v>
      </c>
      <c r="P17" s="218"/>
    </row>
    <row r="18" spans="1:18" s="408" customFormat="1" ht="11.25" x14ac:dyDescent="0.2">
      <c r="A18" s="218"/>
      <c r="B18" s="401"/>
      <c r="C18" s="2207" t="s">
        <v>1384</v>
      </c>
      <c r="D18" s="2208"/>
      <c r="E18" s="218"/>
      <c r="F18" s="419" t="s">
        <v>827</v>
      </c>
      <c r="G18" s="402"/>
      <c r="H18" s="403">
        <f>SUM('Acct Summary 7-8'!C8+'Acct Summary 7-8'!D8+'Acct Summary 7-8'!F8+'Acct Summary 7-8'!I8)+H19</f>
        <v>72269183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04" t="s">
        <v>1479</v>
      </c>
      <c r="D24" s="2204"/>
      <c r="E24" s="218"/>
      <c r="F24" s="218" t="s">
        <v>465</v>
      </c>
      <c r="G24" s="402"/>
      <c r="H24" s="403">
        <f>SUM('Assets-Liab 5-6'!C4+'Assets-Liab 5-6'!D4+'Assets-Liab 5-6'!F4+'Assets-Liab 5-6'!I4+'Assets-Liab 5-6'!C5+'Assets-Liab 5-6'!D5+'Assets-Liab 5-6'!F5+'Assets-Liab 5-6'!I5)</f>
        <v>38937299</v>
      </c>
      <c r="I24" s="422"/>
      <c r="J24" s="422"/>
      <c r="K24" s="423">
        <f>TRUNC(((H24/H25*100000)/100000),2)</f>
        <v>196.84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197804.36111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53550095.672349997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13710000</v>
      </c>
      <c r="I32" s="420"/>
      <c r="J32" s="420"/>
      <c r="K32" s="423">
        <f>TRUNC(100-((((H32/H33*100))*100)/100),2)</f>
        <v>94.16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234846448.74900001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21" activePane="bottomLeft" state="frozen"/>
      <selection activeCell="L28" sqref="L28"/>
      <selection pane="bottomLeft" activeCell="L28" sqref="L28"/>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14" t="s">
        <v>1030</v>
      </c>
      <c r="B3" s="2215"/>
      <c r="C3" s="1570"/>
      <c r="D3" s="1571"/>
      <c r="E3" s="1571"/>
      <c r="F3" s="1571"/>
      <c r="G3" s="1571"/>
      <c r="H3" s="1571"/>
      <c r="I3" s="1571"/>
      <c r="J3" s="1571"/>
      <c r="K3" s="1571"/>
      <c r="L3" s="1571"/>
      <c r="M3" s="1572"/>
      <c r="N3" s="1573"/>
    </row>
    <row r="4" spans="1:14" ht="13.5" customHeight="1" x14ac:dyDescent="0.2">
      <c r="A4" s="463" t="s">
        <v>1750</v>
      </c>
      <c r="B4" s="464"/>
      <c r="C4" s="465">
        <v>20000</v>
      </c>
      <c r="D4" s="465">
        <v>0</v>
      </c>
      <c r="E4" s="465">
        <v>0</v>
      </c>
      <c r="F4" s="465">
        <v>0</v>
      </c>
      <c r="G4" s="465">
        <v>0</v>
      </c>
      <c r="H4" s="465">
        <v>0</v>
      </c>
      <c r="I4" s="465">
        <v>0</v>
      </c>
      <c r="J4" s="465">
        <v>0</v>
      </c>
      <c r="K4" s="465">
        <v>0</v>
      </c>
      <c r="L4" s="465">
        <v>0</v>
      </c>
      <c r="M4" s="468"/>
      <c r="N4" s="469"/>
    </row>
    <row r="5" spans="1:14" x14ac:dyDescent="0.2">
      <c r="A5" s="463" t="s">
        <v>1049</v>
      </c>
      <c r="B5" s="470">
        <v>120</v>
      </c>
      <c r="C5" s="465">
        <v>26930262</v>
      </c>
      <c r="D5" s="465">
        <v>7467240</v>
      </c>
      <c r="E5" s="465">
        <v>1187654</v>
      </c>
      <c r="F5" s="465">
        <v>748725</v>
      </c>
      <c r="G5" s="465">
        <v>740304</v>
      </c>
      <c r="H5" s="465">
        <v>0</v>
      </c>
      <c r="I5" s="465">
        <v>3771072</v>
      </c>
      <c r="J5" s="465">
        <v>0</v>
      </c>
      <c r="K5" s="465">
        <v>0</v>
      </c>
      <c r="L5" s="471">
        <v>0</v>
      </c>
      <c r="M5" s="468"/>
      <c r="N5" s="469"/>
    </row>
    <row r="6" spans="1:14" ht="13.5" customHeight="1" x14ac:dyDescent="0.2">
      <c r="A6" s="472" t="s">
        <v>437</v>
      </c>
      <c r="B6" s="470">
        <v>130</v>
      </c>
      <c r="C6" s="465">
        <v>25373089</v>
      </c>
      <c r="D6" s="465">
        <v>4103235</v>
      </c>
      <c r="E6" s="465">
        <v>1188525</v>
      </c>
      <c r="F6" s="465">
        <v>868881</v>
      </c>
      <c r="G6" s="465">
        <v>1031569</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869512</v>
      </c>
      <c r="D8" s="465">
        <v>37614</v>
      </c>
      <c r="E8" s="465">
        <v>0</v>
      </c>
      <c r="F8" s="465">
        <v>254294</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1955511</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9206</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55157580</v>
      </c>
      <c r="D13" s="1748">
        <f t="shared" ref="D13:L13" si="0">SUM(D4:D12)</f>
        <v>11608089</v>
      </c>
      <c r="E13" s="1748">
        <f t="shared" si="0"/>
        <v>2376179</v>
      </c>
      <c r="F13" s="1748">
        <f t="shared" si="0"/>
        <v>1871900</v>
      </c>
      <c r="G13" s="1748">
        <f t="shared" si="0"/>
        <v>1771873</v>
      </c>
      <c r="H13" s="1748">
        <f t="shared" si="0"/>
        <v>0</v>
      </c>
      <c r="I13" s="1748">
        <f t="shared" si="0"/>
        <v>3771072</v>
      </c>
      <c r="J13" s="1748">
        <f t="shared" si="0"/>
        <v>0</v>
      </c>
      <c r="K13" s="1748">
        <f t="shared" si="0"/>
        <v>0</v>
      </c>
      <c r="L13" s="1748">
        <f t="shared" si="0"/>
        <v>0</v>
      </c>
      <c r="M13" s="468"/>
      <c r="N13" s="469"/>
    </row>
    <row r="14" spans="1:14" ht="18" customHeight="1" thickTop="1" x14ac:dyDescent="0.2">
      <c r="A14" s="2216" t="s">
        <v>149</v>
      </c>
      <c r="B14" s="2217"/>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1130500</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89333091</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5390020</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17895396</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1176138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12533862</v>
      </c>
    </row>
    <row r="23" spans="1:14" ht="13.5" customHeight="1" thickBot="1" x14ac:dyDescent="0.25">
      <c r="A23" s="1747" t="s">
        <v>664</v>
      </c>
      <c r="B23" s="1752"/>
      <c r="C23" s="468"/>
      <c r="D23" s="468"/>
      <c r="E23" s="468"/>
      <c r="F23" s="468"/>
      <c r="G23" s="468"/>
      <c r="H23" s="468"/>
      <c r="I23" s="468"/>
      <c r="J23" s="468"/>
      <c r="K23" s="468"/>
      <c r="L23" s="468"/>
      <c r="M23" s="1699">
        <f>SUM(M15:M22)</f>
        <v>113749007</v>
      </c>
      <c r="N23" s="1699">
        <f>SUM(N21:N22)</f>
        <v>13710000</v>
      </c>
    </row>
    <row r="24" spans="1:14" ht="18" customHeight="1" thickTop="1" x14ac:dyDescent="0.2">
      <c r="A24" s="2218" t="s">
        <v>619</v>
      </c>
      <c r="B24" s="2219"/>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791573</v>
      </c>
      <c r="D26" s="465">
        <v>0</v>
      </c>
      <c r="E26" s="465">
        <v>0</v>
      </c>
      <c r="F26" s="465">
        <v>13792</v>
      </c>
      <c r="G26" s="465">
        <v>0</v>
      </c>
      <c r="H26" s="465">
        <v>0</v>
      </c>
      <c r="I26" s="465">
        <v>0</v>
      </c>
      <c r="J26" s="465">
        <v>0</v>
      </c>
      <c r="K26" s="465">
        <v>0</v>
      </c>
      <c r="L26" s="468"/>
      <c r="M26" s="468"/>
      <c r="N26" s="468"/>
    </row>
    <row r="27" spans="1:14" ht="13.5" customHeight="1" x14ac:dyDescent="0.2">
      <c r="A27" s="472" t="s">
        <v>668</v>
      </c>
      <c r="B27" s="470">
        <v>430</v>
      </c>
      <c r="C27" s="465">
        <v>150795</v>
      </c>
      <c r="D27" s="465">
        <v>44815</v>
      </c>
      <c r="E27" s="465">
        <v>0</v>
      </c>
      <c r="F27" s="465">
        <v>61602</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114051</v>
      </c>
      <c r="D30" s="465">
        <v>45089</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34798</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27221170</v>
      </c>
      <c r="D32" s="465">
        <v>4259112</v>
      </c>
      <c r="E32" s="465">
        <v>1200041</v>
      </c>
      <c r="F32" s="465">
        <v>1131377</v>
      </c>
      <c r="G32" s="465">
        <v>1041802</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0</v>
      </c>
      <c r="M33" s="468"/>
      <c r="N33" s="469"/>
    </row>
    <row r="34" spans="1:14" ht="13.5" customHeight="1" thickBot="1" x14ac:dyDescent="0.25">
      <c r="A34" s="1749" t="s">
        <v>675</v>
      </c>
      <c r="B34" s="1750"/>
      <c r="C34" s="1751">
        <f>SUM(C25:C33)</f>
        <v>28312387</v>
      </c>
      <c r="D34" s="1751">
        <f t="shared" ref="D34:K34" si="1">SUM(D25:D33)</f>
        <v>4349016</v>
      </c>
      <c r="E34" s="1751">
        <f t="shared" si="1"/>
        <v>1200041</v>
      </c>
      <c r="F34" s="1751">
        <f t="shared" si="1"/>
        <v>1206771</v>
      </c>
      <c r="G34" s="1751">
        <f t="shared" si="1"/>
        <v>1041802</v>
      </c>
      <c r="H34" s="1751">
        <f t="shared" si="1"/>
        <v>0</v>
      </c>
      <c r="I34" s="1751">
        <f t="shared" si="1"/>
        <v>0</v>
      </c>
      <c r="J34" s="1751">
        <f t="shared" si="1"/>
        <v>0</v>
      </c>
      <c r="K34" s="1751">
        <f t="shared" si="1"/>
        <v>0</v>
      </c>
      <c r="L34" s="1732">
        <f>SUM(L33)</f>
        <v>0</v>
      </c>
      <c r="M34" s="468"/>
      <c r="N34" s="477"/>
    </row>
    <row r="35" spans="1:14" ht="18" customHeight="1" thickTop="1" x14ac:dyDescent="0.2">
      <c r="A35" s="2220" t="s">
        <v>550</v>
      </c>
      <c r="B35" s="2221"/>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13710000</v>
      </c>
    </row>
    <row r="37" spans="1:14" ht="13.5" thickBot="1" x14ac:dyDescent="0.25">
      <c r="A37" s="1747" t="s">
        <v>674</v>
      </c>
      <c r="B37" s="1752"/>
      <c r="C37" s="474"/>
      <c r="D37" s="474"/>
      <c r="E37" s="474"/>
      <c r="F37" s="474"/>
      <c r="G37" s="474"/>
      <c r="H37" s="474"/>
      <c r="I37" s="474"/>
      <c r="J37" s="474"/>
      <c r="K37" s="474"/>
      <c r="L37" s="477"/>
      <c r="M37" s="468"/>
      <c r="N37" s="1699">
        <f>SUM(N36:N36)</f>
        <v>13710000</v>
      </c>
    </row>
    <row r="38" spans="1:14" s="329" customFormat="1" ht="13.5" customHeight="1" thickTop="1" x14ac:dyDescent="0.2">
      <c r="A38" s="492" t="s">
        <v>440</v>
      </c>
      <c r="B38" s="480">
        <v>714</v>
      </c>
      <c r="C38" s="465">
        <v>1964717</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24880476</v>
      </c>
      <c r="D39" s="465">
        <v>7259073</v>
      </c>
      <c r="E39" s="465">
        <v>1176138</v>
      </c>
      <c r="F39" s="465">
        <v>665129</v>
      </c>
      <c r="G39" s="465">
        <v>730071</v>
      </c>
      <c r="H39" s="465">
        <v>0</v>
      </c>
      <c r="I39" s="465">
        <v>3771072</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113749007</v>
      </c>
      <c r="N40" s="493"/>
    </row>
    <row r="41" spans="1:14" ht="13.5" customHeight="1" thickBot="1" x14ac:dyDescent="0.25">
      <c r="A41" s="1747" t="s">
        <v>676</v>
      </c>
      <c r="B41" s="1717"/>
      <c r="C41" s="1699">
        <f>(SUM(C34,C37,C38,C39))</f>
        <v>55157580</v>
      </c>
      <c r="D41" s="1699">
        <f t="shared" ref="D41:L41" si="2">SUM(D34,D37,D38:D39)</f>
        <v>11608089</v>
      </c>
      <c r="E41" s="1699">
        <f t="shared" si="2"/>
        <v>2376179</v>
      </c>
      <c r="F41" s="1699">
        <f t="shared" si="2"/>
        <v>1871900</v>
      </c>
      <c r="G41" s="1699">
        <f t="shared" si="2"/>
        <v>1771873</v>
      </c>
      <c r="H41" s="1699">
        <f t="shared" si="2"/>
        <v>0</v>
      </c>
      <c r="I41" s="1699">
        <f t="shared" si="2"/>
        <v>3771072</v>
      </c>
      <c r="J41" s="1699">
        <f t="shared" si="2"/>
        <v>0</v>
      </c>
      <c r="K41" s="1699">
        <f t="shared" si="2"/>
        <v>0</v>
      </c>
      <c r="L41" s="1699">
        <f t="shared" si="2"/>
        <v>0</v>
      </c>
      <c r="M41" s="1699">
        <f>SUM(M40)</f>
        <v>113749007</v>
      </c>
      <c r="N41" s="1699">
        <f>SUM(N37)</f>
        <v>13710000</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5" activePane="bottomLeft" state="frozenSplit"/>
      <selection activeCell="L28" sqref="L28"/>
      <selection pane="bottomLeft" activeCell="L28" sqref="L28"/>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30"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231"/>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242" t="s">
        <v>1237</v>
      </c>
      <c r="B3" s="2243"/>
      <c r="C3" s="1584"/>
      <c r="D3" s="1585"/>
      <c r="E3" s="1585"/>
      <c r="F3" s="1585"/>
      <c r="G3" s="1585"/>
      <c r="H3" s="1585"/>
      <c r="I3" s="1585"/>
      <c r="J3" s="1585"/>
      <c r="K3" s="1586"/>
      <c r="L3" s="502"/>
    </row>
    <row r="4" spans="1:13" ht="15.75" customHeight="1" x14ac:dyDescent="0.2">
      <c r="A4" s="1943" t="s">
        <v>1579</v>
      </c>
      <c r="B4" s="1944">
        <v>1000</v>
      </c>
      <c r="C4" s="1753">
        <f>'Revenues 9-14'!C109</f>
        <v>56023724</v>
      </c>
      <c r="D4" s="1753">
        <f>'Revenues 9-14'!D109</f>
        <v>8576761</v>
      </c>
      <c r="E4" s="1753">
        <f>'Revenues 9-14'!E109</f>
        <v>2391595</v>
      </c>
      <c r="F4" s="1753">
        <f>'Revenues 9-14'!F109</f>
        <v>1766717</v>
      </c>
      <c r="G4" s="1753">
        <f>'Revenues 9-14'!G109</f>
        <v>2425286</v>
      </c>
      <c r="H4" s="1753">
        <f>'Revenues 9-14'!H109</f>
        <v>1357</v>
      </c>
      <c r="I4" s="1753">
        <f>'Revenues 9-14'!I109</f>
        <v>51801</v>
      </c>
      <c r="J4" s="1753">
        <f>'Revenues 9-14'!J109</f>
        <v>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3910360</v>
      </c>
      <c r="D6" s="1754">
        <f>'Revenues 9-14'!D173</f>
        <v>0</v>
      </c>
      <c r="E6" s="1754">
        <f>'Revenues 9-14'!E173</f>
        <v>0</v>
      </c>
      <c r="F6" s="1754">
        <f>'Revenues 9-14'!F173</f>
        <v>985416</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954404</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60888488</v>
      </c>
      <c r="D8" s="1699">
        <f t="shared" ref="D8:K8" si="0">SUM(D4:D7)</f>
        <v>8576761</v>
      </c>
      <c r="E8" s="1699">
        <f t="shared" si="0"/>
        <v>2391595</v>
      </c>
      <c r="F8" s="1699">
        <f t="shared" si="0"/>
        <v>2752133</v>
      </c>
      <c r="G8" s="1699">
        <f t="shared" si="0"/>
        <v>2425286</v>
      </c>
      <c r="H8" s="1699">
        <f t="shared" si="0"/>
        <v>1357</v>
      </c>
      <c r="I8" s="1699">
        <f t="shared" si="0"/>
        <v>51801</v>
      </c>
      <c r="J8" s="1699">
        <f t="shared" si="0"/>
        <v>0</v>
      </c>
      <c r="K8" s="1699">
        <f t="shared" si="0"/>
        <v>0</v>
      </c>
      <c r="L8" s="347"/>
    </row>
    <row r="9" spans="1:13" ht="15.75" thickTop="1" x14ac:dyDescent="0.2">
      <c r="A9" s="510" t="s">
        <v>1752</v>
      </c>
      <c r="B9" s="511">
        <v>3998</v>
      </c>
      <c r="C9" s="478">
        <v>24713606</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85602094</v>
      </c>
      <c r="D10" s="1699">
        <f t="shared" ref="D10:K10" si="1">SUM(D8:D9)</f>
        <v>8576761</v>
      </c>
      <c r="E10" s="1699">
        <f t="shared" si="1"/>
        <v>2391595</v>
      </c>
      <c r="F10" s="1699">
        <f t="shared" si="1"/>
        <v>2752133</v>
      </c>
      <c r="G10" s="1699">
        <f t="shared" si="1"/>
        <v>2425286</v>
      </c>
      <c r="H10" s="1699">
        <f t="shared" si="1"/>
        <v>1357</v>
      </c>
      <c r="I10" s="1699">
        <f t="shared" si="1"/>
        <v>51801</v>
      </c>
      <c r="J10" s="1699">
        <f t="shared" si="1"/>
        <v>0</v>
      </c>
      <c r="K10" s="1699">
        <f t="shared" si="1"/>
        <v>0</v>
      </c>
      <c r="L10" s="514"/>
    </row>
    <row r="11" spans="1:13" s="515" customFormat="1" ht="16.7" customHeight="1" thickTop="1" x14ac:dyDescent="0.2">
      <c r="A11" s="2216" t="s">
        <v>1238</v>
      </c>
      <c r="B11" s="2217"/>
      <c r="C11" s="1581"/>
      <c r="D11" s="1582"/>
      <c r="E11" s="1582"/>
      <c r="F11" s="1582"/>
      <c r="G11" s="1582"/>
      <c r="H11" s="1582"/>
      <c r="I11" s="1582"/>
      <c r="J11" s="1582"/>
      <c r="K11" s="1583"/>
      <c r="L11" s="514"/>
    </row>
    <row r="12" spans="1:13" ht="15.75" customHeight="1" x14ac:dyDescent="0.2">
      <c r="A12" s="1587" t="s">
        <v>476</v>
      </c>
      <c r="B12" s="1589">
        <v>1000</v>
      </c>
      <c r="C12" s="1753">
        <f>'Expenditures 15-22'!K33</f>
        <v>42244822</v>
      </c>
      <c r="D12" s="516" t="s">
        <v>1231</v>
      </c>
      <c r="E12" s="468" t="s">
        <v>1231</v>
      </c>
      <c r="F12" s="468" t="s">
        <v>1231</v>
      </c>
      <c r="G12" s="1753">
        <f>'Expenditures 15-22'!K229</f>
        <v>967368</v>
      </c>
      <c r="H12" s="517"/>
      <c r="I12" s="468" t="s">
        <v>1231</v>
      </c>
      <c r="J12" s="468" t="s">
        <v>1231</v>
      </c>
      <c r="K12" s="517" t="s">
        <v>1231</v>
      </c>
      <c r="L12" s="347"/>
    </row>
    <row r="13" spans="1:13" ht="15.75" customHeight="1" x14ac:dyDescent="0.2">
      <c r="A13" s="1587" t="s">
        <v>477</v>
      </c>
      <c r="B13" s="1589">
        <v>2000</v>
      </c>
      <c r="C13" s="1754">
        <f>'Expenditures 15-22'!K74</f>
        <v>17383737</v>
      </c>
      <c r="D13" s="1754">
        <f>'Expenditures 15-22'!K129</f>
        <v>7808297</v>
      </c>
      <c r="E13" s="469" t="s">
        <v>1231</v>
      </c>
      <c r="F13" s="1754">
        <f>'Expenditures 15-22'!K184</f>
        <v>2705724</v>
      </c>
      <c r="G13" s="1754">
        <f>'Expenditures 15-22'!K279</f>
        <v>1479640</v>
      </c>
      <c r="H13" s="1754">
        <f>'Expenditures 15-22'!K303</f>
        <v>0</v>
      </c>
      <c r="I13" s="468" t="s">
        <v>1231</v>
      </c>
      <c r="J13" s="1754">
        <f>'Expenditures 15-22'!K330</f>
        <v>0</v>
      </c>
      <c r="K13" s="1758">
        <f>'Expenditures 15-22'!K352</f>
        <v>0</v>
      </c>
      <c r="L13" s="347"/>
    </row>
    <row r="14" spans="1:13" ht="15.75" customHeight="1" x14ac:dyDescent="0.2">
      <c r="A14" s="1587" t="s">
        <v>469</v>
      </c>
      <c r="B14" s="1589">
        <v>3000</v>
      </c>
      <c r="C14" s="1754">
        <f>'Expenditures 15-22'!K75</f>
        <v>309782</v>
      </c>
      <c r="D14" s="1754">
        <f>'Expenditures 15-22'!K130</f>
        <v>0</v>
      </c>
      <c r="E14" s="516" t="s">
        <v>1231</v>
      </c>
      <c r="F14" s="1754">
        <f>'Expenditures 15-22'!K185</f>
        <v>0</v>
      </c>
      <c r="G14" s="1754">
        <f>'Expenditures 15-22'!K280</f>
        <v>15342</v>
      </c>
      <c r="H14" s="508"/>
      <c r="I14" s="468" t="s">
        <v>1231</v>
      </c>
      <c r="J14" s="468" t="s">
        <v>1231</v>
      </c>
      <c r="K14" s="508" t="s">
        <v>1231</v>
      </c>
      <c r="L14" s="347"/>
    </row>
    <row r="15" spans="1:13" ht="15.75" customHeight="1" x14ac:dyDescent="0.2">
      <c r="A15" s="1587" t="s">
        <v>109</v>
      </c>
      <c r="B15" s="1589">
        <v>4000</v>
      </c>
      <c r="C15" s="1754">
        <f>'Expenditures 15-22'!K102</f>
        <v>757208</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2363265</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60695549</v>
      </c>
      <c r="D17" s="1699">
        <f t="shared" si="2"/>
        <v>7808297</v>
      </c>
      <c r="E17" s="1699">
        <f t="shared" si="2"/>
        <v>2363265</v>
      </c>
      <c r="F17" s="1699">
        <f t="shared" si="2"/>
        <v>2705724</v>
      </c>
      <c r="G17" s="1699">
        <f t="shared" si="2"/>
        <v>2462350</v>
      </c>
      <c r="H17" s="1699">
        <f t="shared" si="2"/>
        <v>0</v>
      </c>
      <c r="I17" s="468"/>
      <c r="J17" s="1699">
        <f>SUM(J12:J16)</f>
        <v>0</v>
      </c>
      <c r="K17" s="1699">
        <f>SUM(K12:K16)</f>
        <v>0</v>
      </c>
      <c r="L17" s="347"/>
    </row>
    <row r="18" spans="1:12" ht="15" customHeight="1" thickTop="1" x14ac:dyDescent="0.2">
      <c r="A18" s="1755" t="s">
        <v>1753</v>
      </c>
      <c r="B18" s="1756">
        <v>4180</v>
      </c>
      <c r="C18" s="1753">
        <f t="shared" ref="C18:H18" si="3">C9</f>
        <v>24713606</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85409155</v>
      </c>
      <c r="D19" s="1699">
        <f t="shared" si="4"/>
        <v>7808297</v>
      </c>
      <c r="E19" s="1699">
        <f t="shared" si="4"/>
        <v>2363265</v>
      </c>
      <c r="F19" s="1699">
        <f t="shared" si="4"/>
        <v>2705724</v>
      </c>
      <c r="G19" s="1699">
        <f t="shared" si="4"/>
        <v>2462350</v>
      </c>
      <c r="H19" s="1699">
        <f t="shared" si="4"/>
        <v>0</v>
      </c>
      <c r="I19" s="468"/>
      <c r="J19" s="1699">
        <f>SUM(J17:J18)</f>
        <v>0</v>
      </c>
      <c r="K19" s="1699">
        <f>SUM(K17:K18)</f>
        <v>0</v>
      </c>
      <c r="L19" s="347"/>
    </row>
    <row r="20" spans="1:12" ht="16.5" thickTop="1" thickBot="1" x14ac:dyDescent="0.25">
      <c r="A20" s="2232" t="s">
        <v>1754</v>
      </c>
      <c r="B20" s="2233"/>
      <c r="C20" s="1757">
        <f>C8-C17</f>
        <v>192939</v>
      </c>
      <c r="D20" s="1757">
        <f t="shared" ref="D20:K20" si="5">D8-D17</f>
        <v>768464</v>
      </c>
      <c r="E20" s="1757">
        <f t="shared" si="5"/>
        <v>28330</v>
      </c>
      <c r="F20" s="1757">
        <f t="shared" si="5"/>
        <v>46409</v>
      </c>
      <c r="G20" s="1757">
        <f t="shared" si="5"/>
        <v>-37064</v>
      </c>
      <c r="H20" s="1757">
        <f t="shared" si="5"/>
        <v>1357</v>
      </c>
      <c r="I20" s="1757">
        <f t="shared" si="5"/>
        <v>51801</v>
      </c>
      <c r="J20" s="1757">
        <f t="shared" si="5"/>
        <v>0</v>
      </c>
      <c r="K20" s="1757">
        <f t="shared" si="5"/>
        <v>0</v>
      </c>
      <c r="L20" s="347"/>
    </row>
    <row r="21" spans="1:12" ht="16.7" customHeight="1" thickTop="1" x14ac:dyDescent="0.2">
      <c r="A21" s="2244" t="s">
        <v>616</v>
      </c>
      <c r="B21" s="2245"/>
      <c r="C21" s="1581"/>
      <c r="D21" s="1582"/>
      <c r="E21" s="1582"/>
      <c r="F21" s="1582"/>
      <c r="G21" s="1582"/>
      <c r="H21" s="1582"/>
      <c r="I21" s="1582"/>
      <c r="J21" s="1582"/>
      <c r="K21" s="1583"/>
      <c r="L21" s="520"/>
    </row>
    <row r="22" spans="1:12" ht="15.75" customHeight="1" collapsed="1" x14ac:dyDescent="0.2">
      <c r="A22" s="2240" t="s">
        <v>617</v>
      </c>
      <c r="B22" s="2241"/>
      <c r="C22" s="474"/>
      <c r="D22" s="474"/>
      <c r="E22" s="474"/>
      <c r="F22" s="474"/>
      <c r="G22" s="474"/>
      <c r="H22" s="474"/>
      <c r="I22" s="474"/>
      <c r="J22" s="474"/>
      <c r="K22" s="474"/>
      <c r="L22" s="347"/>
    </row>
    <row r="23" spans="1:12" s="482" customFormat="1" ht="15.75" customHeight="1" x14ac:dyDescent="0.2">
      <c r="A23" s="2236" t="s">
        <v>311</v>
      </c>
      <c r="B23" s="2237"/>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232957</v>
      </c>
      <c r="E29" s="473"/>
      <c r="F29" s="473"/>
      <c r="G29" s="473"/>
      <c r="H29" s="473"/>
      <c r="I29" s="473"/>
      <c r="J29" s="473"/>
      <c r="K29" s="473"/>
      <c r="L29" s="520"/>
    </row>
    <row r="30" spans="1:12" s="482" customFormat="1" ht="26.25" x14ac:dyDescent="0.2">
      <c r="A30" s="1500" t="s">
        <v>1894</v>
      </c>
      <c r="B30" s="523">
        <v>7160</v>
      </c>
      <c r="C30" s="474"/>
      <c r="D30" s="467">
        <v>0</v>
      </c>
      <c r="E30" s="474"/>
      <c r="F30" s="474"/>
      <c r="G30" s="474"/>
      <c r="H30" s="474"/>
      <c r="I30" s="474"/>
      <c r="J30" s="474"/>
      <c r="K30" s="474"/>
      <c r="L30" s="520"/>
    </row>
    <row r="31" spans="1:12" s="482" customFormat="1" ht="26.25" x14ac:dyDescent="0.2">
      <c r="A31" s="1500" t="s">
        <v>1898</v>
      </c>
      <c r="B31" s="523">
        <v>7170</v>
      </c>
      <c r="C31" s="474"/>
      <c r="D31" s="474"/>
      <c r="E31" s="467">
        <v>0</v>
      </c>
      <c r="F31" s="474"/>
      <c r="G31" s="474"/>
      <c r="H31" s="474"/>
      <c r="I31" s="474"/>
      <c r="J31" s="474"/>
      <c r="K31" s="474"/>
      <c r="L31" s="520"/>
    </row>
    <row r="32" spans="1:12" s="482" customFormat="1" ht="15.75" customHeight="1" x14ac:dyDescent="0.2">
      <c r="A32" s="2238" t="s">
        <v>1038</v>
      </c>
      <c r="B32" s="2239"/>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0</v>
      </c>
      <c r="F37" s="473"/>
      <c r="G37" s="473"/>
      <c r="H37" s="473"/>
      <c r="I37" s="474"/>
      <c r="J37" s="473"/>
      <c r="K37" s="473"/>
      <c r="L37" s="520"/>
    </row>
    <row r="38" spans="1:12" s="482" customFormat="1" x14ac:dyDescent="0.2">
      <c r="A38" s="1500" t="s">
        <v>462</v>
      </c>
      <c r="B38" s="521">
        <v>7500</v>
      </c>
      <c r="C38" s="474"/>
      <c r="D38" s="474"/>
      <c r="E38" s="1754">
        <f>SUM(C58:D61,H58:H61)</f>
        <v>0</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246" t="s">
        <v>392</v>
      </c>
      <c r="B44" s="2247"/>
      <c r="C44" s="1714">
        <f>SUM(C24:C43)</f>
        <v>0</v>
      </c>
      <c r="D44" s="1714">
        <f t="shared" ref="D44:K44" si="6">SUM(D24:D43)</f>
        <v>232957</v>
      </c>
      <c r="E44" s="1714">
        <f t="shared" si="6"/>
        <v>0</v>
      </c>
      <c r="F44" s="1714">
        <f t="shared" si="6"/>
        <v>0</v>
      </c>
      <c r="G44" s="1714">
        <f t="shared" si="6"/>
        <v>0</v>
      </c>
      <c r="H44" s="1714">
        <f t="shared" si="6"/>
        <v>0</v>
      </c>
      <c r="I44" s="1714">
        <f t="shared" si="6"/>
        <v>0</v>
      </c>
      <c r="J44" s="1714">
        <f t="shared" si="6"/>
        <v>0</v>
      </c>
      <c r="K44" s="1714">
        <f t="shared" si="6"/>
        <v>0</v>
      </c>
      <c r="L44" s="520"/>
    </row>
    <row r="45" spans="1:12" ht="15.75" customHeight="1" thickTop="1" x14ac:dyDescent="0.2">
      <c r="A45" s="2240" t="s">
        <v>110</v>
      </c>
      <c r="B45" s="2241"/>
      <c r="C45" s="524"/>
      <c r="D45" s="524"/>
      <c r="E45" s="524"/>
      <c r="F45" s="524"/>
      <c r="G45" s="524"/>
      <c r="H45" s="524"/>
      <c r="I45" s="524"/>
      <c r="J45" s="524"/>
      <c r="K45" s="524"/>
      <c r="L45" s="347"/>
    </row>
    <row r="46" spans="1:12" s="482" customFormat="1" ht="15.75" customHeight="1" x14ac:dyDescent="0.2">
      <c r="A46" s="2248" t="s">
        <v>111</v>
      </c>
      <c r="B46" s="2249"/>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232957</v>
      </c>
      <c r="I51" s="474"/>
      <c r="J51" s="473"/>
      <c r="K51" s="477"/>
      <c r="L51" s="520"/>
    </row>
    <row r="52" spans="1:12" s="482" customFormat="1" ht="26.25" x14ac:dyDescent="0.2">
      <c r="A52" s="1501" t="s">
        <v>1897</v>
      </c>
      <c r="B52" s="480">
        <v>8160</v>
      </c>
      <c r="C52" s="474"/>
      <c r="D52" s="474"/>
      <c r="E52" s="474"/>
      <c r="F52" s="474"/>
      <c r="G52" s="474"/>
      <c r="H52" s="474"/>
      <c r="I52" s="474"/>
      <c r="J52" s="474"/>
      <c r="K52" s="1754">
        <f>D30</f>
        <v>0</v>
      </c>
      <c r="L52" s="520"/>
    </row>
    <row r="53" spans="1:12" s="482" customFormat="1" ht="26.25" x14ac:dyDescent="0.2">
      <c r="A53" s="1501" t="s">
        <v>1896</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222" t="s">
        <v>460</v>
      </c>
      <c r="B76" s="2223"/>
      <c r="C76" s="1714">
        <f t="shared" ref="C76:K76" si="7">SUM(C47:C75)</f>
        <v>0</v>
      </c>
      <c r="D76" s="1714">
        <f t="shared" si="7"/>
        <v>0</v>
      </c>
      <c r="E76" s="1714">
        <f t="shared" si="7"/>
        <v>0</v>
      </c>
      <c r="F76" s="1714">
        <f t="shared" si="7"/>
        <v>0</v>
      </c>
      <c r="G76" s="1714">
        <f t="shared" si="7"/>
        <v>0</v>
      </c>
      <c r="H76" s="1714">
        <f t="shared" si="7"/>
        <v>232957</v>
      </c>
      <c r="I76" s="1714">
        <f t="shared" si="7"/>
        <v>0</v>
      </c>
      <c r="J76" s="1714">
        <f t="shared" si="7"/>
        <v>0</v>
      </c>
      <c r="K76" s="1714">
        <f t="shared" si="7"/>
        <v>0</v>
      </c>
      <c r="L76" s="520"/>
    </row>
    <row r="77" spans="1:12" ht="14.25" thickTop="1" thickBot="1" x14ac:dyDescent="0.25">
      <c r="A77" s="2224" t="s">
        <v>1239</v>
      </c>
      <c r="B77" s="2225"/>
      <c r="C77" s="1714">
        <f t="shared" ref="C77:K77" si="8">C44-C76</f>
        <v>0</v>
      </c>
      <c r="D77" s="1714">
        <f t="shared" si="8"/>
        <v>232957</v>
      </c>
      <c r="E77" s="1714">
        <f t="shared" si="8"/>
        <v>0</v>
      </c>
      <c r="F77" s="1714">
        <f t="shared" si="8"/>
        <v>0</v>
      </c>
      <c r="G77" s="1714">
        <f t="shared" si="8"/>
        <v>0</v>
      </c>
      <c r="H77" s="1714">
        <f t="shared" si="8"/>
        <v>-232957</v>
      </c>
      <c r="I77" s="1714">
        <f t="shared" si="8"/>
        <v>0</v>
      </c>
      <c r="J77" s="1714">
        <f t="shared" si="8"/>
        <v>0</v>
      </c>
      <c r="K77" s="1714">
        <f t="shared" si="8"/>
        <v>0</v>
      </c>
      <c r="L77" s="347"/>
    </row>
    <row r="78" spans="1:12" ht="21.75" customHeight="1" thickTop="1" thickBot="1" x14ac:dyDescent="0.25">
      <c r="A78" s="2228" t="s">
        <v>618</v>
      </c>
      <c r="B78" s="2229"/>
      <c r="C78" s="1713">
        <f t="shared" ref="C78:K78" si="9">C20+C77</f>
        <v>192939</v>
      </c>
      <c r="D78" s="1713">
        <f t="shared" si="9"/>
        <v>1001421</v>
      </c>
      <c r="E78" s="1713">
        <f t="shared" si="9"/>
        <v>28330</v>
      </c>
      <c r="F78" s="1713">
        <f t="shared" si="9"/>
        <v>46409</v>
      </c>
      <c r="G78" s="1713">
        <f t="shared" si="9"/>
        <v>-37064</v>
      </c>
      <c r="H78" s="1713">
        <f t="shared" si="9"/>
        <v>-231600</v>
      </c>
      <c r="I78" s="1713">
        <f t="shared" si="9"/>
        <v>51801</v>
      </c>
      <c r="J78" s="1713">
        <f t="shared" si="9"/>
        <v>0</v>
      </c>
      <c r="K78" s="1713">
        <f t="shared" si="9"/>
        <v>0</v>
      </c>
      <c r="L78" s="529"/>
    </row>
    <row r="79" spans="1:12" ht="13.5" thickTop="1" x14ac:dyDescent="0.2">
      <c r="A79" s="1505" t="s">
        <v>2070</v>
      </c>
      <c r="B79" s="530"/>
      <c r="C79" s="475">
        <v>26652254</v>
      </c>
      <c r="D79" s="475">
        <v>6257652</v>
      </c>
      <c r="E79" s="475">
        <v>1147808</v>
      </c>
      <c r="F79" s="475">
        <v>618720</v>
      </c>
      <c r="G79" s="475">
        <v>767135</v>
      </c>
      <c r="H79" s="475">
        <v>231600</v>
      </c>
      <c r="I79" s="475">
        <v>3719271</v>
      </c>
      <c r="J79" s="475">
        <v>0</v>
      </c>
      <c r="K79" s="475">
        <v>0</v>
      </c>
      <c r="L79" s="347"/>
    </row>
    <row r="80" spans="1:12" x14ac:dyDescent="0.2">
      <c r="A80" s="2234" t="s">
        <v>1895</v>
      </c>
      <c r="B80" s="2235"/>
      <c r="C80" s="467">
        <v>0</v>
      </c>
      <c r="D80" s="467">
        <v>0</v>
      </c>
      <c r="E80" s="467">
        <v>0</v>
      </c>
      <c r="F80" s="467">
        <v>0</v>
      </c>
      <c r="G80" s="467">
        <v>0</v>
      </c>
      <c r="H80" s="467">
        <v>0</v>
      </c>
      <c r="I80" s="467">
        <v>0</v>
      </c>
      <c r="J80" s="467">
        <v>0</v>
      </c>
      <c r="K80" s="467">
        <v>0</v>
      </c>
      <c r="L80" s="347"/>
    </row>
    <row r="81" spans="1:12" ht="13.5" thickBot="1" x14ac:dyDescent="0.25">
      <c r="A81" s="2226" t="s">
        <v>2071</v>
      </c>
      <c r="B81" s="2227"/>
      <c r="C81" s="1699">
        <f>(SUM(C78:C80))</f>
        <v>26845193</v>
      </c>
      <c r="D81" s="1699">
        <f>SUM(D78:D80)</f>
        <v>7259073</v>
      </c>
      <c r="E81" s="1699">
        <f t="shared" ref="E81:K81" si="10">SUM(E78:E80)</f>
        <v>1176138</v>
      </c>
      <c r="F81" s="1699">
        <f t="shared" si="10"/>
        <v>665129</v>
      </c>
      <c r="G81" s="1699">
        <f t="shared" si="10"/>
        <v>730071</v>
      </c>
      <c r="H81" s="1699">
        <f t="shared" si="10"/>
        <v>0</v>
      </c>
      <c r="I81" s="1699">
        <f t="shared" si="10"/>
        <v>3771072</v>
      </c>
      <c r="J81" s="1699">
        <f t="shared" si="10"/>
        <v>0</v>
      </c>
      <c r="K81" s="1699">
        <f t="shared" si="10"/>
        <v>0</v>
      </c>
      <c r="L81" s="347"/>
    </row>
    <row r="82" spans="1:12" ht="0.75" customHeight="1" thickTop="1" thickBot="1" x14ac:dyDescent="0.25">
      <c r="A82" s="532" t="s">
        <v>361</v>
      </c>
      <c r="B82" s="533"/>
      <c r="C82" s="534">
        <f>(C81-C79)</f>
        <v>192939</v>
      </c>
      <c r="D82" s="534">
        <f t="shared" ref="D82:K82" si="11">(D81-D79)</f>
        <v>1001421</v>
      </c>
      <c r="E82" s="534">
        <f t="shared" si="11"/>
        <v>28330</v>
      </c>
      <c r="F82" s="534">
        <f t="shared" si="11"/>
        <v>46409</v>
      </c>
      <c r="G82" s="534">
        <f t="shared" si="11"/>
        <v>-37064</v>
      </c>
      <c r="H82" s="534">
        <f t="shared" si="11"/>
        <v>-231600</v>
      </c>
      <c r="I82" s="534">
        <f t="shared" si="11"/>
        <v>51801</v>
      </c>
      <c r="J82" s="534">
        <f t="shared" si="11"/>
        <v>0</v>
      </c>
      <c r="K82" s="534">
        <f t="shared" si="11"/>
        <v>0</v>
      </c>
    </row>
    <row r="83" spans="1:12" ht="14.25" hidden="1" thickTop="1" thickBot="1" x14ac:dyDescent="0.25">
      <c r="A83" s="535" t="s">
        <v>362</v>
      </c>
      <c r="B83" s="464"/>
      <c r="C83" s="536">
        <f>C82/C81</f>
        <v>7.1870967737128954E-3</v>
      </c>
      <c r="D83" s="536">
        <f t="shared" ref="D83:K83" si="12">D82/D81</f>
        <v>0.13795439169712165</v>
      </c>
      <c r="E83" s="536">
        <f t="shared" si="12"/>
        <v>2.408730948239067E-2</v>
      </c>
      <c r="F83" s="536">
        <f t="shared" si="12"/>
        <v>6.9774434733713309E-2</v>
      </c>
      <c r="G83" s="536">
        <f t="shared" si="12"/>
        <v>-5.0767665062713081E-2</v>
      </c>
      <c r="H83" s="536" t="e">
        <f t="shared" si="12"/>
        <v>#DIV/0!</v>
      </c>
      <c r="I83" s="536">
        <f t="shared" si="12"/>
        <v>1.3736412351713252E-2</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L28" sqref="L28"/>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30" t="s">
        <v>1902</v>
      </c>
      <c r="B1" s="452"/>
      <c r="C1" s="453" t="s">
        <v>445</v>
      </c>
      <c r="D1" s="453" t="s">
        <v>446</v>
      </c>
      <c r="E1" s="453" t="s">
        <v>447</v>
      </c>
      <c r="F1" s="453" t="s">
        <v>448</v>
      </c>
      <c r="G1" s="453" t="s">
        <v>449</v>
      </c>
      <c r="H1" s="453" t="s">
        <v>450</v>
      </c>
      <c r="I1" s="453" t="s">
        <v>451</v>
      </c>
      <c r="J1" s="453" t="s">
        <v>452</v>
      </c>
      <c r="K1" s="453" t="s">
        <v>780</v>
      </c>
    </row>
    <row r="2" spans="1:12" ht="36" x14ac:dyDescent="0.2">
      <c r="A2" s="2231"/>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49917362</v>
      </c>
      <c r="D5" s="478">
        <v>8273435</v>
      </c>
      <c r="E5" s="478">
        <v>2372586</v>
      </c>
      <c r="F5" s="478">
        <v>1753945</v>
      </c>
      <c r="G5" s="478">
        <v>725270</v>
      </c>
      <c r="H5" s="478">
        <v>0</v>
      </c>
      <c r="I5" s="478">
        <v>0</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441544</v>
      </c>
      <c r="D7" s="478">
        <v>0</v>
      </c>
      <c r="E7" s="468"/>
      <c r="F7" s="478">
        <v>0</v>
      </c>
      <c r="G7" s="478">
        <v>0</v>
      </c>
      <c r="H7" s="478">
        <v>0</v>
      </c>
      <c r="I7" s="468"/>
      <c r="J7" s="468"/>
      <c r="K7" s="468"/>
    </row>
    <row r="8" spans="1:12" x14ac:dyDescent="0.2">
      <c r="A8" s="463" t="s">
        <v>433</v>
      </c>
      <c r="B8" s="470">
        <v>1150</v>
      </c>
      <c r="C8" s="473"/>
      <c r="D8" s="473"/>
      <c r="E8" s="474"/>
      <c r="F8" s="474"/>
      <c r="G8" s="478">
        <v>1332178</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50358906</v>
      </c>
      <c r="D12" s="1718">
        <f t="shared" si="0"/>
        <v>8273435</v>
      </c>
      <c r="E12" s="1718">
        <f t="shared" si="0"/>
        <v>2372586</v>
      </c>
      <c r="F12" s="1718">
        <f t="shared" si="0"/>
        <v>1753945</v>
      </c>
      <c r="G12" s="1718">
        <f t="shared" si="0"/>
        <v>2057448</v>
      </c>
      <c r="H12" s="1718">
        <f t="shared" si="0"/>
        <v>0</v>
      </c>
      <c r="I12" s="1718">
        <f t="shared" si="0"/>
        <v>0</v>
      </c>
      <c r="J12" s="1718">
        <f t="shared" si="0"/>
        <v>0</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2591124</v>
      </c>
      <c r="D16" s="478">
        <v>0</v>
      </c>
      <c r="E16" s="478">
        <v>0</v>
      </c>
      <c r="F16" s="478">
        <v>0</v>
      </c>
      <c r="G16" s="478">
        <v>351568</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2591124</v>
      </c>
      <c r="D18" s="1721">
        <f t="shared" ref="D18:K18" si="1">SUM(D14:D17)</f>
        <v>0</v>
      </c>
      <c r="E18" s="1721">
        <f t="shared" si="1"/>
        <v>0</v>
      </c>
      <c r="F18" s="1721">
        <f t="shared" si="1"/>
        <v>0</v>
      </c>
      <c r="G18" s="1721">
        <f t="shared" si="1"/>
        <v>351568</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223246</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77818</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301064</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0</v>
      </c>
      <c r="G42" s="468"/>
      <c r="H42" s="468"/>
      <c r="I42" s="468"/>
      <c r="J42" s="468"/>
      <c r="K42" s="468"/>
    </row>
    <row r="43" spans="1:11" ht="12.75" customHeight="1" x14ac:dyDescent="0.2">
      <c r="A43" s="463" t="s">
        <v>892</v>
      </c>
      <c r="B43" s="470">
        <v>1412</v>
      </c>
      <c r="C43" s="468"/>
      <c r="D43" s="468"/>
      <c r="E43" s="468"/>
      <c r="F43" s="478">
        <v>0</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0</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501260</v>
      </c>
      <c r="D65" s="478">
        <v>112254</v>
      </c>
      <c r="E65" s="478">
        <v>19009</v>
      </c>
      <c r="F65" s="478">
        <v>12772</v>
      </c>
      <c r="G65" s="478">
        <v>16270</v>
      </c>
      <c r="H65" s="478">
        <v>1357</v>
      </c>
      <c r="I65" s="478">
        <v>51801</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501260</v>
      </c>
      <c r="D67" s="1699">
        <f t="shared" ref="D67:K67" si="2">SUM(D65:D66)</f>
        <v>112254</v>
      </c>
      <c r="E67" s="1699">
        <f t="shared" si="2"/>
        <v>19009</v>
      </c>
      <c r="F67" s="1699">
        <f t="shared" si="2"/>
        <v>12772</v>
      </c>
      <c r="G67" s="1699">
        <f t="shared" si="2"/>
        <v>16270</v>
      </c>
      <c r="H67" s="1699">
        <f t="shared" si="2"/>
        <v>1357</v>
      </c>
      <c r="I67" s="1699">
        <f t="shared" si="2"/>
        <v>51801</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405983</v>
      </c>
      <c r="D69" s="468"/>
      <c r="E69" s="468"/>
      <c r="F69" s="468"/>
      <c r="G69" s="468"/>
      <c r="H69" s="468"/>
      <c r="I69" s="468"/>
      <c r="J69" s="468"/>
      <c r="K69" s="468"/>
    </row>
    <row r="70" spans="1:11" ht="12.75" customHeight="1" x14ac:dyDescent="0.2">
      <c r="A70" s="463" t="s">
        <v>1054</v>
      </c>
      <c r="B70" s="470">
        <v>1612</v>
      </c>
      <c r="C70" s="478">
        <v>35552</v>
      </c>
      <c r="D70" s="468"/>
      <c r="E70" s="468"/>
      <c r="F70" s="468"/>
      <c r="G70" s="468"/>
      <c r="H70" s="468"/>
      <c r="I70" s="468"/>
      <c r="J70" s="468"/>
      <c r="K70" s="468"/>
    </row>
    <row r="71" spans="1:11" ht="12.75" customHeight="1" x14ac:dyDescent="0.2">
      <c r="A71" s="463" t="s">
        <v>291</v>
      </c>
      <c r="B71" s="470">
        <v>1613</v>
      </c>
      <c r="C71" s="478">
        <v>387510</v>
      </c>
      <c r="D71" s="468"/>
      <c r="E71" s="468"/>
      <c r="F71" s="468"/>
      <c r="G71" s="468"/>
      <c r="H71" s="468"/>
      <c r="I71" s="468"/>
      <c r="J71" s="468"/>
      <c r="K71" s="468"/>
    </row>
    <row r="72" spans="1:11" ht="12.75" customHeight="1" x14ac:dyDescent="0.2">
      <c r="A72" s="463" t="s">
        <v>24</v>
      </c>
      <c r="B72" s="470">
        <v>1614</v>
      </c>
      <c r="C72" s="478">
        <v>84</v>
      </c>
      <c r="D72" s="468"/>
      <c r="E72" s="468"/>
      <c r="F72" s="468"/>
      <c r="G72" s="468"/>
      <c r="H72" s="468"/>
      <c r="I72" s="468"/>
      <c r="J72" s="468"/>
      <c r="K72" s="468"/>
    </row>
    <row r="73" spans="1:11" ht="12.75" customHeight="1" x14ac:dyDescent="0.2">
      <c r="A73" s="463" t="s">
        <v>1055</v>
      </c>
      <c r="B73" s="470">
        <v>1620</v>
      </c>
      <c r="C73" s="478">
        <v>1592</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830721</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25249</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174104</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331136</v>
      </c>
      <c r="D81" s="478">
        <v>0</v>
      </c>
      <c r="E81" s="468"/>
      <c r="F81" s="468"/>
      <c r="G81" s="468"/>
      <c r="H81" s="468"/>
      <c r="I81" s="468"/>
      <c r="J81" s="468"/>
      <c r="K81" s="468"/>
    </row>
    <row r="82" spans="1:11" ht="12.75" customHeight="1" thickBot="1" x14ac:dyDescent="0.25">
      <c r="A82" s="1719" t="s">
        <v>259</v>
      </c>
      <c r="B82" s="1720"/>
      <c r="C82" s="1718">
        <f>SUM(C77:C81)</f>
        <v>530489</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248564</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434307</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-75441</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607430</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172569</v>
      </c>
      <c r="E95" s="517"/>
      <c r="F95" s="517"/>
      <c r="G95" s="517"/>
      <c r="H95" s="517"/>
      <c r="I95" s="517"/>
      <c r="J95" s="517"/>
      <c r="K95" s="517"/>
    </row>
    <row r="96" spans="1:11" ht="12.75" customHeight="1" x14ac:dyDescent="0.2">
      <c r="A96" s="463" t="s">
        <v>409</v>
      </c>
      <c r="B96" s="470">
        <v>1920</v>
      </c>
      <c r="C96" s="478">
        <v>0</v>
      </c>
      <c r="D96" s="478">
        <v>0</v>
      </c>
      <c r="E96" s="478">
        <v>0</v>
      </c>
      <c r="F96" s="478">
        <v>0</v>
      </c>
      <c r="G96" s="478">
        <v>0</v>
      </c>
      <c r="H96" s="478">
        <v>0</v>
      </c>
      <c r="I96" s="478">
        <v>0</v>
      </c>
      <c r="J96" s="478">
        <v>0</v>
      </c>
      <c r="K96" s="478">
        <v>0</v>
      </c>
    </row>
    <row r="97" spans="1:12" ht="12.75" customHeight="1" x14ac:dyDescent="0.2">
      <c r="A97" s="1506" t="s">
        <v>262</v>
      </c>
      <c r="B97" s="554">
        <v>1930</v>
      </c>
      <c r="C97" s="478">
        <v>450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53970</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37910</v>
      </c>
      <c r="D101" s="522"/>
      <c r="E101" s="477"/>
      <c r="F101" s="522"/>
      <c r="G101" s="473"/>
      <c r="H101" s="522"/>
      <c r="I101" s="468"/>
      <c r="J101" s="473"/>
      <c r="K101" s="473"/>
    </row>
    <row r="102" spans="1:12" ht="12.75" customHeight="1" x14ac:dyDescent="0.2">
      <c r="A102" s="463" t="s">
        <v>265</v>
      </c>
      <c r="B102" s="470">
        <v>1980</v>
      </c>
      <c r="C102" s="478">
        <v>47461</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162939</v>
      </c>
      <c r="D107" s="478">
        <v>18503</v>
      </c>
      <c r="E107" s="478">
        <v>0</v>
      </c>
      <c r="F107" s="478">
        <v>0</v>
      </c>
      <c r="G107" s="478">
        <v>0</v>
      </c>
      <c r="H107" s="478">
        <v>0</v>
      </c>
      <c r="I107" s="478">
        <v>0</v>
      </c>
      <c r="J107" s="478">
        <v>0</v>
      </c>
      <c r="K107" s="478">
        <v>0</v>
      </c>
    </row>
    <row r="108" spans="1:12" ht="12.75" customHeight="1" thickBot="1" x14ac:dyDescent="0.25">
      <c r="A108" s="1719" t="s">
        <v>508</v>
      </c>
      <c r="B108" s="1723"/>
      <c r="C108" s="1718">
        <f>SUM(C95:C107)</f>
        <v>302730</v>
      </c>
      <c r="D108" s="1718">
        <f t="shared" ref="D108:K108" si="3">SUM(D95:D107)</f>
        <v>191072</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56023724</v>
      </c>
      <c r="D109" s="1726">
        <f t="shared" si="4"/>
        <v>8576761</v>
      </c>
      <c r="E109" s="1726">
        <f t="shared" si="4"/>
        <v>2391595</v>
      </c>
      <c r="F109" s="1726">
        <f t="shared" si="4"/>
        <v>1766717</v>
      </c>
      <c r="G109" s="1726">
        <f t="shared" si="4"/>
        <v>2425286</v>
      </c>
      <c r="H109" s="1726">
        <f t="shared" si="4"/>
        <v>1357</v>
      </c>
      <c r="I109" s="1726">
        <f t="shared" si="4"/>
        <v>51801</v>
      </c>
      <c r="J109" s="1726">
        <f t="shared" si="4"/>
        <v>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2781600</v>
      </c>
      <c r="D117" s="478">
        <v>0</v>
      </c>
      <c r="E117" s="478">
        <v>0</v>
      </c>
      <c r="F117" s="478">
        <v>0</v>
      </c>
      <c r="G117" s="478">
        <v>0</v>
      </c>
      <c r="H117" s="478">
        <v>0</v>
      </c>
      <c r="I117" s="468"/>
      <c r="J117" s="478">
        <v>0</v>
      </c>
      <c r="K117" s="478">
        <v>0</v>
      </c>
    </row>
    <row r="118" spans="1:11" ht="12.75" customHeight="1" x14ac:dyDescent="0.2">
      <c r="A118" s="463" t="s">
        <v>1899</v>
      </c>
      <c r="B118" s="556">
        <v>3002</v>
      </c>
      <c r="C118" s="478">
        <v>0</v>
      </c>
      <c r="D118" s="478">
        <v>0</v>
      </c>
      <c r="E118" s="478">
        <v>0</v>
      </c>
      <c r="F118" s="478">
        <v>0</v>
      </c>
      <c r="G118" s="478">
        <v>0</v>
      </c>
      <c r="H118" s="478">
        <v>0</v>
      </c>
      <c r="I118" s="468"/>
      <c r="J118" s="478">
        <v>0</v>
      </c>
      <c r="K118" s="478">
        <v>0</v>
      </c>
    </row>
    <row r="119" spans="1:11" ht="12.75" customHeight="1" x14ac:dyDescent="0.2">
      <c r="A119" s="463" t="s">
        <v>1900</v>
      </c>
      <c r="B119" s="556">
        <v>3005</v>
      </c>
      <c r="C119" s="478">
        <v>0</v>
      </c>
      <c r="D119" s="478">
        <v>0</v>
      </c>
      <c r="E119" s="478">
        <v>0</v>
      </c>
      <c r="F119" s="478">
        <v>0</v>
      </c>
      <c r="G119" s="478">
        <v>0</v>
      </c>
      <c r="H119" s="478">
        <v>0</v>
      </c>
      <c r="I119" s="468"/>
      <c r="J119" s="478">
        <v>0</v>
      </c>
      <c r="K119" s="478">
        <v>0</v>
      </c>
    </row>
    <row r="120" spans="1:11" x14ac:dyDescent="0.2">
      <c r="A120" s="1507" t="s">
        <v>1901</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2781600</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522897</v>
      </c>
      <c r="D124" s="555"/>
      <c r="E124" s="468"/>
      <c r="F124" s="478">
        <v>0</v>
      </c>
      <c r="G124" s="468"/>
      <c r="H124" s="468"/>
      <c r="I124" s="468"/>
      <c r="J124" s="468"/>
      <c r="K124" s="468"/>
    </row>
    <row r="125" spans="1:11" ht="12.75" customHeight="1" x14ac:dyDescent="0.2">
      <c r="A125" s="463" t="s">
        <v>1521</v>
      </c>
      <c r="B125" s="556">
        <v>3105</v>
      </c>
      <c r="C125" s="478">
        <v>126529</v>
      </c>
      <c r="D125" s="555"/>
      <c r="E125" s="468"/>
      <c r="F125" s="478">
        <v>0</v>
      </c>
      <c r="G125" s="468"/>
      <c r="H125" s="468"/>
      <c r="I125" s="468"/>
      <c r="J125" s="468"/>
      <c r="K125" s="468"/>
    </row>
    <row r="126" spans="1:11" ht="12.75" customHeight="1" x14ac:dyDescent="0.2">
      <c r="A126" s="463" t="s">
        <v>922</v>
      </c>
      <c r="B126" s="556">
        <v>3110</v>
      </c>
      <c r="C126" s="478">
        <v>134406</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6092</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789924</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74117</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74117</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10385</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10385</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2351</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113152</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58613</v>
      </c>
      <c r="G151" s="546">
        <v>0</v>
      </c>
      <c r="H151" s="468"/>
      <c r="I151" s="468"/>
      <c r="J151" s="468"/>
      <c r="K151" s="468"/>
    </row>
    <row r="152" spans="1:11" ht="12.75" customHeight="1" x14ac:dyDescent="0.2">
      <c r="A152" s="463" t="s">
        <v>1117</v>
      </c>
      <c r="B152" s="556">
        <v>3510</v>
      </c>
      <c r="C152" s="546">
        <v>0</v>
      </c>
      <c r="D152" s="546">
        <v>0</v>
      </c>
      <c r="E152" s="555"/>
      <c r="F152" s="546">
        <v>926803</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985416</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138831</v>
      </c>
      <c r="D171" s="573">
        <v>0</v>
      </c>
      <c r="E171" s="574">
        <v>0</v>
      </c>
      <c r="F171" s="574">
        <v>0</v>
      </c>
      <c r="G171" s="574">
        <v>0</v>
      </c>
      <c r="H171" s="573">
        <v>0</v>
      </c>
      <c r="I171" s="574">
        <v>0</v>
      </c>
      <c r="J171" s="574">
        <v>0</v>
      </c>
      <c r="K171" s="574">
        <v>0</v>
      </c>
    </row>
    <row r="172" spans="1:11" ht="12.75" customHeight="1" thickTop="1" thickBot="1" x14ac:dyDescent="0.25">
      <c r="A172" s="2250" t="s">
        <v>418</v>
      </c>
      <c r="B172" s="2251"/>
      <c r="C172" s="1733">
        <f t="shared" ref="C172:K172" si="6">SUM(C131,C140,C144,C145:C149,C154,C155:C170,C171)</f>
        <v>1128760</v>
      </c>
      <c r="D172" s="1733">
        <f t="shared" si="6"/>
        <v>0</v>
      </c>
      <c r="E172" s="1733">
        <f t="shared" si="6"/>
        <v>0</v>
      </c>
      <c r="F172" s="1733">
        <f t="shared" si="6"/>
        <v>985416</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3910360</v>
      </c>
      <c r="D173" s="1726">
        <f>SUM(D121,D172)</f>
        <v>0</v>
      </c>
      <c r="E173" s="1726">
        <f>SUM(E121,E172)</f>
        <v>0</v>
      </c>
      <c r="F173" s="1726">
        <f t="shared" ref="F173:K173" si="7">SUM(F121,F172)</f>
        <v>985416</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252" t="s">
        <v>1572</v>
      </c>
      <c r="B175" s="2253"/>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256" t="s">
        <v>1764</v>
      </c>
      <c r="B178" s="2257"/>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260" t="s">
        <v>1763</v>
      </c>
      <c r="B179" s="2261"/>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258" t="s">
        <v>818</v>
      </c>
      <c r="B184" s="2259"/>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254" t="s">
        <v>1903</v>
      </c>
      <c r="B185" s="2255"/>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0</v>
      </c>
      <c r="D194" s="468"/>
      <c r="E194" s="555"/>
      <c r="F194" s="468"/>
      <c r="G194" s="478">
        <v>0</v>
      </c>
      <c r="H194" s="468"/>
      <c r="I194" s="468"/>
      <c r="J194" s="468"/>
      <c r="K194" s="468"/>
    </row>
    <row r="195" spans="1:11" ht="12.75" customHeight="1" x14ac:dyDescent="0.2">
      <c r="A195" s="463" t="s">
        <v>1107</v>
      </c>
      <c r="B195" s="470">
        <v>4215</v>
      </c>
      <c r="C195" s="478">
        <v>12609</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12609</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266057</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266057</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200979</v>
      </c>
      <c r="D220" s="478">
        <v>0</v>
      </c>
      <c r="E220" s="468"/>
      <c r="F220" s="478">
        <v>0</v>
      </c>
      <c r="G220" s="478">
        <v>0</v>
      </c>
      <c r="H220" s="468"/>
      <c r="I220" s="468"/>
      <c r="J220" s="468"/>
      <c r="K220" s="468"/>
    </row>
    <row r="221" spans="1:11" ht="12.75" customHeight="1" x14ac:dyDescent="0.2">
      <c r="A221" s="463" t="s">
        <v>1114</v>
      </c>
      <c r="B221" s="470">
        <v>4625</v>
      </c>
      <c r="C221" s="478">
        <v>232532</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433511</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39084</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39084</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85294</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38284</v>
      </c>
      <c r="D270" s="582">
        <v>0</v>
      </c>
      <c r="E270" s="468"/>
      <c r="F270" s="582">
        <v>0</v>
      </c>
      <c r="G270" s="582">
        <v>0</v>
      </c>
      <c r="H270" s="468"/>
      <c r="I270" s="468"/>
      <c r="J270" s="468"/>
      <c r="K270" s="468"/>
    </row>
    <row r="271" spans="1:11" ht="12.75" customHeight="1" thickTop="1" thickBot="1" x14ac:dyDescent="0.25">
      <c r="A271" s="463" t="s">
        <v>395</v>
      </c>
      <c r="B271" s="470">
        <v>4992</v>
      </c>
      <c r="C271" s="582">
        <v>79565</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954404</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954404</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60888488</v>
      </c>
      <c r="D275" s="1726">
        <f t="shared" si="12"/>
        <v>8576761</v>
      </c>
      <c r="E275" s="1726">
        <f t="shared" si="12"/>
        <v>2391595</v>
      </c>
      <c r="F275" s="1726">
        <f t="shared" si="12"/>
        <v>2752133</v>
      </c>
      <c r="G275" s="1726">
        <f t="shared" si="12"/>
        <v>2425286</v>
      </c>
      <c r="H275" s="1726">
        <f t="shared" si="12"/>
        <v>1357</v>
      </c>
      <c r="I275" s="1726">
        <f t="shared" si="12"/>
        <v>51801</v>
      </c>
      <c r="J275" s="1726">
        <f t="shared" si="12"/>
        <v>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82" activePane="bottomLeft" state="frozen"/>
      <selection activeCell="L28" sqref="L28"/>
      <selection pane="bottomLeft" activeCell="L28" sqref="L28"/>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30" t="s">
        <v>1902</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262"/>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268" t="s">
        <v>315</v>
      </c>
      <c r="B3" s="2269"/>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24253242</v>
      </c>
      <c r="D5" s="466">
        <v>3226445</v>
      </c>
      <c r="E5" s="466">
        <v>254395</v>
      </c>
      <c r="F5" s="466">
        <v>667200</v>
      </c>
      <c r="G5" s="466">
        <v>48555</v>
      </c>
      <c r="H5" s="466">
        <v>3972</v>
      </c>
      <c r="I5" s="466">
        <v>0</v>
      </c>
      <c r="J5" s="466">
        <v>0</v>
      </c>
      <c r="K5" s="1682">
        <f>SUM(C5:J5)</f>
        <v>28453809</v>
      </c>
      <c r="L5" s="466">
        <v>28767796</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5469434</v>
      </c>
      <c r="D8" s="466">
        <v>1235250</v>
      </c>
      <c r="E8" s="466">
        <v>100154</v>
      </c>
      <c r="F8" s="466">
        <v>39223</v>
      </c>
      <c r="G8" s="466">
        <v>0</v>
      </c>
      <c r="H8" s="466">
        <v>4830</v>
      </c>
      <c r="I8" s="466">
        <v>0</v>
      </c>
      <c r="J8" s="466">
        <v>0</v>
      </c>
      <c r="K8" s="1682">
        <f t="shared" si="0"/>
        <v>6848891</v>
      </c>
      <c r="L8" s="466">
        <v>6711416</v>
      </c>
    </row>
    <row r="9" spans="1:14" x14ac:dyDescent="0.2">
      <c r="A9" s="1515" t="s">
        <v>745</v>
      </c>
      <c r="B9" s="606" t="s">
        <v>1025</v>
      </c>
      <c r="C9" s="466">
        <v>0</v>
      </c>
      <c r="D9" s="466">
        <v>0</v>
      </c>
      <c r="E9" s="466">
        <v>0</v>
      </c>
      <c r="F9" s="466">
        <v>0</v>
      </c>
      <c r="G9" s="466">
        <v>0</v>
      </c>
      <c r="H9" s="466">
        <v>0</v>
      </c>
      <c r="I9" s="466">
        <v>0</v>
      </c>
      <c r="J9" s="466">
        <v>0</v>
      </c>
      <c r="K9" s="1682">
        <f t="shared" si="0"/>
        <v>0</v>
      </c>
      <c r="L9" s="466">
        <v>0</v>
      </c>
    </row>
    <row r="10" spans="1:14" x14ac:dyDescent="0.2">
      <c r="A10" s="1515" t="s">
        <v>746</v>
      </c>
      <c r="B10" s="606">
        <v>1250</v>
      </c>
      <c r="C10" s="466">
        <v>83481</v>
      </c>
      <c r="D10" s="466">
        <v>28765</v>
      </c>
      <c r="E10" s="466">
        <v>48888</v>
      </c>
      <c r="F10" s="466">
        <v>113710</v>
      </c>
      <c r="G10" s="466">
        <v>15452</v>
      </c>
      <c r="H10" s="466">
        <v>0</v>
      </c>
      <c r="I10" s="466">
        <v>0</v>
      </c>
      <c r="J10" s="466">
        <v>0</v>
      </c>
      <c r="K10" s="1682">
        <f t="shared" si="0"/>
        <v>290296</v>
      </c>
      <c r="L10" s="466">
        <v>251708</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70106</v>
      </c>
      <c r="D12" s="466">
        <v>6787</v>
      </c>
      <c r="E12" s="466">
        <v>30316</v>
      </c>
      <c r="F12" s="466">
        <v>732</v>
      </c>
      <c r="G12" s="466">
        <v>0</v>
      </c>
      <c r="H12" s="466">
        <v>11527</v>
      </c>
      <c r="I12" s="466">
        <v>0</v>
      </c>
      <c r="J12" s="466">
        <v>0</v>
      </c>
      <c r="K12" s="1682">
        <f t="shared" si="0"/>
        <v>119468</v>
      </c>
      <c r="L12" s="466">
        <v>116808</v>
      </c>
    </row>
    <row r="13" spans="1:14" x14ac:dyDescent="0.2">
      <c r="A13" s="1515" t="s">
        <v>747</v>
      </c>
      <c r="B13" s="606">
        <v>1400</v>
      </c>
      <c r="C13" s="466">
        <v>0</v>
      </c>
      <c r="D13" s="466">
        <v>0</v>
      </c>
      <c r="E13" s="466">
        <v>6516</v>
      </c>
      <c r="F13" s="466">
        <v>14243</v>
      </c>
      <c r="G13" s="466">
        <v>19328</v>
      </c>
      <c r="H13" s="466">
        <v>0</v>
      </c>
      <c r="I13" s="466">
        <v>0</v>
      </c>
      <c r="J13" s="466">
        <v>0</v>
      </c>
      <c r="K13" s="1682">
        <f t="shared" si="0"/>
        <v>40087</v>
      </c>
      <c r="L13" s="466">
        <v>8622</v>
      </c>
    </row>
    <row r="14" spans="1:14" x14ac:dyDescent="0.2">
      <c r="A14" s="1515" t="s">
        <v>1020</v>
      </c>
      <c r="B14" s="606">
        <v>1500</v>
      </c>
      <c r="C14" s="466">
        <v>1444272</v>
      </c>
      <c r="D14" s="466">
        <v>20255</v>
      </c>
      <c r="E14" s="466">
        <v>241157</v>
      </c>
      <c r="F14" s="466">
        <v>84811</v>
      </c>
      <c r="G14" s="466">
        <v>16855</v>
      </c>
      <c r="H14" s="466">
        <v>8974</v>
      </c>
      <c r="I14" s="466">
        <v>0</v>
      </c>
      <c r="J14" s="466">
        <v>0</v>
      </c>
      <c r="K14" s="1682">
        <f t="shared" si="0"/>
        <v>1816324</v>
      </c>
      <c r="L14" s="466">
        <v>1876987</v>
      </c>
    </row>
    <row r="15" spans="1:14" x14ac:dyDescent="0.2">
      <c r="A15" s="1515" t="s">
        <v>1021</v>
      </c>
      <c r="B15" s="606">
        <v>1600</v>
      </c>
      <c r="C15" s="466">
        <v>260434</v>
      </c>
      <c r="D15" s="466">
        <v>2495</v>
      </c>
      <c r="E15" s="466">
        <v>2834</v>
      </c>
      <c r="F15" s="466">
        <v>9442</v>
      </c>
      <c r="G15" s="466">
        <v>0</v>
      </c>
      <c r="H15" s="466">
        <v>25366</v>
      </c>
      <c r="I15" s="466">
        <v>0</v>
      </c>
      <c r="J15" s="466">
        <v>0</v>
      </c>
      <c r="K15" s="1682">
        <f t="shared" si="0"/>
        <v>300571</v>
      </c>
      <c r="L15" s="466">
        <v>332405</v>
      </c>
    </row>
    <row r="16" spans="1:14" x14ac:dyDescent="0.2">
      <c r="A16" s="1515" t="s">
        <v>1044</v>
      </c>
      <c r="B16" s="606" t="s">
        <v>444</v>
      </c>
      <c r="C16" s="466">
        <v>0</v>
      </c>
      <c r="D16" s="466">
        <v>0</v>
      </c>
      <c r="E16" s="466">
        <v>0</v>
      </c>
      <c r="F16" s="466">
        <v>0</v>
      </c>
      <c r="G16" s="466">
        <v>0</v>
      </c>
      <c r="H16" s="466">
        <v>0</v>
      </c>
      <c r="I16" s="466">
        <v>0</v>
      </c>
      <c r="J16" s="466">
        <v>0</v>
      </c>
      <c r="K16" s="1682">
        <f t="shared" si="0"/>
        <v>0</v>
      </c>
      <c r="L16" s="466">
        <v>0</v>
      </c>
    </row>
    <row r="17" spans="1:12" x14ac:dyDescent="0.2">
      <c r="A17" s="1515" t="s">
        <v>748</v>
      </c>
      <c r="B17" s="606" t="s">
        <v>164</v>
      </c>
      <c r="C17" s="466">
        <v>581777</v>
      </c>
      <c r="D17" s="466">
        <v>77699</v>
      </c>
      <c r="E17" s="466">
        <v>6472</v>
      </c>
      <c r="F17" s="466">
        <v>5621</v>
      </c>
      <c r="G17" s="466">
        <v>0</v>
      </c>
      <c r="H17" s="466">
        <v>110</v>
      </c>
      <c r="I17" s="466">
        <v>0</v>
      </c>
      <c r="J17" s="466">
        <v>0</v>
      </c>
      <c r="K17" s="1682">
        <f t="shared" si="0"/>
        <v>671679</v>
      </c>
      <c r="L17" s="466">
        <v>697783</v>
      </c>
    </row>
    <row r="18" spans="1:12" x14ac:dyDescent="0.2">
      <c r="A18" s="1515" t="s">
        <v>1148</v>
      </c>
      <c r="B18" s="606">
        <v>1800</v>
      </c>
      <c r="C18" s="466">
        <v>0</v>
      </c>
      <c r="D18" s="466">
        <v>0</v>
      </c>
      <c r="E18" s="466">
        <v>687</v>
      </c>
      <c r="F18" s="466">
        <v>6592</v>
      </c>
      <c r="G18" s="466">
        <v>0</v>
      </c>
      <c r="H18" s="466">
        <v>0</v>
      </c>
      <c r="I18" s="466">
        <v>0</v>
      </c>
      <c r="J18" s="466">
        <v>0</v>
      </c>
      <c r="K18" s="1682">
        <f t="shared" si="0"/>
        <v>7279</v>
      </c>
      <c r="L18" s="466">
        <v>15500</v>
      </c>
    </row>
    <row r="19" spans="1:12" x14ac:dyDescent="0.2">
      <c r="A19" s="1515" t="s">
        <v>136</v>
      </c>
      <c r="B19" s="606">
        <v>1900</v>
      </c>
      <c r="C19" s="466">
        <v>286955</v>
      </c>
      <c r="D19" s="466">
        <v>47238</v>
      </c>
      <c r="E19" s="466">
        <v>13685</v>
      </c>
      <c r="F19" s="466">
        <v>14385</v>
      </c>
      <c r="G19" s="466">
        <v>0</v>
      </c>
      <c r="H19" s="466">
        <v>47292</v>
      </c>
      <c r="I19" s="466">
        <v>0</v>
      </c>
      <c r="J19" s="466">
        <v>0</v>
      </c>
      <c r="K19" s="1682">
        <f t="shared" si="0"/>
        <v>409555</v>
      </c>
      <c r="L19" s="466">
        <v>3877958</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257055</v>
      </c>
      <c r="I21" s="608"/>
      <c r="J21" s="474"/>
      <c r="K21" s="1682">
        <f t="shared" si="0"/>
        <v>257055</v>
      </c>
      <c r="L21" s="466">
        <v>0</v>
      </c>
    </row>
    <row r="22" spans="1:12" x14ac:dyDescent="0.2">
      <c r="A22" s="1516" t="s">
        <v>764</v>
      </c>
      <c r="B22" s="594" t="s">
        <v>751</v>
      </c>
      <c r="C22" s="474"/>
      <c r="D22" s="474"/>
      <c r="E22" s="474"/>
      <c r="F22" s="474"/>
      <c r="G22" s="474"/>
      <c r="H22" s="466">
        <v>2807003</v>
      </c>
      <c r="I22" s="608"/>
      <c r="J22" s="474"/>
      <c r="K22" s="1682">
        <f t="shared" si="0"/>
        <v>2807003</v>
      </c>
      <c r="L22" s="466">
        <v>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23145</v>
      </c>
      <c r="I24" s="608"/>
      <c r="J24" s="474"/>
      <c r="K24" s="1682">
        <f t="shared" si="0"/>
        <v>23145</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199660</v>
      </c>
      <c r="I27" s="608"/>
      <c r="J27" s="474"/>
      <c r="K27" s="1682">
        <f t="shared" si="0"/>
        <v>199660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32449701</v>
      </c>
      <c r="D33" s="1681">
        <f t="shared" ref="D33:L33" si="1">SUM(D5:D32)</f>
        <v>4644934</v>
      </c>
      <c r="E33" s="1681">
        <f t="shared" si="1"/>
        <v>705104</v>
      </c>
      <c r="F33" s="1681">
        <f t="shared" si="1"/>
        <v>955959</v>
      </c>
      <c r="G33" s="1681">
        <f t="shared" si="1"/>
        <v>100190</v>
      </c>
      <c r="H33" s="1681">
        <f t="shared" si="1"/>
        <v>3388934</v>
      </c>
      <c r="I33" s="1681">
        <f t="shared" si="1"/>
        <v>0</v>
      </c>
      <c r="J33" s="1681">
        <f t="shared" si="1"/>
        <v>0</v>
      </c>
      <c r="K33" s="1681">
        <f t="shared" si="1"/>
        <v>42244822</v>
      </c>
      <c r="L33" s="1681">
        <f t="shared" si="1"/>
        <v>42656983</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1248055</v>
      </c>
      <c r="D36" s="466">
        <v>343821</v>
      </c>
      <c r="E36" s="466">
        <v>11894</v>
      </c>
      <c r="F36" s="466">
        <v>4840</v>
      </c>
      <c r="G36" s="466">
        <v>0</v>
      </c>
      <c r="H36" s="466">
        <v>895</v>
      </c>
      <c r="I36" s="466">
        <v>0</v>
      </c>
      <c r="J36" s="466">
        <v>0</v>
      </c>
      <c r="K36" s="1682">
        <f t="shared" ref="K36:K41" si="2">SUM(C36:J36)</f>
        <v>1609505</v>
      </c>
      <c r="L36" s="466">
        <v>1599801</v>
      </c>
    </row>
    <row r="37" spans="1:14" x14ac:dyDescent="0.2">
      <c r="A37" s="1515" t="s">
        <v>1151</v>
      </c>
      <c r="B37" s="606">
        <v>2120</v>
      </c>
      <c r="C37" s="466">
        <v>3151412</v>
      </c>
      <c r="D37" s="466">
        <v>429482</v>
      </c>
      <c r="E37" s="466">
        <v>160750</v>
      </c>
      <c r="F37" s="466">
        <v>38525</v>
      </c>
      <c r="G37" s="466">
        <v>0</v>
      </c>
      <c r="H37" s="466">
        <v>1763</v>
      </c>
      <c r="I37" s="466">
        <v>0</v>
      </c>
      <c r="J37" s="466">
        <v>0</v>
      </c>
      <c r="K37" s="1682">
        <f t="shared" si="2"/>
        <v>3781932</v>
      </c>
      <c r="L37" s="466">
        <v>3889353</v>
      </c>
    </row>
    <row r="38" spans="1:14" x14ac:dyDescent="0.2">
      <c r="A38" s="1515" t="s">
        <v>207</v>
      </c>
      <c r="B38" s="606">
        <v>2130</v>
      </c>
      <c r="C38" s="466">
        <v>177545</v>
      </c>
      <c r="D38" s="466">
        <v>60102</v>
      </c>
      <c r="E38" s="466">
        <v>33898</v>
      </c>
      <c r="F38" s="466">
        <v>5748</v>
      </c>
      <c r="G38" s="466">
        <v>0</v>
      </c>
      <c r="H38" s="466">
        <v>0</v>
      </c>
      <c r="I38" s="466">
        <v>0</v>
      </c>
      <c r="J38" s="466">
        <v>0</v>
      </c>
      <c r="K38" s="1682">
        <f t="shared" si="2"/>
        <v>277293</v>
      </c>
      <c r="L38" s="466">
        <v>319122</v>
      </c>
    </row>
    <row r="39" spans="1:14" x14ac:dyDescent="0.2">
      <c r="A39" s="1515" t="s">
        <v>208</v>
      </c>
      <c r="B39" s="606">
        <v>2140</v>
      </c>
      <c r="C39" s="466">
        <v>0</v>
      </c>
      <c r="D39" s="466">
        <v>0</v>
      </c>
      <c r="E39" s="466">
        <v>0</v>
      </c>
      <c r="F39" s="466">
        <v>0</v>
      </c>
      <c r="G39" s="466">
        <v>0</v>
      </c>
      <c r="H39" s="466">
        <v>0</v>
      </c>
      <c r="I39" s="466">
        <v>0</v>
      </c>
      <c r="J39" s="466">
        <v>0</v>
      </c>
      <c r="K39" s="1682">
        <f t="shared" si="2"/>
        <v>0</v>
      </c>
      <c r="L39" s="466">
        <v>0</v>
      </c>
    </row>
    <row r="40" spans="1:14" x14ac:dyDescent="0.2">
      <c r="A40" s="1515" t="s">
        <v>209</v>
      </c>
      <c r="B40" s="606">
        <v>2150</v>
      </c>
      <c r="C40" s="466">
        <v>0</v>
      </c>
      <c r="D40" s="466">
        <v>0</v>
      </c>
      <c r="E40" s="466">
        <v>0</v>
      </c>
      <c r="F40" s="466">
        <v>0</v>
      </c>
      <c r="G40" s="466">
        <v>0</v>
      </c>
      <c r="H40" s="466">
        <v>0</v>
      </c>
      <c r="I40" s="466">
        <v>0</v>
      </c>
      <c r="J40" s="466">
        <v>0</v>
      </c>
      <c r="K40" s="1682">
        <f t="shared" si="2"/>
        <v>0</v>
      </c>
      <c r="L40" s="466">
        <v>0</v>
      </c>
    </row>
    <row r="41" spans="1:14" x14ac:dyDescent="0.2">
      <c r="A41" s="1515" t="s">
        <v>1768</v>
      </c>
      <c r="B41" s="606">
        <v>2190</v>
      </c>
      <c r="C41" s="466">
        <v>143134</v>
      </c>
      <c r="D41" s="466">
        <v>489</v>
      </c>
      <c r="E41" s="466">
        <v>21638</v>
      </c>
      <c r="F41" s="466">
        <v>33298</v>
      </c>
      <c r="G41" s="466">
        <v>0</v>
      </c>
      <c r="H41" s="466">
        <v>0</v>
      </c>
      <c r="I41" s="466">
        <v>0</v>
      </c>
      <c r="J41" s="466">
        <v>0</v>
      </c>
      <c r="K41" s="1682">
        <f t="shared" si="2"/>
        <v>198559</v>
      </c>
      <c r="L41" s="466">
        <v>211001</v>
      </c>
    </row>
    <row r="42" spans="1:14" ht="12.75" customHeight="1" thickBot="1" x14ac:dyDescent="0.25">
      <c r="A42" s="1679" t="s">
        <v>581</v>
      </c>
      <c r="B42" s="1680" t="s">
        <v>740</v>
      </c>
      <c r="C42" s="1681">
        <f>SUM(C36:C41)</f>
        <v>4720146</v>
      </c>
      <c r="D42" s="1681">
        <f t="shared" ref="D42:L42" si="3">SUM(D36:D41)</f>
        <v>833894</v>
      </c>
      <c r="E42" s="1681">
        <f t="shared" si="3"/>
        <v>228180</v>
      </c>
      <c r="F42" s="1681">
        <f t="shared" si="3"/>
        <v>82411</v>
      </c>
      <c r="G42" s="1681">
        <f t="shared" si="3"/>
        <v>0</v>
      </c>
      <c r="H42" s="1681">
        <f t="shared" si="3"/>
        <v>2658</v>
      </c>
      <c r="I42" s="1681">
        <f t="shared" si="3"/>
        <v>0</v>
      </c>
      <c r="J42" s="1681">
        <f t="shared" si="3"/>
        <v>0</v>
      </c>
      <c r="K42" s="1681">
        <f t="shared" si="3"/>
        <v>5867289</v>
      </c>
      <c r="L42" s="1681">
        <f t="shared" si="3"/>
        <v>6019277</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311245</v>
      </c>
      <c r="D44" s="466">
        <v>60385</v>
      </c>
      <c r="E44" s="466">
        <v>99962</v>
      </c>
      <c r="F44" s="466">
        <v>26943</v>
      </c>
      <c r="G44" s="466">
        <v>41942</v>
      </c>
      <c r="H44" s="466">
        <v>1526</v>
      </c>
      <c r="I44" s="466">
        <v>0</v>
      </c>
      <c r="J44" s="466">
        <v>0</v>
      </c>
      <c r="K44" s="1683">
        <f>SUM(C44:J44)</f>
        <v>542003</v>
      </c>
      <c r="L44" s="466">
        <v>575879</v>
      </c>
    </row>
    <row r="45" spans="1:14" x14ac:dyDescent="0.2">
      <c r="A45" s="1515" t="s">
        <v>869</v>
      </c>
      <c r="B45" s="606">
        <v>2220</v>
      </c>
      <c r="C45" s="466">
        <v>1587627</v>
      </c>
      <c r="D45" s="466">
        <v>271549</v>
      </c>
      <c r="E45" s="466">
        <v>73421</v>
      </c>
      <c r="F45" s="466">
        <v>193940</v>
      </c>
      <c r="G45" s="466">
        <v>649</v>
      </c>
      <c r="H45" s="466">
        <v>96</v>
      </c>
      <c r="I45" s="466">
        <v>0</v>
      </c>
      <c r="J45" s="466">
        <v>0</v>
      </c>
      <c r="K45" s="1683">
        <f>SUM(C45:J45)</f>
        <v>2127282</v>
      </c>
      <c r="L45" s="466">
        <v>2395125</v>
      </c>
    </row>
    <row r="46" spans="1:14" x14ac:dyDescent="0.2">
      <c r="A46" s="1515" t="s">
        <v>870</v>
      </c>
      <c r="B46" s="606">
        <v>2230</v>
      </c>
      <c r="C46" s="466">
        <v>0</v>
      </c>
      <c r="D46" s="466">
        <v>0</v>
      </c>
      <c r="E46" s="466">
        <v>0</v>
      </c>
      <c r="F46" s="466">
        <v>0</v>
      </c>
      <c r="G46" s="466">
        <v>0</v>
      </c>
      <c r="H46" s="466">
        <v>0</v>
      </c>
      <c r="I46" s="466">
        <v>0</v>
      </c>
      <c r="J46" s="466">
        <v>0</v>
      </c>
      <c r="K46" s="1683">
        <f>SUM(C46:J46)</f>
        <v>0</v>
      </c>
      <c r="L46" s="466">
        <v>0</v>
      </c>
    </row>
    <row r="47" spans="1:14" ht="12.75" customHeight="1" thickBot="1" x14ac:dyDescent="0.25">
      <c r="A47" s="1679" t="s">
        <v>582</v>
      </c>
      <c r="B47" s="1680" t="s">
        <v>32</v>
      </c>
      <c r="C47" s="1681">
        <f>SUM(C44:C46)</f>
        <v>1898872</v>
      </c>
      <c r="D47" s="1681">
        <f t="shared" ref="D47:K47" si="4">SUM(D44:D46)</f>
        <v>331934</v>
      </c>
      <c r="E47" s="1681">
        <f t="shared" si="4"/>
        <v>173383</v>
      </c>
      <c r="F47" s="1681">
        <f t="shared" si="4"/>
        <v>220883</v>
      </c>
      <c r="G47" s="1681">
        <f t="shared" si="4"/>
        <v>42591</v>
      </c>
      <c r="H47" s="1681">
        <f t="shared" si="4"/>
        <v>1622</v>
      </c>
      <c r="I47" s="1681">
        <f t="shared" si="4"/>
        <v>0</v>
      </c>
      <c r="J47" s="1681">
        <f t="shared" si="4"/>
        <v>0</v>
      </c>
      <c r="K47" s="1681">
        <f t="shared" si="4"/>
        <v>2669285</v>
      </c>
      <c r="L47" s="1681">
        <f>SUM(L44:L46)</f>
        <v>2971004</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0</v>
      </c>
      <c r="E49" s="466">
        <v>501913</v>
      </c>
      <c r="F49" s="466">
        <v>11229</v>
      </c>
      <c r="G49" s="466">
        <v>0</v>
      </c>
      <c r="H49" s="466">
        <v>17053</v>
      </c>
      <c r="I49" s="466">
        <v>0</v>
      </c>
      <c r="J49" s="466">
        <v>0</v>
      </c>
      <c r="K49" s="1683">
        <f>SUM(C49:J49)</f>
        <v>530195</v>
      </c>
      <c r="L49" s="466">
        <v>644700</v>
      </c>
    </row>
    <row r="50" spans="1:14" x14ac:dyDescent="0.2">
      <c r="A50" s="1515" t="s">
        <v>872</v>
      </c>
      <c r="B50" s="606">
        <v>2320</v>
      </c>
      <c r="C50" s="466">
        <v>360115</v>
      </c>
      <c r="D50" s="466">
        <v>59524</v>
      </c>
      <c r="E50" s="466">
        <v>4086</v>
      </c>
      <c r="F50" s="466">
        <v>3029</v>
      </c>
      <c r="G50" s="466">
        <v>0</v>
      </c>
      <c r="H50" s="466">
        <v>2951</v>
      </c>
      <c r="I50" s="466">
        <v>0</v>
      </c>
      <c r="J50" s="466">
        <v>0</v>
      </c>
      <c r="K50" s="1683">
        <f>SUM(C50:J50)</f>
        <v>429705</v>
      </c>
      <c r="L50" s="466">
        <v>453657</v>
      </c>
    </row>
    <row r="51" spans="1:14" x14ac:dyDescent="0.2">
      <c r="A51" s="1515" t="s">
        <v>44</v>
      </c>
      <c r="B51" s="606">
        <v>2330</v>
      </c>
      <c r="C51" s="466">
        <v>0</v>
      </c>
      <c r="D51" s="466">
        <v>0</v>
      </c>
      <c r="E51" s="466">
        <v>0</v>
      </c>
      <c r="F51" s="466">
        <v>0</v>
      </c>
      <c r="G51" s="466">
        <v>0</v>
      </c>
      <c r="H51" s="466">
        <v>0</v>
      </c>
      <c r="I51" s="466">
        <v>0</v>
      </c>
      <c r="J51" s="466">
        <v>0</v>
      </c>
      <c r="K51" s="1683">
        <f>SUM(C51:J51)</f>
        <v>0</v>
      </c>
      <c r="L51" s="466">
        <v>0</v>
      </c>
    </row>
    <row r="52" spans="1:14" ht="22.5" x14ac:dyDescent="0.2">
      <c r="A52" s="1516" t="s">
        <v>316</v>
      </c>
      <c r="B52" s="619" t="s">
        <v>384</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741</v>
      </c>
      <c r="B53" s="1680" t="s">
        <v>33</v>
      </c>
      <c r="C53" s="1681">
        <f>SUM(C49:C52)</f>
        <v>360115</v>
      </c>
      <c r="D53" s="1681">
        <f t="shared" ref="D53:L53" si="5">SUM(D49:D52)</f>
        <v>59524</v>
      </c>
      <c r="E53" s="1681">
        <f t="shared" si="5"/>
        <v>505999</v>
      </c>
      <c r="F53" s="1681">
        <f t="shared" si="5"/>
        <v>14258</v>
      </c>
      <c r="G53" s="1681">
        <f t="shared" si="5"/>
        <v>0</v>
      </c>
      <c r="H53" s="1681">
        <f t="shared" si="5"/>
        <v>20004</v>
      </c>
      <c r="I53" s="1681">
        <f t="shared" si="5"/>
        <v>0</v>
      </c>
      <c r="J53" s="1681">
        <f t="shared" si="5"/>
        <v>0</v>
      </c>
      <c r="K53" s="1681">
        <f t="shared" si="5"/>
        <v>959900</v>
      </c>
      <c r="L53" s="1681">
        <f t="shared" si="5"/>
        <v>1098357</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2981485</v>
      </c>
      <c r="D55" s="466">
        <v>499983</v>
      </c>
      <c r="E55" s="466">
        <v>56548</v>
      </c>
      <c r="F55" s="466">
        <v>18592</v>
      </c>
      <c r="G55" s="466">
        <v>0</v>
      </c>
      <c r="H55" s="466">
        <v>570</v>
      </c>
      <c r="I55" s="466">
        <v>0</v>
      </c>
      <c r="J55" s="466">
        <v>0</v>
      </c>
      <c r="K55" s="1683">
        <f>SUM(C55:J55)</f>
        <v>3557178</v>
      </c>
      <c r="L55" s="466">
        <v>3603290</v>
      </c>
    </row>
    <row r="56" spans="1:14" ht="12.75" customHeight="1" x14ac:dyDescent="0.2">
      <c r="A56" s="1519" t="s">
        <v>394</v>
      </c>
      <c r="B56" s="620">
        <v>2490</v>
      </c>
      <c r="C56" s="466">
        <v>0</v>
      </c>
      <c r="D56" s="466">
        <v>0</v>
      </c>
      <c r="E56" s="466">
        <v>47501</v>
      </c>
      <c r="F56" s="466">
        <v>295</v>
      </c>
      <c r="G56" s="466">
        <v>0</v>
      </c>
      <c r="H56" s="466">
        <v>0</v>
      </c>
      <c r="I56" s="466">
        <v>0</v>
      </c>
      <c r="J56" s="466">
        <v>0</v>
      </c>
      <c r="K56" s="1683">
        <f>SUM(C56:J56)</f>
        <v>47796</v>
      </c>
      <c r="L56" s="466">
        <v>52000</v>
      </c>
    </row>
    <row r="57" spans="1:14" s="343" customFormat="1" ht="12.75" customHeight="1" thickBot="1" x14ac:dyDescent="0.25">
      <c r="A57" s="1679" t="s">
        <v>281</v>
      </c>
      <c r="B57" s="1684" t="s">
        <v>34</v>
      </c>
      <c r="C57" s="1685">
        <f>SUM(C55:C56)</f>
        <v>2981485</v>
      </c>
      <c r="D57" s="1685">
        <f t="shared" ref="D57:K57" si="6">SUM(D55:D56)</f>
        <v>499983</v>
      </c>
      <c r="E57" s="1685">
        <f t="shared" si="6"/>
        <v>104049</v>
      </c>
      <c r="F57" s="1685">
        <f t="shared" si="6"/>
        <v>18887</v>
      </c>
      <c r="G57" s="1685">
        <f t="shared" si="6"/>
        <v>0</v>
      </c>
      <c r="H57" s="1685">
        <f t="shared" si="6"/>
        <v>570</v>
      </c>
      <c r="I57" s="1685">
        <f t="shared" si="6"/>
        <v>0</v>
      </c>
      <c r="J57" s="1685">
        <f t="shared" si="6"/>
        <v>0</v>
      </c>
      <c r="K57" s="1685">
        <f t="shared" si="6"/>
        <v>3604974</v>
      </c>
      <c r="L57" s="1681">
        <f>SUM(L55:L56)</f>
        <v>3655290</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171239</v>
      </c>
      <c r="D59" s="466">
        <v>42506</v>
      </c>
      <c r="E59" s="466">
        <v>220</v>
      </c>
      <c r="F59" s="466">
        <v>0</v>
      </c>
      <c r="G59" s="466">
        <v>0</v>
      </c>
      <c r="H59" s="466">
        <v>340</v>
      </c>
      <c r="I59" s="466">
        <v>0</v>
      </c>
      <c r="J59" s="466">
        <v>0</v>
      </c>
      <c r="K59" s="1683">
        <f t="shared" ref="K59:K64" si="7">SUM(C59:J59)</f>
        <v>214305</v>
      </c>
      <c r="L59" s="466">
        <v>214478</v>
      </c>
      <c r="M59" s="601"/>
      <c r="N59" s="601"/>
    </row>
    <row r="60" spans="1:14" s="343" customFormat="1" x14ac:dyDescent="0.2">
      <c r="A60" s="1515" t="s">
        <v>483</v>
      </c>
      <c r="B60" s="606">
        <v>2520</v>
      </c>
      <c r="C60" s="466">
        <v>356543</v>
      </c>
      <c r="D60" s="466">
        <v>101179</v>
      </c>
      <c r="E60" s="466">
        <v>6374</v>
      </c>
      <c r="F60" s="466">
        <v>4856</v>
      </c>
      <c r="G60" s="466">
        <v>0</v>
      </c>
      <c r="H60" s="466">
        <v>660</v>
      </c>
      <c r="I60" s="466">
        <v>0</v>
      </c>
      <c r="J60" s="466">
        <v>0</v>
      </c>
      <c r="K60" s="1683">
        <f t="shared" si="7"/>
        <v>469612</v>
      </c>
      <c r="L60" s="466">
        <v>470658</v>
      </c>
      <c r="M60" s="601"/>
      <c r="N60" s="601"/>
    </row>
    <row r="61" spans="1:14" s="343" customFormat="1" x14ac:dyDescent="0.2">
      <c r="A61" s="1515" t="s">
        <v>206</v>
      </c>
      <c r="B61" s="606">
        <v>2540</v>
      </c>
      <c r="C61" s="466">
        <v>0</v>
      </c>
      <c r="D61" s="466">
        <v>0</v>
      </c>
      <c r="E61" s="466">
        <v>73933</v>
      </c>
      <c r="F61" s="466">
        <v>1013</v>
      </c>
      <c r="G61" s="466">
        <v>0</v>
      </c>
      <c r="H61" s="466">
        <v>0</v>
      </c>
      <c r="I61" s="466">
        <v>0</v>
      </c>
      <c r="J61" s="466">
        <v>0</v>
      </c>
      <c r="K61" s="1683">
        <f t="shared" si="7"/>
        <v>74946</v>
      </c>
      <c r="L61" s="466">
        <v>86470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0</v>
      </c>
      <c r="D63" s="466">
        <v>0</v>
      </c>
      <c r="E63" s="466">
        <v>1064449</v>
      </c>
      <c r="F63" s="466">
        <v>4176</v>
      </c>
      <c r="G63" s="466">
        <v>5594</v>
      </c>
      <c r="H63" s="466">
        <v>576</v>
      </c>
      <c r="I63" s="466">
        <v>0</v>
      </c>
      <c r="J63" s="466">
        <v>0</v>
      </c>
      <c r="K63" s="1683">
        <f t="shared" si="7"/>
        <v>1074795</v>
      </c>
      <c r="L63" s="466">
        <v>1088531</v>
      </c>
    </row>
    <row r="64" spans="1:14" s="601" customFormat="1" x14ac:dyDescent="0.2">
      <c r="A64" s="1520" t="s">
        <v>103</v>
      </c>
      <c r="B64" s="622">
        <v>2570</v>
      </c>
      <c r="C64" s="466">
        <v>171773</v>
      </c>
      <c r="D64" s="466">
        <v>36937</v>
      </c>
      <c r="E64" s="466">
        <v>26706</v>
      </c>
      <c r="F64" s="466">
        <v>408472</v>
      </c>
      <c r="G64" s="466">
        <v>106292</v>
      </c>
      <c r="H64" s="466">
        <v>53965</v>
      </c>
      <c r="I64" s="466">
        <v>0</v>
      </c>
      <c r="J64" s="466">
        <v>0</v>
      </c>
      <c r="K64" s="1683">
        <f t="shared" si="7"/>
        <v>804145</v>
      </c>
      <c r="L64" s="466">
        <v>762499</v>
      </c>
    </row>
    <row r="65" spans="1:14" s="343" customFormat="1" ht="12.75" customHeight="1" thickBot="1" x14ac:dyDescent="0.25">
      <c r="A65" s="1679" t="s">
        <v>743</v>
      </c>
      <c r="B65" s="1680" t="s">
        <v>35</v>
      </c>
      <c r="C65" s="1681">
        <f>SUM(C59:C64)</f>
        <v>699555</v>
      </c>
      <c r="D65" s="1681">
        <f t="shared" ref="D65:L65" si="8">SUM(D59:D64)</f>
        <v>180622</v>
      </c>
      <c r="E65" s="1681">
        <f t="shared" si="8"/>
        <v>1171682</v>
      </c>
      <c r="F65" s="1681">
        <f t="shared" si="8"/>
        <v>418517</v>
      </c>
      <c r="G65" s="1681">
        <f t="shared" si="8"/>
        <v>111886</v>
      </c>
      <c r="H65" s="1681">
        <f t="shared" si="8"/>
        <v>55541</v>
      </c>
      <c r="I65" s="1681">
        <f t="shared" si="8"/>
        <v>0</v>
      </c>
      <c r="J65" s="1681">
        <f t="shared" si="8"/>
        <v>0</v>
      </c>
      <c r="K65" s="1681">
        <f t="shared" si="8"/>
        <v>2637803</v>
      </c>
      <c r="L65" s="1681">
        <f t="shared" si="8"/>
        <v>2622636</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147656</v>
      </c>
      <c r="D69" s="466">
        <v>12450</v>
      </c>
      <c r="E69" s="466">
        <v>33909</v>
      </c>
      <c r="F69" s="466">
        <v>2426</v>
      </c>
      <c r="G69" s="466">
        <v>0</v>
      </c>
      <c r="H69" s="466">
        <v>275</v>
      </c>
      <c r="I69" s="466">
        <v>0</v>
      </c>
      <c r="J69" s="466">
        <v>0</v>
      </c>
      <c r="K69" s="1683">
        <f>SUM(C69:J69)</f>
        <v>196716</v>
      </c>
      <c r="L69" s="466">
        <v>233299</v>
      </c>
      <c r="M69" s="601"/>
      <c r="N69" s="601"/>
    </row>
    <row r="70" spans="1:14" s="343" customFormat="1" x14ac:dyDescent="0.2">
      <c r="A70" s="1515" t="s">
        <v>423</v>
      </c>
      <c r="B70" s="606">
        <v>2640</v>
      </c>
      <c r="C70" s="466">
        <v>327529</v>
      </c>
      <c r="D70" s="466">
        <v>71707</v>
      </c>
      <c r="E70" s="466">
        <v>25615</v>
      </c>
      <c r="F70" s="466">
        <v>13699</v>
      </c>
      <c r="G70" s="466">
        <v>0</v>
      </c>
      <c r="H70" s="466">
        <v>1408</v>
      </c>
      <c r="I70" s="466">
        <v>0</v>
      </c>
      <c r="J70" s="466">
        <v>0</v>
      </c>
      <c r="K70" s="1683">
        <f>SUM(C70:J70)</f>
        <v>439958</v>
      </c>
      <c r="L70" s="466">
        <v>422235</v>
      </c>
      <c r="M70" s="601"/>
      <c r="N70" s="601"/>
    </row>
    <row r="71" spans="1:14" s="343" customFormat="1" x14ac:dyDescent="0.2">
      <c r="A71" s="1515" t="s">
        <v>424</v>
      </c>
      <c r="B71" s="606">
        <v>2660</v>
      </c>
      <c r="C71" s="466">
        <v>201098</v>
      </c>
      <c r="D71" s="466">
        <v>28371</v>
      </c>
      <c r="E71" s="466">
        <v>9590</v>
      </c>
      <c r="F71" s="466">
        <v>101034</v>
      </c>
      <c r="G71" s="466">
        <v>0</v>
      </c>
      <c r="H71" s="466">
        <v>300</v>
      </c>
      <c r="I71" s="466">
        <v>0</v>
      </c>
      <c r="J71" s="466">
        <v>0</v>
      </c>
      <c r="K71" s="1683">
        <f>SUM(C71:J71)</f>
        <v>340393</v>
      </c>
      <c r="L71" s="466">
        <v>367109</v>
      </c>
      <c r="M71" s="601"/>
      <c r="N71" s="601"/>
    </row>
    <row r="72" spans="1:14" s="343" customFormat="1" ht="12.75" customHeight="1" thickBot="1" x14ac:dyDescent="0.25">
      <c r="A72" s="1679" t="s">
        <v>37</v>
      </c>
      <c r="B72" s="1686" t="s">
        <v>36</v>
      </c>
      <c r="C72" s="1681">
        <f>SUM(C67:C71)</f>
        <v>676283</v>
      </c>
      <c r="D72" s="1681">
        <f t="shared" ref="D72:K72" si="9">SUM(D67:D71)</f>
        <v>112528</v>
      </c>
      <c r="E72" s="1681">
        <f t="shared" si="9"/>
        <v>69114</v>
      </c>
      <c r="F72" s="1681">
        <f t="shared" si="9"/>
        <v>117159</v>
      </c>
      <c r="G72" s="1681">
        <f t="shared" si="9"/>
        <v>0</v>
      </c>
      <c r="H72" s="1681">
        <f t="shared" si="9"/>
        <v>1983</v>
      </c>
      <c r="I72" s="1681">
        <f t="shared" si="9"/>
        <v>0</v>
      </c>
      <c r="J72" s="1681">
        <f t="shared" si="9"/>
        <v>0</v>
      </c>
      <c r="K72" s="1681">
        <f t="shared" si="9"/>
        <v>977067</v>
      </c>
      <c r="L72" s="1681">
        <f>SUM(L67:L71)</f>
        <v>1022643</v>
      </c>
      <c r="M72" s="601"/>
      <c r="N72" s="601"/>
    </row>
    <row r="73" spans="1:14" s="343" customFormat="1" ht="14.25" thickTop="1" thickBot="1" x14ac:dyDescent="0.25">
      <c r="A73" s="1521" t="s">
        <v>1037</v>
      </c>
      <c r="B73" s="624" t="s">
        <v>595</v>
      </c>
      <c r="C73" s="567">
        <v>0</v>
      </c>
      <c r="D73" s="567">
        <v>0</v>
      </c>
      <c r="E73" s="567">
        <v>667419</v>
      </c>
      <c r="F73" s="567">
        <v>0</v>
      </c>
      <c r="G73" s="567">
        <v>0</v>
      </c>
      <c r="H73" s="567">
        <v>0</v>
      </c>
      <c r="I73" s="567">
        <v>0</v>
      </c>
      <c r="J73" s="567">
        <v>0</v>
      </c>
      <c r="K73" s="1681">
        <f>SUM(C73:J73)</f>
        <v>667419</v>
      </c>
      <c r="L73" s="567">
        <v>681827</v>
      </c>
      <c r="M73" s="601"/>
      <c r="N73" s="601"/>
    </row>
    <row r="74" spans="1:14" ht="12.75" customHeight="1" thickTop="1" thickBot="1" x14ac:dyDescent="0.25">
      <c r="A74" s="1679" t="s">
        <v>865</v>
      </c>
      <c r="B74" s="1687">
        <v>2000</v>
      </c>
      <c r="C74" s="1688">
        <f>SUM(C42,C47,C53,C57,C65,C72,C73)</f>
        <v>11336456</v>
      </c>
      <c r="D74" s="1688">
        <f t="shared" ref="D74:K74" si="10">SUM(D42,D47,D53,D57,D65,D72,D73)</f>
        <v>2018485</v>
      </c>
      <c r="E74" s="1688">
        <f t="shared" si="10"/>
        <v>2919826</v>
      </c>
      <c r="F74" s="1688">
        <f t="shared" si="10"/>
        <v>872115</v>
      </c>
      <c r="G74" s="1688">
        <f t="shared" si="10"/>
        <v>154477</v>
      </c>
      <c r="H74" s="1688">
        <f t="shared" si="10"/>
        <v>82378</v>
      </c>
      <c r="I74" s="1688">
        <f t="shared" si="10"/>
        <v>0</v>
      </c>
      <c r="J74" s="1688">
        <f t="shared" si="10"/>
        <v>0</v>
      </c>
      <c r="K74" s="1688">
        <f t="shared" si="10"/>
        <v>17383737</v>
      </c>
      <c r="L74" s="1688">
        <f>SUM(L42,L47,L53,L57,L65,L72,L73)</f>
        <v>18071034</v>
      </c>
    </row>
    <row r="75" spans="1:14" s="259" customFormat="1" ht="15.75" customHeight="1" thickTop="1" thickBot="1" x14ac:dyDescent="0.25">
      <c r="A75" s="1621" t="s">
        <v>49</v>
      </c>
      <c r="B75" s="1622" t="s">
        <v>596</v>
      </c>
      <c r="C75" s="567">
        <v>239666</v>
      </c>
      <c r="D75" s="567">
        <v>1536</v>
      </c>
      <c r="E75" s="567">
        <v>5475</v>
      </c>
      <c r="F75" s="567">
        <v>63105</v>
      </c>
      <c r="G75" s="567">
        <v>0</v>
      </c>
      <c r="H75" s="567">
        <v>0</v>
      </c>
      <c r="I75" s="567">
        <v>0</v>
      </c>
      <c r="J75" s="567">
        <v>0</v>
      </c>
      <c r="K75" s="1681">
        <f>SUM(C75:J75)</f>
        <v>309782</v>
      </c>
      <c r="L75" s="567">
        <v>332884</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757208</v>
      </c>
      <c r="F79" s="608"/>
      <c r="G79" s="608"/>
      <c r="H79" s="466">
        <v>0</v>
      </c>
      <c r="I79" s="474"/>
      <c r="J79" s="474"/>
      <c r="K79" s="1682">
        <f t="shared" si="11"/>
        <v>757208</v>
      </c>
      <c r="L79" s="466">
        <v>625000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757208</v>
      </c>
      <c r="F84" s="608"/>
      <c r="G84" s="608"/>
      <c r="H84" s="1681">
        <f>SUM(H78:H83)</f>
        <v>0</v>
      </c>
      <c r="I84" s="474"/>
      <c r="J84" s="474"/>
      <c r="K84" s="1681">
        <f>SUM(K78:K83)</f>
        <v>757208</v>
      </c>
      <c r="L84" s="1681">
        <f>SUM(L78:L83)</f>
        <v>625000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0</v>
      </c>
      <c r="I86" s="474"/>
      <c r="J86" s="474"/>
      <c r="K86" s="1688">
        <f t="shared" ref="K86:K98" si="12">H86</f>
        <v>0</v>
      </c>
      <c r="L86" s="526">
        <v>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0</v>
      </c>
      <c r="I92" s="474"/>
      <c r="J92" s="474"/>
      <c r="K92" s="1688">
        <f t="shared" si="12"/>
        <v>0</v>
      </c>
      <c r="L92" s="1681">
        <f>SUM(L85:L91)</f>
        <v>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757208</v>
      </c>
      <c r="F102" s="608"/>
      <c r="G102" s="608"/>
      <c r="H102" s="1688">
        <f>SUM(H84,H92,H100,H101)</f>
        <v>0</v>
      </c>
      <c r="I102" s="474"/>
      <c r="J102" s="474"/>
      <c r="K102" s="1688">
        <f>SUM(K84,K92,K100,K101)</f>
        <v>757208</v>
      </c>
      <c r="L102" s="1688">
        <f>SUM(L84,L92,L100,L101)</f>
        <v>625000</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44025823</v>
      </c>
      <c r="D114" s="1681">
        <f t="shared" ref="D114:K114" si="13">SUM(D33,D74,D75,D102,D112,D113)</f>
        <v>6664955</v>
      </c>
      <c r="E114" s="1681">
        <f t="shared" si="13"/>
        <v>4387613</v>
      </c>
      <c r="F114" s="1681">
        <f t="shared" si="13"/>
        <v>1891179</v>
      </c>
      <c r="G114" s="1681">
        <f t="shared" si="13"/>
        <v>254667</v>
      </c>
      <c r="H114" s="1681">
        <f>SUM(H33,H74,H75,H102,H112,H113)</f>
        <v>3471312</v>
      </c>
      <c r="I114" s="1681">
        <f t="shared" si="13"/>
        <v>0</v>
      </c>
      <c r="J114" s="1681">
        <f t="shared" si="13"/>
        <v>0</v>
      </c>
      <c r="K114" s="1681">
        <f t="shared" si="13"/>
        <v>60695549</v>
      </c>
      <c r="L114" s="1681">
        <f>SUM(L33,L74,L75,L102,L112,L113)</f>
        <v>61685901</v>
      </c>
    </row>
    <row r="115" spans="1:14" ht="13.5" thickTop="1" x14ac:dyDescent="0.2">
      <c r="A115" s="2287" t="s">
        <v>1053</v>
      </c>
      <c r="B115" s="2288"/>
      <c r="C115" s="610"/>
      <c r="D115" s="610"/>
      <c r="E115" s="610"/>
      <c r="F115" s="610"/>
      <c r="G115" s="610"/>
      <c r="H115" s="610"/>
      <c r="I115" s="610"/>
      <c r="J115" s="610"/>
      <c r="K115" s="1695">
        <f>'Revenues 9-14'!C275-'Expenditures 15-22'!K114</f>
        <v>192939</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265" t="s">
        <v>314</v>
      </c>
      <c r="B117" s="2266"/>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0</v>
      </c>
      <c r="G123" s="466">
        <v>0</v>
      </c>
      <c r="H123" s="466">
        <v>0</v>
      </c>
      <c r="I123" s="466">
        <v>0</v>
      </c>
      <c r="J123" s="466">
        <v>0</v>
      </c>
      <c r="K123" s="1681">
        <f>SUM(C123:J123)</f>
        <v>0</v>
      </c>
      <c r="L123" s="466">
        <v>0</v>
      </c>
    </row>
    <row r="124" spans="1:14" ht="14.25" thickTop="1" thickBot="1" x14ac:dyDescent="0.25">
      <c r="A124" s="1515" t="s">
        <v>206</v>
      </c>
      <c r="B124" s="606">
        <v>2540</v>
      </c>
      <c r="C124" s="466">
        <v>3677393</v>
      </c>
      <c r="D124" s="466">
        <v>640176</v>
      </c>
      <c r="E124" s="466">
        <v>1111038</v>
      </c>
      <c r="F124" s="466">
        <v>1732630</v>
      </c>
      <c r="G124" s="466">
        <v>646165</v>
      </c>
      <c r="H124" s="466">
        <v>895</v>
      </c>
      <c r="I124" s="466">
        <v>0</v>
      </c>
      <c r="J124" s="466">
        <v>0</v>
      </c>
      <c r="K124" s="1681">
        <f>SUM(C124:J124)</f>
        <v>7808297</v>
      </c>
      <c r="L124" s="466">
        <v>8012209</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3677393</v>
      </c>
      <c r="D127" s="1681">
        <f t="shared" ref="D127:L127" si="14">SUM(D122:D126)</f>
        <v>640176</v>
      </c>
      <c r="E127" s="1681">
        <f t="shared" si="14"/>
        <v>1111038</v>
      </c>
      <c r="F127" s="1681">
        <f t="shared" si="14"/>
        <v>1732630</v>
      </c>
      <c r="G127" s="1681">
        <f t="shared" si="14"/>
        <v>646165</v>
      </c>
      <c r="H127" s="1681">
        <f t="shared" si="14"/>
        <v>895</v>
      </c>
      <c r="I127" s="1681">
        <f t="shared" si="14"/>
        <v>0</v>
      </c>
      <c r="J127" s="1681">
        <f t="shared" si="14"/>
        <v>0</v>
      </c>
      <c r="K127" s="1681">
        <f t="shared" si="14"/>
        <v>7808297</v>
      </c>
      <c r="L127" s="1681">
        <f t="shared" si="14"/>
        <v>8012209</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3677393</v>
      </c>
      <c r="D129" s="1688">
        <f t="shared" ref="D129:L129" si="15">SUM(D120,D127,D128)</f>
        <v>640176</v>
      </c>
      <c r="E129" s="1688">
        <f t="shared" si="15"/>
        <v>1111038</v>
      </c>
      <c r="F129" s="1688">
        <f t="shared" si="15"/>
        <v>1732630</v>
      </c>
      <c r="G129" s="1688">
        <f t="shared" si="15"/>
        <v>646165</v>
      </c>
      <c r="H129" s="1688">
        <f t="shared" si="15"/>
        <v>895</v>
      </c>
      <c r="I129" s="1688">
        <f t="shared" si="15"/>
        <v>0</v>
      </c>
      <c r="J129" s="1688">
        <f t="shared" si="15"/>
        <v>0</v>
      </c>
      <c r="K129" s="1688">
        <f t="shared" si="15"/>
        <v>7808297</v>
      </c>
      <c r="L129" s="1688">
        <f t="shared" si="15"/>
        <v>8012209</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1954</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277" t="s">
        <v>641</v>
      </c>
      <c r="B151" s="2259"/>
      <c r="C151" s="1681">
        <f>SUM(C129,C130,C139,C149,C150)</f>
        <v>3677393</v>
      </c>
      <c r="D151" s="1681">
        <f t="shared" ref="D151:K151" si="16">SUM(D129,D130,D139,D149,D150)</f>
        <v>640176</v>
      </c>
      <c r="E151" s="1681">
        <f t="shared" si="16"/>
        <v>1111038</v>
      </c>
      <c r="F151" s="1681">
        <f t="shared" si="16"/>
        <v>1732630</v>
      </c>
      <c r="G151" s="1681">
        <f t="shared" si="16"/>
        <v>646165</v>
      </c>
      <c r="H151" s="1681">
        <f t="shared" si="16"/>
        <v>895</v>
      </c>
      <c r="I151" s="1681">
        <f t="shared" si="16"/>
        <v>0</v>
      </c>
      <c r="J151" s="1681">
        <f t="shared" si="16"/>
        <v>0</v>
      </c>
      <c r="K151" s="1681">
        <f t="shared" si="16"/>
        <v>7808297</v>
      </c>
      <c r="L151" s="1681">
        <f>SUM(L129,L130,L139,L149,L150)</f>
        <v>8012209</v>
      </c>
    </row>
    <row r="152" spans="1:14" ht="12.75" customHeight="1" thickTop="1" x14ac:dyDescent="0.2">
      <c r="A152" s="2280" t="s">
        <v>1240</v>
      </c>
      <c r="B152" s="2281"/>
      <c r="C152" s="610"/>
      <c r="D152" s="610"/>
      <c r="E152" s="610"/>
      <c r="F152" s="610"/>
      <c r="G152" s="610"/>
      <c r="H152" s="610"/>
      <c r="I152" s="610"/>
      <c r="J152" s="608"/>
      <c r="K152" s="1695">
        <f>'Revenues 9-14'!D275-'Expenditures 15-22'!K151</f>
        <v>768464</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265" t="s">
        <v>642</v>
      </c>
      <c r="B154" s="2267"/>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1955</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1954</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1956</v>
      </c>
      <c r="C158" s="608"/>
      <c r="D158" s="608"/>
      <c r="E158" s="608"/>
      <c r="F158" s="608"/>
      <c r="G158" s="608"/>
      <c r="H158" s="466">
        <v>0</v>
      </c>
      <c r="I158" s="608"/>
      <c r="J158" s="608"/>
      <c r="K158" s="1682">
        <f>H158</f>
        <v>0</v>
      </c>
      <c r="L158" s="466">
        <v>0</v>
      </c>
      <c r="M158" s="611"/>
      <c r="N158" s="611"/>
    </row>
    <row r="159" spans="1:14" s="612" customFormat="1" ht="12" x14ac:dyDescent="0.2">
      <c r="A159" s="1838" t="s">
        <v>1957</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1958</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508265</v>
      </c>
      <c r="I169" s="608"/>
      <c r="J169" s="608"/>
      <c r="K169" s="1682">
        <f>SUM(C169:H169)</f>
        <v>508265</v>
      </c>
      <c r="L169" s="647">
        <v>508265</v>
      </c>
    </row>
    <row r="170" spans="1:14" ht="33.75" customHeight="1" x14ac:dyDescent="0.2">
      <c r="A170" s="660" t="s">
        <v>1769</v>
      </c>
      <c r="B170" s="662" t="s">
        <v>31</v>
      </c>
      <c r="C170" s="608"/>
      <c r="D170" s="608"/>
      <c r="E170" s="608"/>
      <c r="F170" s="608"/>
      <c r="G170" s="608"/>
      <c r="H170" s="563">
        <v>1855000</v>
      </c>
      <c r="I170" s="608"/>
      <c r="J170" s="608"/>
      <c r="K170" s="1682">
        <f>SUM(C170:J170)</f>
        <v>1855000</v>
      </c>
      <c r="L170" s="563">
        <v>1855000</v>
      </c>
    </row>
    <row r="171" spans="1:14" ht="15.75" customHeight="1" x14ac:dyDescent="0.2">
      <c r="A171" s="613" t="s">
        <v>790</v>
      </c>
      <c r="B171" s="663" t="s">
        <v>86</v>
      </c>
      <c r="C171" s="608"/>
      <c r="D171" s="608"/>
      <c r="E171" s="563">
        <v>0</v>
      </c>
      <c r="F171" s="608"/>
      <c r="G171" s="608"/>
      <c r="H171" s="563">
        <v>0</v>
      </c>
      <c r="I171" s="474"/>
      <c r="J171" s="608"/>
      <c r="K171" s="1682">
        <f>SUM(C171:J171)</f>
        <v>0</v>
      </c>
      <c r="L171" s="563">
        <v>0</v>
      </c>
    </row>
    <row r="172" spans="1:14" ht="12.75" customHeight="1" thickBot="1" x14ac:dyDescent="0.25">
      <c r="A172" s="1679" t="s">
        <v>659</v>
      </c>
      <c r="B172" s="1680" t="s">
        <v>513</v>
      </c>
      <c r="C172" s="608"/>
      <c r="D172" s="608"/>
      <c r="E172" s="1688">
        <f>SUM(E168,E169,E170,E171)</f>
        <v>0</v>
      </c>
      <c r="F172" s="608"/>
      <c r="G172" s="608"/>
      <c r="H172" s="1688">
        <f>SUM(H168,H169,H170,H171)</f>
        <v>2363265</v>
      </c>
      <c r="I172" s="629"/>
      <c r="J172" s="608"/>
      <c r="K172" s="1688">
        <f>SUM(K168,K169,K170,K171)</f>
        <v>2363265</v>
      </c>
      <c r="L172" s="1688">
        <f>SUM(L168,L169,L170,L171)</f>
        <v>2363265</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2363265</v>
      </c>
      <c r="I174" s="629"/>
      <c r="J174" s="608"/>
      <c r="K174" s="1688">
        <f>SUM(K160,K172,K173)</f>
        <v>2363265</v>
      </c>
      <c r="L174" s="1688">
        <f>SUM(L160,L172,L173)</f>
        <v>2363265</v>
      </c>
    </row>
    <row r="175" spans="1:14" ht="13.5" thickTop="1" x14ac:dyDescent="0.2">
      <c r="A175" s="2287" t="s">
        <v>1053</v>
      </c>
      <c r="B175" s="2288"/>
      <c r="C175" s="608"/>
      <c r="D175" s="608"/>
      <c r="E175" s="608"/>
      <c r="F175" s="608"/>
      <c r="G175" s="608"/>
      <c r="H175" s="610"/>
      <c r="I175" s="608"/>
      <c r="J175" s="608"/>
      <c r="K175" s="1695">
        <f>'Revenues 9-14'!E275-'Expenditures 15-22'!K174</f>
        <v>28330</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13219</v>
      </c>
      <c r="D182" s="466">
        <v>0</v>
      </c>
      <c r="E182" s="466">
        <v>2692505</v>
      </c>
      <c r="F182" s="466">
        <v>0</v>
      </c>
      <c r="G182" s="466">
        <v>0</v>
      </c>
      <c r="H182" s="466">
        <v>0</v>
      </c>
      <c r="I182" s="466">
        <v>0</v>
      </c>
      <c r="J182" s="466">
        <v>0</v>
      </c>
      <c r="K182" s="1682">
        <f>SUM(C182:J182)</f>
        <v>2705724</v>
      </c>
      <c r="L182" s="466">
        <v>2740378</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13219</v>
      </c>
      <c r="D184" s="1688">
        <f t="shared" ref="D184:J184" si="17">SUM(D180,D182,D183)</f>
        <v>0</v>
      </c>
      <c r="E184" s="1688">
        <f t="shared" si="17"/>
        <v>2692505</v>
      </c>
      <c r="F184" s="1688">
        <f t="shared" si="17"/>
        <v>0</v>
      </c>
      <c r="G184" s="1688">
        <f t="shared" si="17"/>
        <v>0</v>
      </c>
      <c r="H184" s="1688">
        <f t="shared" si="17"/>
        <v>0</v>
      </c>
      <c r="I184" s="1688">
        <f t="shared" si="17"/>
        <v>0</v>
      </c>
      <c r="J184" s="1688">
        <f t="shared" si="17"/>
        <v>0</v>
      </c>
      <c r="K184" s="1688">
        <f>SUM(K180,K182,K183)</f>
        <v>2705724</v>
      </c>
      <c r="L184" s="1688">
        <f>SUM(L180, L182:L183)</f>
        <v>2740378</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13219</v>
      </c>
      <c r="D210" s="1681">
        <f>SUM(D184,D185)</f>
        <v>0</v>
      </c>
      <c r="E210" s="1681">
        <f>SUM(E184,E185,E196)</f>
        <v>2692505</v>
      </c>
      <c r="F210" s="1681">
        <f>SUM(F184,F185)</f>
        <v>0</v>
      </c>
      <c r="G210" s="1681">
        <f>SUM(G184,G185)</f>
        <v>0</v>
      </c>
      <c r="H210" s="1681">
        <f>SUM(H184,H185,H196,H208,H209)</f>
        <v>0</v>
      </c>
      <c r="I210" s="1681">
        <f>SUM(I184,I185)</f>
        <v>0</v>
      </c>
      <c r="J210" s="1681">
        <f>SUM(J184,J185)</f>
        <v>0</v>
      </c>
      <c r="K210" s="1682">
        <f>SUM(K184,K185,K196,K208,K209)</f>
        <v>2705724</v>
      </c>
      <c r="L210" s="1681">
        <f>SUM(L184,L185,L196,L208,L209)</f>
        <v>2740378</v>
      </c>
    </row>
    <row r="211" spans="1:14" ht="13.5" thickTop="1" x14ac:dyDescent="0.2">
      <c r="A211" s="2287" t="s">
        <v>1053</v>
      </c>
      <c r="B211" s="2288"/>
      <c r="C211" s="610"/>
      <c r="D211" s="610"/>
      <c r="E211" s="610"/>
      <c r="F211" s="610"/>
      <c r="G211" s="610"/>
      <c r="H211" s="610"/>
      <c r="I211" s="608"/>
      <c r="J211" s="608"/>
      <c r="K211" s="1695">
        <f>'Revenues 9-14'!F275-'Expenditures 15-22'!K210</f>
        <v>46409</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282" t="s">
        <v>1022</v>
      </c>
      <c r="B213" s="2283"/>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446083</v>
      </c>
      <c r="E215" s="608"/>
      <c r="F215" s="608"/>
      <c r="G215" s="608"/>
      <c r="H215" s="608"/>
      <c r="I215" s="608"/>
      <c r="J215" s="608"/>
      <c r="K215" s="1682">
        <f>D215</f>
        <v>446083</v>
      </c>
      <c r="L215" s="466">
        <v>450663</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389812</v>
      </c>
      <c r="E217" s="608"/>
      <c r="F217" s="608"/>
      <c r="G217" s="608"/>
      <c r="H217" s="608"/>
      <c r="I217" s="608"/>
      <c r="J217" s="608"/>
      <c r="K217" s="1682">
        <f t="shared" si="19"/>
        <v>389812</v>
      </c>
      <c r="L217" s="466">
        <v>399019</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8326</v>
      </c>
      <c r="E219" s="608"/>
      <c r="F219" s="608"/>
      <c r="G219" s="608"/>
      <c r="H219" s="608"/>
      <c r="I219" s="608"/>
      <c r="J219" s="608"/>
      <c r="K219" s="1682">
        <f t="shared" si="19"/>
        <v>8326</v>
      </c>
      <c r="L219" s="466">
        <v>13057</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5562</v>
      </c>
      <c r="E221" s="608"/>
      <c r="F221" s="608"/>
      <c r="G221" s="608"/>
      <c r="H221" s="608"/>
      <c r="I221" s="608"/>
      <c r="J221" s="608"/>
      <c r="K221" s="1682">
        <f t="shared" si="19"/>
        <v>5562</v>
      </c>
      <c r="L221" s="466">
        <v>6359</v>
      </c>
    </row>
    <row r="222" spans="1:14" x14ac:dyDescent="0.2">
      <c r="A222" s="1515" t="s">
        <v>747</v>
      </c>
      <c r="B222" s="606">
        <v>1400</v>
      </c>
      <c r="C222" s="608"/>
      <c r="D222" s="466">
        <v>0</v>
      </c>
      <c r="E222" s="608"/>
      <c r="F222" s="608"/>
      <c r="G222" s="608"/>
      <c r="H222" s="608"/>
      <c r="I222" s="608"/>
      <c r="J222" s="608"/>
      <c r="K222" s="1682">
        <f t="shared" si="19"/>
        <v>0</v>
      </c>
      <c r="L222" s="466">
        <v>2</v>
      </c>
    </row>
    <row r="223" spans="1:14" x14ac:dyDescent="0.2">
      <c r="A223" s="1515" t="s">
        <v>1020</v>
      </c>
      <c r="B223" s="606">
        <v>1500</v>
      </c>
      <c r="C223" s="608"/>
      <c r="D223" s="466">
        <v>79794</v>
      </c>
      <c r="E223" s="608"/>
      <c r="F223" s="608"/>
      <c r="G223" s="608"/>
      <c r="H223" s="608"/>
      <c r="I223" s="608"/>
      <c r="J223" s="608"/>
      <c r="K223" s="1682">
        <f t="shared" si="19"/>
        <v>79794</v>
      </c>
      <c r="L223" s="466">
        <v>82285</v>
      </c>
    </row>
    <row r="224" spans="1:14" x14ac:dyDescent="0.2">
      <c r="A224" s="1515" t="s">
        <v>1021</v>
      </c>
      <c r="B224" s="606">
        <v>1600</v>
      </c>
      <c r="C224" s="608"/>
      <c r="D224" s="466">
        <v>16690</v>
      </c>
      <c r="E224" s="608"/>
      <c r="F224" s="608"/>
      <c r="G224" s="608"/>
      <c r="H224" s="608"/>
      <c r="I224" s="608"/>
      <c r="J224" s="608"/>
      <c r="K224" s="1682">
        <f t="shared" si="19"/>
        <v>16690</v>
      </c>
      <c r="L224" s="466">
        <v>19170</v>
      </c>
    </row>
    <row r="225" spans="1:12" x14ac:dyDescent="0.2">
      <c r="A225" s="1515" t="s">
        <v>1044</v>
      </c>
      <c r="B225" s="606">
        <v>1650</v>
      </c>
      <c r="C225" s="608"/>
      <c r="D225" s="466">
        <v>0</v>
      </c>
      <c r="E225" s="608"/>
      <c r="F225" s="608"/>
      <c r="G225" s="608"/>
      <c r="H225" s="608"/>
      <c r="I225" s="608"/>
      <c r="J225" s="608"/>
      <c r="K225" s="1682">
        <f t="shared" si="19"/>
        <v>0</v>
      </c>
      <c r="L225" s="466">
        <v>0</v>
      </c>
    </row>
    <row r="226" spans="1:12" x14ac:dyDescent="0.2">
      <c r="A226" s="1515" t="s">
        <v>748</v>
      </c>
      <c r="B226" s="606" t="s">
        <v>164</v>
      </c>
      <c r="C226" s="608"/>
      <c r="D226" s="466">
        <v>16064</v>
      </c>
      <c r="E226" s="608"/>
      <c r="F226" s="608"/>
      <c r="G226" s="608"/>
      <c r="H226" s="608"/>
      <c r="I226" s="608"/>
      <c r="J226" s="608"/>
      <c r="K226" s="1682">
        <f t="shared" si="19"/>
        <v>16064</v>
      </c>
      <c r="L226" s="466">
        <v>16473</v>
      </c>
    </row>
    <row r="227" spans="1:12" x14ac:dyDescent="0.2">
      <c r="A227" s="1515" t="s">
        <v>1148</v>
      </c>
      <c r="B227" s="606">
        <v>1800</v>
      </c>
      <c r="C227" s="608"/>
      <c r="D227" s="466">
        <v>0</v>
      </c>
      <c r="E227" s="608"/>
      <c r="F227" s="608"/>
      <c r="G227" s="608"/>
      <c r="H227" s="608"/>
      <c r="I227" s="608"/>
      <c r="J227" s="608"/>
      <c r="K227" s="1682">
        <f t="shared" si="19"/>
        <v>0</v>
      </c>
      <c r="L227" s="466">
        <v>0</v>
      </c>
    </row>
    <row r="228" spans="1:12" x14ac:dyDescent="0.2">
      <c r="A228" s="1515" t="s">
        <v>1149</v>
      </c>
      <c r="B228" s="606">
        <v>1900</v>
      </c>
      <c r="C228" s="608"/>
      <c r="D228" s="466">
        <v>5037</v>
      </c>
      <c r="E228" s="608"/>
      <c r="F228" s="608"/>
      <c r="G228" s="608"/>
      <c r="H228" s="608"/>
      <c r="I228" s="608"/>
      <c r="J228" s="608"/>
      <c r="K228" s="1682">
        <f t="shared" si="19"/>
        <v>5037</v>
      </c>
      <c r="L228" s="466">
        <v>7193</v>
      </c>
    </row>
    <row r="229" spans="1:12" ht="12.75" customHeight="1" thickBot="1" x14ac:dyDescent="0.25">
      <c r="A229" s="1679" t="s">
        <v>739</v>
      </c>
      <c r="B229" s="1686" t="s">
        <v>591</v>
      </c>
      <c r="C229" s="608"/>
      <c r="D229" s="1681">
        <f>SUM(D215:D228)</f>
        <v>967368</v>
      </c>
      <c r="E229" s="608"/>
      <c r="F229" s="608"/>
      <c r="G229" s="608"/>
      <c r="H229" s="608"/>
      <c r="I229" s="608"/>
      <c r="J229" s="608"/>
      <c r="K229" s="1681">
        <f>SUM(K215:K228)</f>
        <v>967368</v>
      </c>
      <c r="L229" s="1681">
        <f>SUM(L215:L228)</f>
        <v>994221</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137199</v>
      </c>
      <c r="E232" s="608"/>
      <c r="F232" s="608"/>
      <c r="G232" s="608"/>
      <c r="H232" s="608"/>
      <c r="I232" s="608"/>
      <c r="J232" s="608"/>
      <c r="K232" s="1682">
        <f t="shared" ref="K232:K237" si="20">D232</f>
        <v>137199</v>
      </c>
      <c r="L232" s="466">
        <v>143292</v>
      </c>
    </row>
    <row r="233" spans="1:12" x14ac:dyDescent="0.2">
      <c r="A233" s="1515" t="s">
        <v>1151</v>
      </c>
      <c r="B233" s="606">
        <v>2120</v>
      </c>
      <c r="C233" s="608"/>
      <c r="D233" s="466">
        <v>94323</v>
      </c>
      <c r="E233" s="608"/>
      <c r="F233" s="608"/>
      <c r="G233" s="608"/>
      <c r="H233" s="608"/>
      <c r="I233" s="608"/>
      <c r="J233" s="608"/>
      <c r="K233" s="1682">
        <f t="shared" si="20"/>
        <v>94323</v>
      </c>
      <c r="L233" s="466">
        <v>103069</v>
      </c>
    </row>
    <row r="234" spans="1:12" x14ac:dyDescent="0.2">
      <c r="A234" s="1515" t="s">
        <v>207</v>
      </c>
      <c r="B234" s="606">
        <v>2130</v>
      </c>
      <c r="C234" s="608"/>
      <c r="D234" s="466">
        <v>10218</v>
      </c>
      <c r="E234" s="608"/>
      <c r="F234" s="608"/>
      <c r="G234" s="608"/>
      <c r="H234" s="608"/>
      <c r="I234" s="608"/>
      <c r="J234" s="608"/>
      <c r="K234" s="1682">
        <f t="shared" si="20"/>
        <v>10218</v>
      </c>
      <c r="L234" s="466">
        <v>11317</v>
      </c>
    </row>
    <row r="235" spans="1:12" x14ac:dyDescent="0.2">
      <c r="A235" s="1515" t="s">
        <v>208</v>
      </c>
      <c r="B235" s="606">
        <v>2140</v>
      </c>
      <c r="C235" s="608"/>
      <c r="D235" s="466">
        <v>0</v>
      </c>
      <c r="E235" s="608"/>
      <c r="F235" s="608"/>
      <c r="G235" s="608"/>
      <c r="H235" s="608"/>
      <c r="I235" s="608"/>
      <c r="J235" s="608"/>
      <c r="K235" s="1682">
        <f t="shared" si="20"/>
        <v>0</v>
      </c>
      <c r="L235" s="466">
        <v>0</v>
      </c>
    </row>
    <row r="236" spans="1:12" x14ac:dyDescent="0.2">
      <c r="A236" s="1515" t="s">
        <v>209</v>
      </c>
      <c r="B236" s="606">
        <v>2150</v>
      </c>
      <c r="C236" s="608"/>
      <c r="D236" s="466">
        <v>0</v>
      </c>
      <c r="E236" s="608"/>
      <c r="F236" s="608"/>
      <c r="G236" s="608"/>
      <c r="H236" s="608"/>
      <c r="I236" s="608"/>
      <c r="J236" s="608"/>
      <c r="K236" s="1682">
        <f t="shared" si="20"/>
        <v>0</v>
      </c>
      <c r="L236" s="466">
        <v>0</v>
      </c>
    </row>
    <row r="237" spans="1:12" x14ac:dyDescent="0.2">
      <c r="A237" s="1515" t="s">
        <v>167</v>
      </c>
      <c r="B237" s="606">
        <v>2190</v>
      </c>
      <c r="C237" s="608"/>
      <c r="D237" s="466">
        <v>19511</v>
      </c>
      <c r="E237" s="608"/>
      <c r="F237" s="608"/>
      <c r="G237" s="608"/>
      <c r="H237" s="608"/>
      <c r="I237" s="608"/>
      <c r="J237" s="608"/>
      <c r="K237" s="1682">
        <f t="shared" si="20"/>
        <v>19511</v>
      </c>
      <c r="L237" s="466">
        <v>21220</v>
      </c>
    </row>
    <row r="238" spans="1:12" ht="12.75" customHeight="1" thickBot="1" x14ac:dyDescent="0.25">
      <c r="A238" s="1679" t="s">
        <v>581</v>
      </c>
      <c r="B238" s="1686" t="s">
        <v>740</v>
      </c>
      <c r="C238" s="608"/>
      <c r="D238" s="1681">
        <f>SUM(D232:D237)</f>
        <v>261251</v>
      </c>
      <c r="E238" s="608"/>
      <c r="F238" s="608"/>
      <c r="G238" s="608"/>
      <c r="H238" s="608"/>
      <c r="I238" s="608"/>
      <c r="J238" s="608"/>
      <c r="K238" s="1681">
        <f>SUM(K232:K237)</f>
        <v>261251</v>
      </c>
      <c r="L238" s="1681">
        <f>SUM(L232:L237)</f>
        <v>278898</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12832</v>
      </c>
      <c r="E240" s="608"/>
      <c r="F240" s="608"/>
      <c r="G240" s="608"/>
      <c r="H240" s="608"/>
      <c r="I240" s="608"/>
      <c r="J240" s="608"/>
      <c r="K240" s="1683">
        <f>D240</f>
        <v>12832</v>
      </c>
      <c r="L240" s="466">
        <v>16039</v>
      </c>
    </row>
    <row r="241" spans="1:12" x14ac:dyDescent="0.2">
      <c r="A241" s="1515" t="s">
        <v>869</v>
      </c>
      <c r="B241" s="606">
        <v>2220</v>
      </c>
      <c r="C241" s="608"/>
      <c r="D241" s="466">
        <v>211585</v>
      </c>
      <c r="E241" s="608"/>
      <c r="F241" s="608"/>
      <c r="G241" s="608"/>
      <c r="H241" s="608"/>
      <c r="I241" s="608"/>
      <c r="J241" s="608"/>
      <c r="K241" s="1683">
        <f>D241</f>
        <v>211585</v>
      </c>
      <c r="L241" s="466">
        <v>234804</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224417</v>
      </c>
      <c r="E243" s="608"/>
      <c r="F243" s="608"/>
      <c r="G243" s="608"/>
      <c r="H243" s="608"/>
      <c r="I243" s="608"/>
      <c r="J243" s="608"/>
      <c r="K243" s="1681">
        <f>SUM(K240:K242)</f>
        <v>224417</v>
      </c>
      <c r="L243" s="1681">
        <f>SUM(L240:L242)</f>
        <v>250843</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0</v>
      </c>
      <c r="E245" s="608"/>
      <c r="F245" s="608"/>
      <c r="G245" s="608"/>
      <c r="H245" s="608"/>
      <c r="I245" s="608"/>
      <c r="J245" s="608"/>
      <c r="K245" s="1683">
        <f>D245</f>
        <v>0</v>
      </c>
      <c r="L245" s="466">
        <v>0</v>
      </c>
    </row>
    <row r="246" spans="1:12" x14ac:dyDescent="0.2">
      <c r="A246" s="1515" t="s">
        <v>872</v>
      </c>
      <c r="B246" s="606">
        <v>2320</v>
      </c>
      <c r="C246" s="608"/>
      <c r="D246" s="466">
        <v>18503</v>
      </c>
      <c r="E246" s="608"/>
      <c r="F246" s="608"/>
      <c r="G246" s="608"/>
      <c r="H246" s="608"/>
      <c r="I246" s="608"/>
      <c r="J246" s="608"/>
      <c r="K246" s="1683">
        <f t="shared" ref="K246:K256" si="21">D246</f>
        <v>18503</v>
      </c>
      <c r="L246" s="466">
        <v>19318</v>
      </c>
    </row>
    <row r="247" spans="1:12" x14ac:dyDescent="0.2">
      <c r="A247" s="1515" t="s">
        <v>873</v>
      </c>
      <c r="B247" s="606">
        <v>2330</v>
      </c>
      <c r="C247" s="608"/>
      <c r="D247" s="466">
        <v>0</v>
      </c>
      <c r="E247" s="608"/>
      <c r="F247" s="608"/>
      <c r="G247" s="608"/>
      <c r="H247" s="608"/>
      <c r="I247" s="608"/>
      <c r="J247" s="608"/>
      <c r="K247" s="1683">
        <f t="shared" si="21"/>
        <v>0</v>
      </c>
      <c r="L247" s="466">
        <v>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1905</v>
      </c>
      <c r="B249" s="674" t="s">
        <v>300</v>
      </c>
      <c r="C249" s="608"/>
      <c r="D249" s="466">
        <v>0</v>
      </c>
      <c r="E249" s="608"/>
      <c r="F249" s="608"/>
      <c r="G249" s="608"/>
      <c r="H249" s="608"/>
      <c r="I249" s="608"/>
      <c r="J249" s="608"/>
      <c r="K249" s="1683">
        <f t="shared" si="21"/>
        <v>0</v>
      </c>
      <c r="L249" s="466">
        <v>0</v>
      </c>
    </row>
    <row r="250" spans="1:12" x14ac:dyDescent="0.2">
      <c r="A250" s="1516" t="s">
        <v>1906</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18503</v>
      </c>
      <c r="E257" s="608"/>
      <c r="F257" s="608"/>
      <c r="G257" s="608"/>
      <c r="H257" s="608"/>
      <c r="I257" s="608"/>
      <c r="J257" s="608"/>
      <c r="K257" s="1681">
        <f>SUM(K245:K256)</f>
        <v>18503</v>
      </c>
      <c r="L257" s="1681">
        <f>SUM(L245:L256)</f>
        <v>19318</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132481</v>
      </c>
      <c r="E259" s="608"/>
      <c r="F259" s="608"/>
      <c r="G259" s="608"/>
      <c r="H259" s="608"/>
      <c r="I259" s="608"/>
      <c r="J259" s="608"/>
      <c r="K259" s="1683">
        <f>D259</f>
        <v>132481</v>
      </c>
      <c r="L259" s="466">
        <v>136676</v>
      </c>
    </row>
    <row r="260" spans="1:14" s="589" customFormat="1" x14ac:dyDescent="0.2">
      <c r="A260" s="1533" t="s">
        <v>1904</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132481</v>
      </c>
      <c r="E261" s="608"/>
      <c r="F261" s="608"/>
      <c r="G261" s="608"/>
      <c r="H261" s="608"/>
      <c r="I261" s="608"/>
      <c r="J261" s="608"/>
      <c r="K261" s="1681">
        <f>SUM(K259:K260)</f>
        <v>132481</v>
      </c>
      <c r="L261" s="1681">
        <f>SUM(L259:L260)</f>
        <v>136676</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2393</v>
      </c>
      <c r="E263" s="608"/>
      <c r="F263" s="608"/>
      <c r="G263" s="608"/>
      <c r="H263" s="608"/>
      <c r="I263" s="608"/>
      <c r="J263" s="608"/>
      <c r="K263" s="1683">
        <f>D263</f>
        <v>2393</v>
      </c>
      <c r="L263" s="466">
        <v>2398</v>
      </c>
    </row>
    <row r="264" spans="1:14" x14ac:dyDescent="0.2">
      <c r="A264" s="1515" t="s">
        <v>483</v>
      </c>
      <c r="B264" s="676">
        <v>2520</v>
      </c>
      <c r="C264" s="608"/>
      <c r="D264" s="466">
        <v>63658</v>
      </c>
      <c r="E264" s="608"/>
      <c r="F264" s="608"/>
      <c r="G264" s="608"/>
      <c r="H264" s="608"/>
      <c r="I264" s="608"/>
      <c r="J264" s="608"/>
      <c r="K264" s="1683">
        <f t="shared" ref="K264:K269" si="22">D264</f>
        <v>63658</v>
      </c>
      <c r="L264" s="466">
        <v>65758</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661893</v>
      </c>
      <c r="E266" s="608"/>
      <c r="F266" s="608"/>
      <c r="G266" s="608"/>
      <c r="H266" s="608"/>
      <c r="I266" s="608"/>
      <c r="J266" s="608"/>
      <c r="K266" s="1683">
        <f t="shared" si="22"/>
        <v>661893</v>
      </c>
      <c r="L266" s="466">
        <v>701350</v>
      </c>
    </row>
    <row r="267" spans="1:14" x14ac:dyDescent="0.2">
      <c r="A267" s="1515" t="s">
        <v>1010</v>
      </c>
      <c r="B267" s="606">
        <v>2550</v>
      </c>
      <c r="C267" s="608"/>
      <c r="D267" s="466">
        <v>0</v>
      </c>
      <c r="E267" s="608"/>
      <c r="F267" s="608"/>
      <c r="G267" s="608"/>
      <c r="H267" s="608"/>
      <c r="I267" s="608"/>
      <c r="J267" s="608"/>
      <c r="K267" s="1683">
        <f t="shared" si="22"/>
        <v>0</v>
      </c>
      <c r="L267" s="466">
        <v>0</v>
      </c>
    </row>
    <row r="268" spans="1:14" x14ac:dyDescent="0.2">
      <c r="A268" s="1515" t="s">
        <v>102</v>
      </c>
      <c r="B268" s="606">
        <v>2560</v>
      </c>
      <c r="C268" s="608"/>
      <c r="D268" s="466">
        <v>0</v>
      </c>
      <c r="E268" s="608"/>
      <c r="F268" s="608"/>
      <c r="G268" s="608"/>
      <c r="H268" s="608"/>
      <c r="I268" s="608"/>
      <c r="J268" s="608"/>
      <c r="K268" s="1683">
        <f t="shared" si="22"/>
        <v>0</v>
      </c>
      <c r="L268" s="466">
        <v>0</v>
      </c>
    </row>
    <row r="269" spans="1:14" x14ac:dyDescent="0.2">
      <c r="A269" s="1515" t="s">
        <v>103</v>
      </c>
      <c r="B269" s="606">
        <v>2570</v>
      </c>
      <c r="C269" s="608"/>
      <c r="D269" s="466">
        <v>27607</v>
      </c>
      <c r="E269" s="608"/>
      <c r="F269" s="608"/>
      <c r="G269" s="608"/>
      <c r="H269" s="608"/>
      <c r="I269" s="608"/>
      <c r="J269" s="608"/>
      <c r="K269" s="1683">
        <f t="shared" si="22"/>
        <v>27607</v>
      </c>
      <c r="L269" s="466">
        <v>26635</v>
      </c>
    </row>
    <row r="270" spans="1:14" ht="12.75" customHeight="1" thickBot="1" x14ac:dyDescent="0.25">
      <c r="A270" s="1679" t="s">
        <v>743</v>
      </c>
      <c r="B270" s="1686" t="s">
        <v>35</v>
      </c>
      <c r="C270" s="608"/>
      <c r="D270" s="1681">
        <f>SUM(D263:D269)</f>
        <v>755551</v>
      </c>
      <c r="E270" s="608"/>
      <c r="F270" s="608"/>
      <c r="G270" s="608"/>
      <c r="H270" s="608"/>
      <c r="I270" s="608"/>
      <c r="J270" s="608"/>
      <c r="K270" s="1681">
        <f>SUM(K263:K269)</f>
        <v>755551</v>
      </c>
      <c r="L270" s="1681">
        <f>SUM(L263:L269)</f>
        <v>796141</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26791</v>
      </c>
      <c r="E274" s="608"/>
      <c r="F274" s="608"/>
      <c r="G274" s="608"/>
      <c r="H274" s="608"/>
      <c r="I274" s="608"/>
      <c r="J274" s="608"/>
      <c r="K274" s="1683">
        <f>D274</f>
        <v>26791</v>
      </c>
      <c r="L274" s="466">
        <v>27347</v>
      </c>
    </row>
    <row r="275" spans="1:12" x14ac:dyDescent="0.2">
      <c r="A275" s="1515" t="s">
        <v>423</v>
      </c>
      <c r="B275" s="606">
        <v>2640</v>
      </c>
      <c r="C275" s="608"/>
      <c r="D275" s="466">
        <v>23953</v>
      </c>
      <c r="E275" s="608"/>
      <c r="F275" s="608"/>
      <c r="G275" s="608"/>
      <c r="H275" s="608"/>
      <c r="I275" s="608"/>
      <c r="J275" s="608"/>
      <c r="K275" s="1683">
        <f>D275</f>
        <v>23953</v>
      </c>
      <c r="L275" s="466">
        <v>28331</v>
      </c>
    </row>
    <row r="276" spans="1:12" x14ac:dyDescent="0.2">
      <c r="A276" s="1515" t="s">
        <v>424</v>
      </c>
      <c r="B276" s="606">
        <v>2660</v>
      </c>
      <c r="C276" s="608"/>
      <c r="D276" s="466">
        <v>36693</v>
      </c>
      <c r="E276" s="608"/>
      <c r="F276" s="608"/>
      <c r="G276" s="608"/>
      <c r="H276" s="608"/>
      <c r="I276" s="608"/>
      <c r="J276" s="608"/>
      <c r="K276" s="1683">
        <f>D276</f>
        <v>36693</v>
      </c>
      <c r="L276" s="466">
        <v>37204</v>
      </c>
    </row>
    <row r="277" spans="1:12" ht="12.75" customHeight="1" thickBot="1" x14ac:dyDescent="0.25">
      <c r="A277" s="1702" t="s">
        <v>37</v>
      </c>
      <c r="B277" s="1680" t="s">
        <v>36</v>
      </c>
      <c r="C277" s="608"/>
      <c r="D277" s="1681">
        <f>SUM(D272:D276)</f>
        <v>87437</v>
      </c>
      <c r="E277" s="608"/>
      <c r="F277" s="608"/>
      <c r="G277" s="608"/>
      <c r="H277" s="608"/>
      <c r="I277" s="608"/>
      <c r="J277" s="608"/>
      <c r="K277" s="1681">
        <f>SUM(K272:K276)</f>
        <v>87437</v>
      </c>
      <c r="L277" s="1681">
        <f>SUM(L272:L276)</f>
        <v>92882</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1479640</v>
      </c>
      <c r="E279" s="608"/>
      <c r="F279" s="608"/>
      <c r="G279" s="608"/>
      <c r="H279" s="608"/>
      <c r="I279" s="608"/>
      <c r="J279" s="608"/>
      <c r="K279" s="1688">
        <f>SUM(K238,K243,K257,K261,K270,K277,K278)</f>
        <v>1479640</v>
      </c>
      <c r="L279" s="1688">
        <f>SUM(L238,L243,L257,L261,L270,L277,L278)</f>
        <v>1574758</v>
      </c>
    </row>
    <row r="280" spans="1:12" ht="15.75" customHeight="1" thickTop="1" thickBot="1" x14ac:dyDescent="0.25">
      <c r="A280" s="1635" t="s">
        <v>930</v>
      </c>
      <c r="B280" s="1624">
        <v>3000</v>
      </c>
      <c r="C280" s="608"/>
      <c r="D280" s="570">
        <v>15342</v>
      </c>
      <c r="E280" s="608"/>
      <c r="F280" s="608"/>
      <c r="G280" s="608"/>
      <c r="H280" s="608"/>
      <c r="I280" s="608"/>
      <c r="J280" s="608"/>
      <c r="K280" s="1690">
        <f>D280</f>
        <v>15342</v>
      </c>
      <c r="L280" s="570">
        <v>17060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1954</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278" t="s">
        <v>526</v>
      </c>
      <c r="B295" s="2279"/>
      <c r="C295" s="608"/>
      <c r="D295" s="1681">
        <f>SUM(D229,D279,D280,D285)</f>
        <v>2462350</v>
      </c>
      <c r="E295" s="608"/>
      <c r="F295" s="608"/>
      <c r="G295" s="608"/>
      <c r="H295" s="1681">
        <f>H293</f>
        <v>0</v>
      </c>
      <c r="I295" s="608"/>
      <c r="J295" s="608"/>
      <c r="K295" s="1681">
        <f>SUM(K229,K279,K280,K285,K293,K294)</f>
        <v>2462350</v>
      </c>
      <c r="L295" s="1681">
        <f>SUM(L229,L279,L280,L285,L293,L294)</f>
        <v>2586039</v>
      </c>
    </row>
    <row r="296" spans="1:14" ht="13.5" thickTop="1" x14ac:dyDescent="0.2">
      <c r="A296" s="2287" t="s">
        <v>1053</v>
      </c>
      <c r="B296" s="2288"/>
      <c r="C296" s="608"/>
      <c r="D296" s="610"/>
      <c r="E296" s="608"/>
      <c r="F296" s="608"/>
      <c r="G296" s="608"/>
      <c r="H296" s="678"/>
      <c r="I296" s="608"/>
      <c r="J296" s="608"/>
      <c r="K296" s="1695">
        <f>'Revenues 9-14'!G275-'Expenditures 15-22'!K295</f>
        <v>-37064</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270" t="s">
        <v>145</v>
      </c>
      <c r="B298" s="2264"/>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0</v>
      </c>
      <c r="F301" s="466">
        <v>0</v>
      </c>
      <c r="G301" s="466">
        <v>0</v>
      </c>
      <c r="H301" s="466">
        <v>0</v>
      </c>
      <c r="I301" s="466">
        <v>0</v>
      </c>
      <c r="J301" s="466">
        <v>0</v>
      </c>
      <c r="K301" s="1682">
        <f>SUM(C301:J301)</f>
        <v>0</v>
      </c>
      <c r="L301" s="466">
        <v>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0</v>
      </c>
      <c r="F303" s="1688">
        <f t="shared" si="23"/>
        <v>0</v>
      </c>
      <c r="G303" s="1688">
        <f t="shared" si="23"/>
        <v>0</v>
      </c>
      <c r="H303" s="1688">
        <f t="shared" si="23"/>
        <v>0</v>
      </c>
      <c r="I303" s="1688">
        <f t="shared" si="23"/>
        <v>0</v>
      </c>
      <c r="J303" s="1688">
        <f t="shared" si="23"/>
        <v>0</v>
      </c>
      <c r="K303" s="1688">
        <f t="shared" si="23"/>
        <v>0</v>
      </c>
      <c r="L303" s="1688">
        <f t="shared" si="23"/>
        <v>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1959</v>
      </c>
      <c r="B306" s="681" t="s">
        <v>1954</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275" t="s">
        <v>295</v>
      </c>
      <c r="B312" s="2276"/>
      <c r="C312" s="1681">
        <f>SUM(C303)</f>
        <v>0</v>
      </c>
      <c r="D312" s="1681">
        <f>SUM(D303)</f>
        <v>0</v>
      </c>
      <c r="E312" s="1681">
        <f>SUM(E303,E310)</f>
        <v>0</v>
      </c>
      <c r="F312" s="1681">
        <f>SUM(F303)</f>
        <v>0</v>
      </c>
      <c r="G312" s="1681">
        <f>SUM(G303)</f>
        <v>0</v>
      </c>
      <c r="H312" s="1681">
        <f>SUM(H303,H310)</f>
        <v>0</v>
      </c>
      <c r="I312" s="1681">
        <f>SUM(I303)</f>
        <v>0</v>
      </c>
      <c r="J312" s="1681">
        <f>SUM(J303)</f>
        <v>0</v>
      </c>
      <c r="K312" s="1681">
        <f>SUM(K303,K310,K311)</f>
        <v>0</v>
      </c>
      <c r="L312" s="1681">
        <f>SUM(L303,L310,L311)</f>
        <v>0</v>
      </c>
      <c r="M312" s="656"/>
      <c r="N312" s="656"/>
    </row>
    <row r="313" spans="1:14" ht="13.5" thickTop="1" x14ac:dyDescent="0.2">
      <c r="A313" s="2271" t="s">
        <v>1053</v>
      </c>
      <c r="B313" s="2272"/>
      <c r="C313" s="618"/>
      <c r="D313" s="618"/>
      <c r="E313" s="618"/>
      <c r="F313" s="618"/>
      <c r="G313" s="618"/>
      <c r="H313" s="618"/>
      <c r="I313" s="618"/>
      <c r="J313" s="618"/>
      <c r="K313" s="1696">
        <f>'Revenues 9-14'!H275-'Expenditures 15-22'!K312</f>
        <v>1357</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284" t="s">
        <v>151</v>
      </c>
      <c r="B315" s="2285"/>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286" t="s">
        <v>954</v>
      </c>
      <c r="B317" s="2285"/>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1905</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56"/>
      <c r="N330" s="656"/>
    </row>
    <row r="331" spans="1:14" s="665" customFormat="1" ht="12.75" customHeight="1" thickTop="1" x14ac:dyDescent="0.2">
      <c r="A331" s="1843" t="s">
        <v>1960</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1954</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1956</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1961</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273" t="s">
        <v>1053</v>
      </c>
      <c r="B343" s="2274"/>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263" t="s">
        <v>1023</v>
      </c>
      <c r="B345" s="2264"/>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1962</v>
      </c>
      <c r="B354" s="674" t="s">
        <v>1954</v>
      </c>
      <c r="C354" s="608"/>
      <c r="D354" s="608"/>
      <c r="E354" s="608"/>
      <c r="F354" s="608"/>
      <c r="G354" s="608"/>
      <c r="H354" s="466">
        <v>0</v>
      </c>
      <c r="I354" s="692"/>
      <c r="J354" s="608"/>
      <c r="K354" s="1710">
        <f>H354</f>
        <v>0</v>
      </c>
      <c r="L354" s="466">
        <v>0</v>
      </c>
    </row>
    <row r="355" spans="1:14" ht="12.75" customHeight="1" x14ac:dyDescent="0.2">
      <c r="A355" s="1524" t="s">
        <v>1963</v>
      </c>
      <c r="B355" s="681" t="s">
        <v>1956</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287" t="s">
        <v>1053</v>
      </c>
      <c r="B368" s="2288"/>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purl.org/dc/dcmitype/"/>
    <ds:schemaRef ds:uri="http://schemas.microsoft.com/sharepoint/v3"/>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Single Audit Cover</vt:lpstr>
      <vt:lpstr>AUDITCHECK</vt:lpstr>
      <vt:lpstr>AFR18</vt:lpstr>
      <vt:lpstr>Single Audit Checklist</vt:lpstr>
      <vt:lpstr>SEFA Reconcile</vt:lpstr>
      <vt:lpstr>SEFA NOTES</vt:lpstr>
      <vt:lpstr>SEFA 2018</vt:lpstr>
      <vt:lpstr> SEFA</vt:lpstr>
      <vt:lpstr>SF&amp;QC Sec-1</vt:lpstr>
      <vt:lpstr>SF&amp;QC Sec-2</vt:lpstr>
      <vt:lpstr>SF&amp;QC Sec-3</vt:lpstr>
      <vt:lpstr>SSPAF</vt:lpstr>
      <vt:lpstr>' SEFA'!Print_Area</vt:lpstr>
      <vt:lpstr>'SEFA 2018'!Print_Area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2018-12-13T19:46:09Z</cp:lastPrinted>
  <dcterms:created xsi:type="dcterms:W3CDTF">2003-10-29T19:06:34Z</dcterms:created>
  <dcterms:modified xsi:type="dcterms:W3CDTF">2018-12-18T18:44:04Z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Lyons Township High School District 204</vt:lpwstr>
  </property>
  <property fmtid="{D5CDD505-2E9C-101B-9397-08002B2CF9AE}" pid="6" name="PPC_Template_Engagement_Date">
    <vt:lpwstr>6/30/2018</vt:lpwstr>
  </property>
</Properties>
</file>