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oncurrentCalc="0"/>
</workbook>
</file>

<file path=xl/calcChain.xml><?xml version="1.0" encoding="utf-8"?>
<calcChain xmlns="http://schemas.openxmlformats.org/spreadsheetml/2006/main">
  <c r="N21" i="3" l="1"/>
  <c r="I31" i="8"/>
  <c r="J31" i="8"/>
  <c r="F5" i="11"/>
  <c r="M16" i="3"/>
  <c r="F8" i="11"/>
  <c r="M17" i="3"/>
  <c r="F10" i="11"/>
  <c r="M18" i="3"/>
  <c r="F12" i="11"/>
  <c r="M19" i="3"/>
  <c r="F15" i="11"/>
  <c r="M20" i="3"/>
  <c r="M23" i="3"/>
  <c r="M40" i="3"/>
  <c r="C27" i="3"/>
  <c r="D182" i="34"/>
  <c r="C12" i="5"/>
  <c r="C18" i="5"/>
  <c r="C40" i="5"/>
  <c r="C67" i="5"/>
  <c r="C75" i="5"/>
  <c r="C82" i="5"/>
  <c r="C93" i="5"/>
  <c r="C108" i="5"/>
  <c r="C109" i="5"/>
  <c r="C4" i="4"/>
  <c r="C114" i="5"/>
  <c r="C5" i="4"/>
  <c r="C121" i="5"/>
  <c r="C131" i="5"/>
  <c r="C140" i="5"/>
  <c r="C144" i="5"/>
  <c r="C154" i="5"/>
  <c r="C172" i="5"/>
  <c r="C173" i="5"/>
  <c r="C6" i="4"/>
  <c r="C178" i="5"/>
  <c r="C184" i="5"/>
  <c r="C191" i="5"/>
  <c r="C201" i="5"/>
  <c r="C211" i="5"/>
  <c r="C216" i="5"/>
  <c r="C224" i="5"/>
  <c r="C228" i="5"/>
  <c r="C259" i="5"/>
  <c r="C273" i="5"/>
  <c r="C274" i="5"/>
  <c r="C7" i="4"/>
  <c r="C8" i="4"/>
  <c r="K5" i="29"/>
  <c r="K8" i="29"/>
  <c r="K9" i="29"/>
  <c r="K10" i="29"/>
  <c r="K14" i="29"/>
  <c r="K15" i="29"/>
  <c r="K16" i="29"/>
  <c r="K22" i="29"/>
  <c r="K6" i="29"/>
  <c r="K7" i="29"/>
  <c r="K11" i="29"/>
  <c r="K12" i="29"/>
  <c r="K13" i="29"/>
  <c r="K17" i="29"/>
  <c r="K18" i="29"/>
  <c r="K19" i="29"/>
  <c r="K20" i="29"/>
  <c r="K21" i="29"/>
  <c r="K23" i="29"/>
  <c r="K24" i="29"/>
  <c r="K25" i="29"/>
  <c r="K26" i="29"/>
  <c r="K27" i="29"/>
  <c r="K28" i="29"/>
  <c r="K29" i="29"/>
  <c r="K30" i="29"/>
  <c r="K31" i="29"/>
  <c r="K32" i="29"/>
  <c r="K33" i="29"/>
  <c r="C12" i="4"/>
  <c r="K36" i="29"/>
  <c r="K38" i="29"/>
  <c r="K40" i="29"/>
  <c r="K37" i="29"/>
  <c r="K39" i="29"/>
  <c r="K41" i="29"/>
  <c r="K42" i="29"/>
  <c r="K44" i="29"/>
  <c r="K45" i="29"/>
  <c r="K46" i="29"/>
  <c r="K47" i="29"/>
  <c r="K49" i="29"/>
  <c r="K50" i="29"/>
  <c r="K51" i="29"/>
  <c r="K52" i="29"/>
  <c r="K53" i="29"/>
  <c r="K55" i="29"/>
  <c r="K56" i="29"/>
  <c r="K57" i="29"/>
  <c r="K60" i="29"/>
  <c r="K63" i="29"/>
  <c r="K64" i="29"/>
  <c r="K59" i="29"/>
  <c r="K61" i="29"/>
  <c r="K62" i="29"/>
  <c r="K65" i="29"/>
  <c r="K67" i="29"/>
  <c r="K68" i="29"/>
  <c r="K69" i="29"/>
  <c r="K70" i="29"/>
  <c r="K71" i="29"/>
  <c r="K72" i="29"/>
  <c r="K73" i="29"/>
  <c r="K74" i="29"/>
  <c r="C13" i="4"/>
  <c r="K75" i="29"/>
  <c r="C14" i="4"/>
  <c r="H92" i="29"/>
  <c r="K92" i="29"/>
  <c r="K78" i="29"/>
  <c r="K79" i="29"/>
  <c r="K80" i="29"/>
  <c r="K81" i="29"/>
  <c r="K82" i="29"/>
  <c r="K83" i="29"/>
  <c r="K84" i="29"/>
  <c r="K93" i="29"/>
  <c r="K94" i="29"/>
  <c r="K95" i="29"/>
  <c r="K96" i="29"/>
  <c r="K97" i="29"/>
  <c r="K98" i="29"/>
  <c r="K99" i="29"/>
  <c r="K100" i="29"/>
  <c r="K101" i="29"/>
  <c r="K102" i="29"/>
  <c r="C15" i="4"/>
  <c r="K105" i="29"/>
  <c r="K106" i="29"/>
  <c r="K107" i="29"/>
  <c r="K108" i="29"/>
  <c r="K109" i="29"/>
  <c r="K110" i="29"/>
  <c r="K111" i="29"/>
  <c r="K112" i="29"/>
  <c r="C16" i="4"/>
  <c r="C17" i="4"/>
  <c r="C20" i="4"/>
  <c r="C44" i="4"/>
  <c r="C76" i="4"/>
  <c r="C77" i="4"/>
  <c r="C78" i="4"/>
  <c r="C81" i="4"/>
  <c r="B11" i="146"/>
  <c r="D12" i="5"/>
  <c r="D67" i="5"/>
  <c r="D18" i="5"/>
  <c r="D82" i="5"/>
  <c r="D108" i="5"/>
  <c r="D109" i="5"/>
  <c r="D4" i="4"/>
  <c r="D114" i="5"/>
  <c r="D5" i="4"/>
  <c r="D121" i="5"/>
  <c r="D131" i="5"/>
  <c r="D140" i="5"/>
  <c r="D154" i="5"/>
  <c r="D172" i="5"/>
  <c r="D173" i="5"/>
  <c r="D6" i="4"/>
  <c r="D178" i="5"/>
  <c r="D184" i="5"/>
  <c r="D191" i="5"/>
  <c r="D211" i="5"/>
  <c r="D216" i="5"/>
  <c r="D224" i="5"/>
  <c r="D228" i="5"/>
  <c r="D259" i="5"/>
  <c r="D273" i="5"/>
  <c r="D274" i="5"/>
  <c r="D7" i="4"/>
  <c r="D8" i="4"/>
  <c r="K124" i="29"/>
  <c r="K122" i="29"/>
  <c r="K123" i="29"/>
  <c r="K125" i="29"/>
  <c r="K126" i="29"/>
  <c r="K127" i="29"/>
  <c r="K120" i="29"/>
  <c r="K128" i="29"/>
  <c r="K129" i="29"/>
  <c r="D13" i="4"/>
  <c r="K130" i="29"/>
  <c r="D14" i="4"/>
  <c r="K133" i="29"/>
  <c r="K134" i="29"/>
  <c r="K135" i="29"/>
  <c r="K136" i="29"/>
  <c r="K137" i="29"/>
  <c r="K138" i="29"/>
  <c r="K139" i="29"/>
  <c r="D15" i="4"/>
  <c r="K142" i="29"/>
  <c r="K143" i="29"/>
  <c r="K144" i="29"/>
  <c r="K145" i="29"/>
  <c r="K146" i="29"/>
  <c r="K147" i="29"/>
  <c r="K148" i="29"/>
  <c r="K149" i="29"/>
  <c r="D16" i="4"/>
  <c r="D17" i="4"/>
  <c r="D20" i="4"/>
  <c r="D44" i="4"/>
  <c r="D76" i="4"/>
  <c r="D77" i="4"/>
  <c r="D78" i="4"/>
  <c r="D81" i="4"/>
  <c r="C11" i="146"/>
  <c r="F12" i="5"/>
  <c r="F67" i="5"/>
  <c r="F18" i="5"/>
  <c r="F63" i="5"/>
  <c r="F108" i="5"/>
  <c r="F109" i="5"/>
  <c r="F4" i="4"/>
  <c r="F114" i="5"/>
  <c r="F5" i="4"/>
  <c r="F121" i="5"/>
  <c r="F131" i="5"/>
  <c r="F154" i="5"/>
  <c r="F172" i="5"/>
  <c r="F173" i="5"/>
  <c r="F6" i="4"/>
  <c r="F178" i="5"/>
  <c r="F184" i="5"/>
  <c r="F191" i="5"/>
  <c r="F211" i="5"/>
  <c r="F216" i="5"/>
  <c r="F224" i="5"/>
  <c r="F259" i="5"/>
  <c r="F273" i="5"/>
  <c r="F274" i="5"/>
  <c r="F7" i="4"/>
  <c r="F8" i="4"/>
  <c r="K182" i="29"/>
  <c r="K180" i="29"/>
  <c r="K183" i="29"/>
  <c r="K184" i="29"/>
  <c r="F13" i="4"/>
  <c r="K185" i="29"/>
  <c r="F14" i="4"/>
  <c r="K189" i="29"/>
  <c r="K188" i="29"/>
  <c r="K190" i="29"/>
  <c r="K191" i="29"/>
  <c r="K192" i="29"/>
  <c r="K193" i="29"/>
  <c r="K194" i="29"/>
  <c r="K195" i="29"/>
  <c r="K196" i="29"/>
  <c r="F15" i="4"/>
  <c r="K199" i="29"/>
  <c r="K200" i="29"/>
  <c r="K201" i="29"/>
  <c r="K202" i="29"/>
  <c r="K203" i="29"/>
  <c r="K204" i="29"/>
  <c r="K205" i="29"/>
  <c r="K206" i="29"/>
  <c r="K207" i="29"/>
  <c r="K208" i="29"/>
  <c r="F16" i="4"/>
  <c r="F17" i="4"/>
  <c r="F20" i="4"/>
  <c r="F44" i="4"/>
  <c r="F76" i="4"/>
  <c r="F77" i="4"/>
  <c r="F78" i="4"/>
  <c r="F81" i="4"/>
  <c r="D11" i="146"/>
  <c r="I67" i="5"/>
  <c r="I12" i="5"/>
  <c r="I18" i="5"/>
  <c r="I108" i="5"/>
  <c r="I109" i="5"/>
  <c r="I4" i="4"/>
  <c r="I172" i="5"/>
  <c r="I173" i="5"/>
  <c r="I6" i="4"/>
  <c r="I178" i="5"/>
  <c r="I274" i="5"/>
  <c r="I7" i="4"/>
  <c r="I8" i="4"/>
  <c r="I20" i="4"/>
  <c r="I44" i="4"/>
  <c r="I47" i="4"/>
  <c r="I48" i="4"/>
  <c r="I76" i="4"/>
  <c r="I77" i="4"/>
  <c r="I78" i="4"/>
  <c r="I81" i="4"/>
  <c r="E11" i="146"/>
  <c r="F11" i="146"/>
  <c r="B8" i="146"/>
  <c r="C8" i="146"/>
  <c r="D8" i="146"/>
  <c r="E8" i="146"/>
  <c r="F8" i="146"/>
  <c r="B9" i="146"/>
  <c r="C9" i="146"/>
  <c r="D9" i="146"/>
  <c r="F9" i="146"/>
  <c r="F10" i="146"/>
  <c r="D29" i="36"/>
  <c r="J24" i="2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11" i="182"/>
  <c r="J12" i="182"/>
  <c r="J13" i="182"/>
  <c r="J14" i="182"/>
  <c r="J15" i="182"/>
  <c r="J16" i="182"/>
  <c r="J17" i="182"/>
  <c r="J18" i="182"/>
  <c r="J19" i="182"/>
  <c r="J20" i="182"/>
  <c r="J21" i="182"/>
  <c r="J22" i="182"/>
  <c r="J23" i="182"/>
  <c r="J24" i="182"/>
  <c r="J34" i="182"/>
  <c r="I25" i="182"/>
  <c r="H25" i="182"/>
  <c r="I24" i="182"/>
  <c r="H24" i="182"/>
  <c r="I23" i="182"/>
  <c r="H23" i="182"/>
  <c r="I22" i="182"/>
  <c r="H22" i="182"/>
  <c r="I21" i="182"/>
  <c r="H21" i="182"/>
  <c r="I20" i="182"/>
  <c r="H20" i="182"/>
  <c r="I19" i="182"/>
  <c r="H19" i="182"/>
  <c r="I18" i="182"/>
  <c r="H18" i="182"/>
  <c r="I17" i="182"/>
  <c r="H17" i="182"/>
  <c r="I16" i="182"/>
  <c r="H16" i="182"/>
  <c r="I15" i="182"/>
  <c r="H15" i="182"/>
  <c r="I14" i="182"/>
  <c r="H14" i="182"/>
  <c r="I13" i="182"/>
  <c r="H13" i="182"/>
  <c r="I12" i="182"/>
  <c r="I11" i="182"/>
  <c r="I34" i="182"/>
  <c r="H12" i="182"/>
  <c r="H11" i="182"/>
  <c r="H34" i="182"/>
  <c r="K34" i="182"/>
  <c r="D81" i="36"/>
  <c r="E178" i="5"/>
  <c r="E259" i="5"/>
  <c r="E273" i="5"/>
  <c r="E274" i="5"/>
  <c r="E7" i="4"/>
  <c r="G178" i="5"/>
  <c r="G184" i="5"/>
  <c r="G191" i="5"/>
  <c r="G201" i="5"/>
  <c r="G211" i="5"/>
  <c r="G216" i="5"/>
  <c r="G224" i="5"/>
  <c r="G228" i="5"/>
  <c r="G259" i="5"/>
  <c r="G273" i="5"/>
  <c r="G274" i="5"/>
  <c r="G7" i="4"/>
  <c r="H178" i="5"/>
  <c r="H184" i="5"/>
  <c r="H259" i="5"/>
  <c r="H273" i="5"/>
  <c r="H274" i="5"/>
  <c r="H7" i="4"/>
  <c r="J178" i="5"/>
  <c r="J259" i="5"/>
  <c r="J273" i="5"/>
  <c r="J274" i="5"/>
  <c r="J7" i="4"/>
  <c r="K178" i="5"/>
  <c r="K184" i="5"/>
  <c r="K259" i="5"/>
  <c r="K273" i="5"/>
  <c r="K274" i="5"/>
  <c r="K7" i="4"/>
  <c r="D10" i="171"/>
  <c r="K114" i="29"/>
  <c r="F8" i="34"/>
  <c r="K151" i="29"/>
  <c r="F9" i="34"/>
  <c r="K169" i="29"/>
  <c r="K170" i="29"/>
  <c r="K171" i="29"/>
  <c r="K163" i="29"/>
  <c r="K164" i="29"/>
  <c r="K165" i="29"/>
  <c r="K166" i="29"/>
  <c r="K167" i="29"/>
  <c r="K168" i="29"/>
  <c r="K172" i="29"/>
  <c r="K157" i="29"/>
  <c r="K158" i="29"/>
  <c r="K159" i="29"/>
  <c r="K160" i="29"/>
  <c r="K174" i="29"/>
  <c r="F10" i="34"/>
  <c r="K210" i="29"/>
  <c r="F11" i="34"/>
  <c r="K215" i="29"/>
  <c r="K217" i="29"/>
  <c r="K218" i="29"/>
  <c r="K219" i="29"/>
  <c r="K223" i="29"/>
  <c r="K224" i="29"/>
  <c r="K225" i="29"/>
  <c r="K216" i="29"/>
  <c r="K220" i="29"/>
  <c r="K221" i="29"/>
  <c r="K222" i="29"/>
  <c r="K226" i="29"/>
  <c r="K227" i="29"/>
  <c r="K228" i="29"/>
  <c r="K229" i="29"/>
  <c r="K232" i="29"/>
  <c r="K234" i="29"/>
  <c r="K236" i="29"/>
  <c r="K233" i="29"/>
  <c r="K235" i="29"/>
  <c r="K237" i="29"/>
  <c r="K238" i="29"/>
  <c r="K246" i="29"/>
  <c r="K254" i="29"/>
  <c r="K245" i="29"/>
  <c r="K247" i="29"/>
  <c r="K248" i="29"/>
  <c r="K249" i="29"/>
  <c r="K250" i="29"/>
  <c r="K251" i="29"/>
  <c r="K252" i="29"/>
  <c r="K253" i="29"/>
  <c r="K255" i="29"/>
  <c r="K256" i="29"/>
  <c r="K257" i="29"/>
  <c r="K259" i="29"/>
  <c r="K260" i="29"/>
  <c r="K261" i="29"/>
  <c r="K264" i="29"/>
  <c r="K266" i="29"/>
  <c r="K267" i="29"/>
  <c r="K268" i="29"/>
  <c r="K263" i="29"/>
  <c r="K265" i="29"/>
  <c r="K269" i="29"/>
  <c r="K270" i="29"/>
  <c r="K276" i="29"/>
  <c r="K272" i="29"/>
  <c r="K273" i="29"/>
  <c r="K274" i="29"/>
  <c r="K275" i="29"/>
  <c r="K277" i="29"/>
  <c r="K240" i="29"/>
  <c r="K242" i="29"/>
  <c r="K241" i="29"/>
  <c r="K243" i="29"/>
  <c r="K278" i="29"/>
  <c r="K279" i="29"/>
  <c r="K280" i="29"/>
  <c r="K282" i="29"/>
  <c r="K283" i="29"/>
  <c r="K284" i="29"/>
  <c r="K285" i="29"/>
  <c r="K288" i="29"/>
  <c r="K289" i="29"/>
  <c r="K290" i="29"/>
  <c r="K291" i="29"/>
  <c r="K292" i="29"/>
  <c r="K293" i="29"/>
  <c r="K295" i="29"/>
  <c r="F12" i="34"/>
  <c r="K322" i="29"/>
  <c r="K324" i="29"/>
  <c r="K325" i="29"/>
  <c r="K327" i="29"/>
  <c r="K319" i="29"/>
  <c r="K320" i="29"/>
  <c r="K321" i="29"/>
  <c r="K323" i="29"/>
  <c r="K326" i="29"/>
  <c r="K328" i="29"/>
  <c r="K329" i="29"/>
  <c r="K330" i="29"/>
  <c r="K332" i="29"/>
  <c r="K333" i="29"/>
  <c r="K334" i="29"/>
  <c r="K337" i="29"/>
  <c r="K338" i="29"/>
  <c r="K339" i="29"/>
  <c r="K340" i="29"/>
  <c r="K342" i="29"/>
  <c r="F13" i="34"/>
  <c r="F14" i="34"/>
  <c r="F18" i="34"/>
  <c r="F19" i="34"/>
  <c r="F20" i="34"/>
  <c r="F21" i="34"/>
  <c r="F22" i="34"/>
  <c r="F23" i="34"/>
  <c r="F24" i="34"/>
  <c r="F25" i="34"/>
  <c r="F26" i="34"/>
  <c r="F27" i="34"/>
  <c r="F28" i="34"/>
  <c r="F149"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G65" i="29"/>
  <c r="G72" i="29"/>
  <c r="G42" i="29"/>
  <c r="G47" i="29"/>
  <c r="G53" i="29"/>
  <c r="G57" i="29"/>
  <c r="G74" i="29"/>
  <c r="G33" i="29"/>
  <c r="G114" i="29"/>
  <c r="F54" i="34"/>
  <c r="I33" i="29"/>
  <c r="I42" i="29"/>
  <c r="I47" i="29"/>
  <c r="I53" i="29"/>
  <c r="I57" i="29"/>
  <c r="I65" i="29"/>
  <c r="I72" i="29"/>
  <c r="I74" i="29"/>
  <c r="I114" i="29"/>
  <c r="F55" i="34"/>
  <c r="F56" i="34"/>
  <c r="F57" i="34"/>
  <c r="G127" i="29"/>
  <c r="G129" i="29"/>
  <c r="G151" i="29"/>
  <c r="F58" i="34"/>
  <c r="I127" i="29"/>
  <c r="I129" i="29"/>
  <c r="I151" i="29"/>
  <c r="F59" i="34"/>
  <c r="F60" i="34"/>
  <c r="F61" i="34"/>
  <c r="F62" i="34"/>
  <c r="F63" i="34"/>
  <c r="F64" i="34"/>
  <c r="G184" i="29"/>
  <c r="G210" i="29"/>
  <c r="F65" i="34"/>
  <c r="I184" i="29"/>
  <c r="I210" i="29"/>
  <c r="F66" i="34"/>
  <c r="F67" i="34"/>
  <c r="F68" i="34"/>
  <c r="F69" i="34"/>
  <c r="F70" i="34"/>
  <c r="F71" i="34"/>
  <c r="F72" i="34"/>
  <c r="F73" i="34"/>
  <c r="F74" i="34"/>
  <c r="F76" i="34"/>
  <c r="F77" i="34"/>
  <c r="F79" i="34"/>
  <c r="J15" i="4"/>
  <c r="B7796" i="106"/>
  <c r="K356" i="29"/>
  <c r="K355" i="29"/>
  <c r="B7794" i="106"/>
  <c r="K354" i="29"/>
  <c r="H357" i="29"/>
  <c r="L334" i="29"/>
  <c r="B7788" i="106"/>
  <c r="H334" i="29"/>
  <c r="B7789" i="106"/>
  <c r="B7784" i="106"/>
  <c r="H160" i="29"/>
  <c r="B7780" i="106"/>
  <c r="B7795" i="106"/>
  <c r="B7776" i="106"/>
  <c r="B7793" i="106"/>
  <c r="B7791" i="106"/>
  <c r="B7787" i="106"/>
  <c r="B7786" i="106"/>
  <c r="B7785" i="106"/>
  <c r="B7783" i="106"/>
  <c r="B7782" i="106"/>
  <c r="B7781" i="106"/>
  <c r="B7779" i="106"/>
  <c r="B7778" i="106"/>
  <c r="B7777" i="106"/>
  <c r="B7775" i="106"/>
  <c r="B7774" i="106"/>
  <c r="K357" i="29"/>
  <c r="B7792" i="106"/>
  <c r="K15" i="4"/>
  <c r="B7790" i="106"/>
  <c r="G350" i="29"/>
  <c r="G352" i="29"/>
  <c r="G367" i="29"/>
  <c r="F350" i="29"/>
  <c r="F352" i="29"/>
  <c r="F367" i="29"/>
  <c r="E350" i="29"/>
  <c r="E352" i="29"/>
  <c r="E367" i="29"/>
  <c r="D350" i="29"/>
  <c r="D352" i="29"/>
  <c r="D367" i="29"/>
  <c r="C350" i="29"/>
  <c r="C352" i="29"/>
  <c r="C367" i="29"/>
  <c r="L350" i="29"/>
  <c r="L352" i="29"/>
  <c r="L357" i="29"/>
  <c r="L362" i="29"/>
  <c r="L365" i="29"/>
  <c r="L367" i="29"/>
  <c r="J350" i="29"/>
  <c r="J352" i="29"/>
  <c r="J367" i="29"/>
  <c r="I350" i="29"/>
  <c r="I352" i="29"/>
  <c r="I367" i="29"/>
  <c r="L285" i="29"/>
  <c r="D285" i="29"/>
  <c r="D229" i="29"/>
  <c r="D238" i="29"/>
  <c r="D257" i="29"/>
  <c r="D261" i="29"/>
  <c r="D270" i="29"/>
  <c r="D277" i="29"/>
  <c r="D243" i="29"/>
  <c r="D279" i="29"/>
  <c r="D295" i="29"/>
  <c r="L160" i="29"/>
  <c r="L137" i="29"/>
  <c r="H137" i="29"/>
  <c r="E137" i="29"/>
  <c r="E139" i="29"/>
  <c r="E15" i="4"/>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E39" i="181"/>
  <c r="F39" i="181"/>
  <c r="G39" i="181"/>
  <c r="E38" i="181"/>
  <c r="F38" i="181"/>
  <c r="G38" i="181"/>
  <c r="F37" i="181"/>
  <c r="G37" i="181"/>
  <c r="E37" i="181"/>
  <c r="E36" i="181"/>
  <c r="F36" i="181"/>
  <c r="G36" i="181"/>
  <c r="F35" i="181"/>
  <c r="G35" i="181"/>
  <c r="E35" i="181"/>
  <c r="F34" i="181"/>
  <c r="G34" i="181"/>
  <c r="E34" i="181"/>
  <c r="E33" i="181"/>
  <c r="F33" i="181"/>
  <c r="G33" i="181"/>
  <c r="E32" i="181"/>
  <c r="F32" i="181"/>
  <c r="G32" i="181"/>
  <c r="F31" i="181"/>
  <c r="G31" i="181"/>
  <c r="E31" i="181"/>
  <c r="E30" i="181"/>
  <c r="F30" i="181"/>
  <c r="G30" i="181"/>
  <c r="E29" i="181"/>
  <c r="F29" i="181"/>
  <c r="G29" i="181"/>
  <c r="F28" i="181"/>
  <c r="G28" i="181"/>
  <c r="E28" i="181"/>
  <c r="E27" i="181"/>
  <c r="F27" i="181"/>
  <c r="G27" i="181"/>
  <c r="F26" i="181"/>
  <c r="G26" i="181"/>
  <c r="E26" i="181"/>
  <c r="E25" i="181"/>
  <c r="F25" i="181"/>
  <c r="G25" i="181"/>
  <c r="F24" i="181"/>
  <c r="G24" i="181"/>
  <c r="E24" i="181"/>
  <c r="F23" i="181"/>
  <c r="G23" i="181"/>
  <c r="E23" i="181"/>
  <c r="F22" i="181"/>
  <c r="G22" i="181"/>
  <c r="E22" i="181"/>
  <c r="F21" i="181"/>
  <c r="G21" i="181"/>
  <c r="E21" i="181"/>
  <c r="F20" i="181"/>
  <c r="G20" i="181"/>
  <c r="E20" i="181"/>
  <c r="E19" i="181"/>
  <c r="F19" i="181"/>
  <c r="G19" i="181"/>
  <c r="E18" i="181"/>
  <c r="F18" i="181"/>
  <c r="G18" i="181"/>
  <c r="D141" i="181"/>
  <c r="D80" i="36"/>
  <c r="B7797" i="106"/>
  <c r="E141" i="181"/>
  <c r="E17" i="181"/>
  <c r="E16" i="181"/>
  <c r="F16" i="181"/>
  <c r="G16" i="181"/>
  <c r="F17" i="181"/>
  <c r="G17" i="181"/>
  <c r="G141" i="181"/>
  <c r="G40" i="108"/>
  <c r="G19" i="108"/>
  <c r="G21" i="108"/>
  <c r="G22" i="108"/>
  <c r="G330" i="29"/>
  <c r="I330" i="29"/>
  <c r="G23" i="108"/>
  <c r="G24" i="108"/>
  <c r="G26" i="108"/>
  <c r="G27" i="108"/>
  <c r="G28" i="108"/>
  <c r="G29" i="108"/>
  <c r="G30" i="108"/>
  <c r="G31" i="108"/>
  <c r="G33" i="108"/>
  <c r="G34" i="108"/>
  <c r="G35" i="108"/>
  <c r="G36" i="108"/>
  <c r="G37" i="108"/>
  <c r="G38" i="108"/>
  <c r="G39" i="108"/>
  <c r="G41" i="108"/>
  <c r="B7799" i="106"/>
  <c r="F141" i="181"/>
  <c r="B7798" i="106"/>
  <c r="E40" i="108"/>
  <c r="E19" i="108"/>
  <c r="E21" i="108"/>
  <c r="E22" i="108"/>
  <c r="E23" i="108"/>
  <c r="E24" i="108"/>
  <c r="E26" i="108"/>
  <c r="E27" i="108"/>
  <c r="E28" i="108"/>
  <c r="E29" i="108"/>
  <c r="E30" i="108"/>
  <c r="E31" i="108"/>
  <c r="E33" i="108"/>
  <c r="E34" i="108"/>
  <c r="E35" i="108"/>
  <c r="E36" i="108"/>
  <c r="E37" i="108"/>
  <c r="E38" i="108"/>
  <c r="E39" i="108"/>
  <c r="E41" i="108"/>
  <c r="F4" i="7"/>
  <c r="F5" i="7"/>
  <c r="F6" i="7"/>
  <c r="F7" i="7"/>
  <c r="F8" i="7"/>
  <c r="F9" i="7"/>
  <c r="F10" i="7"/>
  <c r="F11" i="7"/>
  <c r="F12" i="7"/>
  <c r="F13" i="7"/>
  <c r="F14" i="7"/>
  <c r="F15" i="7"/>
  <c r="F16" i="7"/>
  <c r="F17" i="7"/>
  <c r="F18" i="7"/>
  <c r="F19" i="7"/>
  <c r="B1807" i="106"/>
  <c r="B4" i="179"/>
  <c r="D17" i="171"/>
  <c r="E7" i="169"/>
  <c r="B2" i="179"/>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A7" i="169"/>
  <c r="B4" i="177"/>
  <c r="B4" i="176"/>
  <c r="B4" i="175"/>
  <c r="G43" i="174"/>
  <c r="D47" i="174"/>
  <c r="B4" i="174"/>
  <c r="B2" i="174"/>
  <c r="E34" i="173"/>
  <c r="A4" i="173"/>
  <c r="A2"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A2" i="170"/>
  <c r="B2" i="177"/>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B7763" i="106"/>
  <c r="B7762" i="106"/>
  <c r="K12" i="12"/>
  <c r="K23" i="12"/>
  <c r="K24" i="12"/>
  <c r="B7733" i="106"/>
  <c r="J12" i="12"/>
  <c r="J21" i="12"/>
  <c r="J23" i="12"/>
  <c r="B7729" i="106"/>
  <c r="B7734" i="106"/>
  <c r="B7726" i="106"/>
  <c r="D76" i="36"/>
  <c r="F162" i="34"/>
  <c r="B30" i="36"/>
  <c r="B33" i="36"/>
  <c r="B43" i="36"/>
  <c r="B56" i="36"/>
  <c r="B66" i="36"/>
  <c r="B70" i="36"/>
  <c r="B74" i="36"/>
  <c r="D73" i="36"/>
  <c r="B7761" i="106"/>
  <c r="L127" i="29"/>
  <c r="L129" i="29"/>
  <c r="L139" i="29"/>
  <c r="L149" i="29"/>
  <c r="I7" i="145"/>
  <c r="I6" i="145"/>
  <c r="J12" i="145"/>
  <c r="J13" i="145"/>
  <c r="J14" i="145"/>
  <c r="J15" i="145"/>
  <c r="J16" i="145"/>
  <c r="J17" i="145"/>
  <c r="J18" i="145"/>
  <c r="J19" i="145"/>
  <c r="D82" i="36"/>
  <c r="D78" i="36"/>
  <c r="F15" i="145"/>
  <c r="F19" i="145"/>
  <c r="E15" i="145"/>
  <c r="G15" i="145"/>
  <c r="E14" i="145"/>
  <c r="G14" i="145"/>
  <c r="E13" i="145"/>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B1126" i="106"/>
  <c r="D1126" i="106"/>
  <c r="B1128" i="106"/>
  <c r="D1128" i="106"/>
  <c r="B1129" i="106"/>
  <c r="D1129" i="106"/>
  <c r="B1130" i="106"/>
  <c r="D1130" i="106"/>
  <c r="D1132" i="106"/>
  <c r="B1136" i="106"/>
  <c r="D1136" i="106"/>
  <c r="B1137" i="106"/>
  <c r="D1137" i="106"/>
  <c r="D1138" i="106"/>
  <c r="B1139" i="106"/>
  <c r="D1139" i="106"/>
  <c r="D1140" i="106"/>
  <c r="B1142" i="106"/>
  <c r="D1142" i="106"/>
  <c r="B1147" i="106"/>
  <c r="D1147" i="106"/>
  <c r="D1148" i="106"/>
  <c r="B1149" i="106"/>
  <c r="D1149"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B1276" i="106"/>
  <c r="D1276" i="106"/>
  <c r="B1277" i="106"/>
  <c r="D1277" i="106"/>
  <c r="D1278" i="106"/>
  <c r="B1280" i="106"/>
  <c r="D1280" i="106"/>
  <c r="B2987" i="106"/>
  <c r="D2987" i="106"/>
  <c r="B2988" i="106"/>
  <c r="D2988" i="106"/>
  <c r="B1284" i="106"/>
  <c r="D1284" i="106"/>
  <c r="B1285" i="106"/>
  <c r="D1285" i="106"/>
  <c r="D1286"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E174" i="29"/>
  <c r="B1309" i="106"/>
  <c r="D1309"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B1329" i="106"/>
  <c r="D132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3007" i="106"/>
  <c r="D3007" i="106"/>
  <c r="B2839" i="106"/>
  <c r="B1383" i="106"/>
  <c r="D1383" i="106"/>
  <c r="B1384" i="106"/>
  <c r="D1384" i="106"/>
  <c r="B1385" i="106"/>
  <c r="D1385" i="106"/>
  <c r="D1386" i="106"/>
  <c r="B2841" i="106"/>
  <c r="D2841"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B1410" i="106"/>
  <c r="D1410" i="106"/>
  <c r="B1411" i="106"/>
  <c r="D1411" i="106"/>
  <c r="B1412" i="106"/>
  <c r="D1412" i="106"/>
  <c r="B1413" i="106"/>
  <c r="D1413" i="106"/>
  <c r="B1414" i="106"/>
  <c r="D1414" i="106"/>
  <c r="B1415" i="106"/>
  <c r="D1415" i="106"/>
  <c r="B1416" i="106"/>
  <c r="D1416" i="106"/>
  <c r="B1418" i="106"/>
  <c r="D1418" i="106"/>
  <c r="B1419" i="106"/>
  <c r="D1419" i="106"/>
  <c r="B1420" i="106"/>
  <c r="D1420" i="106"/>
  <c r="B1421" i="106"/>
  <c r="D1421" i="106"/>
  <c r="B1422" i="106"/>
  <c r="D1422" i="106"/>
  <c r="B1423" i="106"/>
  <c r="D1423" i="106"/>
  <c r="B1424" i="106"/>
  <c r="D1424" i="106"/>
  <c r="B1425" i="106"/>
  <c r="D1425" i="106"/>
  <c r="B1426" i="106"/>
  <c r="D1426" i="106"/>
  <c r="B1427" i="106"/>
  <c r="D1427" i="106"/>
  <c r="B1428" i="106"/>
  <c r="D1428" i="106"/>
  <c r="B1429" i="106"/>
  <c r="D1429" i="106"/>
  <c r="B1430" i="106"/>
  <c r="D1430" i="106"/>
  <c r="B1431" i="106"/>
  <c r="D1431" i="106"/>
  <c r="B1432" i="106"/>
  <c r="D1432" i="106"/>
  <c r="B1433" i="106"/>
  <c r="D1433" i="106"/>
  <c r="B1434" i="106"/>
  <c r="D1434" i="106"/>
  <c r="D1435" i="106"/>
  <c r="B1436" i="106"/>
  <c r="D1436" i="106"/>
  <c r="B1437" i="106"/>
  <c r="D1437" i="106"/>
  <c r="B1438" i="106"/>
  <c r="D1438" i="106"/>
  <c r="B1439" i="106"/>
  <c r="D1439" i="106"/>
  <c r="B1440" i="106"/>
  <c r="D1440" i="106"/>
  <c r="D1441" i="106"/>
  <c r="B1442" i="106"/>
  <c r="D1442" i="106"/>
  <c r="D1443" i="106"/>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B2846" i="106"/>
  <c r="D2846" i="106"/>
  <c r="D151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B1792" i="106"/>
  <c r="D1792" i="106"/>
  <c r="B1793" i="106"/>
  <c r="D1793" i="106"/>
  <c r="B1794" i="106"/>
  <c r="D1794" i="106"/>
  <c r="B1795" i="106"/>
  <c r="D1795" i="106"/>
  <c r="B1796" i="106"/>
  <c r="D1796" i="106"/>
  <c r="B1797" i="106"/>
  <c r="D1797" i="106"/>
  <c r="D1798" i="106"/>
  <c r="B1799" i="106"/>
  <c r="D1799" i="106"/>
  <c r="B1800" i="106"/>
  <c r="D1800" i="106"/>
  <c r="B1801" i="106"/>
  <c r="D1801" i="106"/>
  <c r="B1802" i="106"/>
  <c r="D1802" i="106"/>
  <c r="D1803" i="106"/>
  <c r="B1804" i="106"/>
  <c r="D1804" i="106"/>
  <c r="D1805" i="106"/>
  <c r="D1806" i="106"/>
  <c r="D1807"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1" i="8"/>
  <c r="B1879" i="106"/>
  <c r="D187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I24" i="12"/>
  <c r="B1996" i="106"/>
  <c r="D1996"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B2027" i="106"/>
  <c r="D2027" i="106"/>
  <c r="B2028" i="106"/>
  <c r="D2028" i="106"/>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B2094" i="106"/>
  <c r="D2094" i="106"/>
  <c r="D2095" i="106"/>
  <c r="D2096" i="106"/>
  <c r="D2097" i="106"/>
  <c r="D2098" i="106"/>
  <c r="D2099" i="106"/>
  <c r="D2100" i="106"/>
  <c r="D2101" i="106"/>
  <c r="D2103" i="106"/>
  <c r="D2104" i="106"/>
  <c r="B2105" i="106"/>
  <c r="D2105" i="106"/>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6" i="106"/>
  <c r="D2976"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0" i="106"/>
  <c r="D3010"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c r="B3231" i="106"/>
  <c r="D3231" i="106"/>
  <c r="B3234" i="106"/>
  <c r="D3234" i="106"/>
  <c r="B3236" i="106"/>
  <c r="D3236" i="106"/>
  <c r="B3237" i="106"/>
  <c r="D3237" i="106"/>
  <c r="D3240" i="106"/>
  <c r="D3241" i="106"/>
  <c r="D3242" i="106"/>
  <c r="D3243" i="106"/>
  <c r="D3244" i="106"/>
  <c r="D3245" i="106"/>
  <c r="D3246" i="106"/>
  <c r="D3247" i="106"/>
  <c r="D3248" i="106"/>
  <c r="D3249" i="106"/>
  <c r="D3250" i="106"/>
  <c r="B3251" i="106"/>
  <c r="D3251" i="106"/>
  <c r="B3252" i="106"/>
  <c r="D3252" i="106"/>
  <c r="B3253" i="106"/>
  <c r="D3253" i="106"/>
  <c r="B3254" i="106"/>
  <c r="D3254" i="106"/>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B3449" i="106"/>
  <c r="D3449" i="106"/>
  <c r="B3450" i="106"/>
  <c r="D3450" i="106"/>
  <c r="B3451" i="106"/>
  <c r="D3451" i="106"/>
  <c r="B3452" i="106"/>
  <c r="D3452" i="106"/>
  <c r="B3453" i="106"/>
  <c r="D3453" i="106"/>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K41" i="3"/>
  <c r="B3568" i="106"/>
  <c r="D3568"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B3619" i="106"/>
  <c r="D3619" i="106"/>
  <c r="B3620" i="106"/>
  <c r="D3620" i="106"/>
  <c r="B3621" i="106"/>
  <c r="D3621" i="106"/>
  <c r="D3623" i="106"/>
  <c r="B3624" i="106"/>
  <c r="D3624" i="106"/>
  <c r="B3625" i="106"/>
  <c r="D3625" i="106"/>
  <c r="B3626" i="106"/>
  <c r="D3626" i="106"/>
  <c r="B3627" i="106"/>
  <c r="D3627" i="106"/>
  <c r="D3630" i="106"/>
  <c r="B3631" i="106"/>
  <c r="D3631" i="106"/>
  <c r="B3632" i="106"/>
  <c r="D3632" i="106"/>
  <c r="B3634" i="106"/>
  <c r="D3634" i="106"/>
  <c r="D3637" i="106"/>
  <c r="B3638" i="106"/>
  <c r="D3638" i="106"/>
  <c r="B3639" i="106"/>
  <c r="D3639" i="106"/>
  <c r="B3641" i="106"/>
  <c r="D3641" i="106"/>
  <c r="D3644" i="106"/>
  <c r="B3645" i="106"/>
  <c r="D3645" i="106"/>
  <c r="B3646" i="106"/>
  <c r="D3646" i="106"/>
  <c r="B3647" i="106"/>
  <c r="D3647" i="106"/>
  <c r="B3648" i="106"/>
  <c r="D3648" i="106"/>
  <c r="B3649" i="106"/>
  <c r="D3649" i="106"/>
  <c r="D3651" i="106"/>
  <c r="B3652" i="106"/>
  <c r="D3652" i="106"/>
  <c r="B3653" i="106"/>
  <c r="D3653" i="106"/>
  <c r="H350" i="29"/>
  <c r="B3654" i="106"/>
  <c r="D3654" i="106"/>
  <c r="B3655" i="106"/>
  <c r="D3655" i="106"/>
  <c r="B3657" i="106"/>
  <c r="D3657" i="106"/>
  <c r="H362" i="29"/>
  <c r="B3658" i="106"/>
  <c r="D3658" i="106"/>
  <c r="D3659" i="106"/>
  <c r="H365" i="29"/>
  <c r="H352" i="29"/>
  <c r="H367" i="29"/>
  <c r="D3661" i="106"/>
  <c r="D3662" i="106"/>
  <c r="D3663" i="106"/>
  <c r="D3664" i="106"/>
  <c r="D3665" i="106"/>
  <c r="D3666" i="106"/>
  <c r="D3667" i="106"/>
  <c r="K348" i="29"/>
  <c r="B3668" i="106"/>
  <c r="D3668" i="106"/>
  <c r="K349" i="29"/>
  <c r="B3669" i="106"/>
  <c r="D3669" i="106"/>
  <c r="K350" i="29"/>
  <c r="B3670" i="106"/>
  <c r="D3670" i="106"/>
  <c r="K351" i="29"/>
  <c r="B3671" i="106"/>
  <c r="D3671" i="106"/>
  <c r="K352" i="29"/>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B4108" i="106"/>
  <c r="D4108" i="106"/>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8" i="106"/>
  <c r="D7068" i="106"/>
  <c r="B7069" i="106"/>
  <c r="D7069" i="106"/>
  <c r="B7070" i="106"/>
  <c r="D7070" i="106"/>
  <c r="B7071" i="106"/>
  <c r="D7071" i="106"/>
  <c r="J210" i="29"/>
  <c r="B7072" i="106"/>
  <c r="D7072"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B7203" i="106"/>
  <c r="D7203" i="106"/>
  <c r="H330" i="29"/>
  <c r="B7204" i="106"/>
  <c r="D7204" i="106"/>
  <c r="B7205" i="106"/>
  <c r="D7205" i="106"/>
  <c r="J330" i="29"/>
  <c r="B7206" i="106"/>
  <c r="D7206" i="106"/>
  <c r="B7696" i="106"/>
  <c r="B7208" i="106"/>
  <c r="D7208" i="106"/>
  <c r="B7209" i="106"/>
  <c r="D7209" i="106"/>
  <c r="B7210" i="106"/>
  <c r="D7210" i="106"/>
  <c r="B7212" i="106"/>
  <c r="D7212" i="106"/>
  <c r="B7213" i="106"/>
  <c r="D7213" i="106"/>
  <c r="H340" i="29"/>
  <c r="H342" i="29"/>
  <c r="C342" i="29"/>
  <c r="B7216" i="106"/>
  <c r="D7216" i="106"/>
  <c r="I342" i="29"/>
  <c r="B7222" i="106"/>
  <c r="D7222" i="106"/>
  <c r="B7226" i="106"/>
  <c r="D7226" i="106"/>
  <c r="B7227" i="106"/>
  <c r="D7227" i="106"/>
  <c r="B7228" i="106"/>
  <c r="D7228" i="106"/>
  <c r="B7229" i="106"/>
  <c r="D7229" i="106"/>
  <c r="B7231" i="106"/>
  <c r="D7231" i="106"/>
  <c r="B7232" i="106"/>
  <c r="D7232" i="106"/>
  <c r="B7233" i="106"/>
  <c r="D7233" i="106"/>
  <c r="B7235" i="106"/>
  <c r="D7235" i="106"/>
  <c r="B7236" i="106"/>
  <c r="D7236" i="106"/>
  <c r="B7237" i="106"/>
  <c r="D7237" i="106"/>
  <c r="B7238" i="106"/>
  <c r="D7238" i="106"/>
  <c r="B7239" i="106"/>
  <c r="D7239" i="106"/>
  <c r="B7240" i="106"/>
  <c r="D7240" i="106"/>
  <c r="B7241" i="106"/>
  <c r="D7241" i="106"/>
  <c r="B7242" i="106"/>
  <c r="D7242" i="106"/>
  <c r="A7245" i="106"/>
  <c r="A7246" i="106"/>
  <c r="A7247" i="106"/>
  <c r="A7248" i="106"/>
  <c r="A7249" i="106"/>
  <c r="B7245" i="106"/>
  <c r="D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D7696"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3" i="106"/>
  <c r="D7734" i="106"/>
  <c r="B7735" i="106"/>
  <c r="D7735" i="106"/>
  <c r="B7736" i="106"/>
  <c r="D7736" i="106"/>
  <c r="B7737" i="106"/>
  <c r="D7737" i="106"/>
  <c r="B7738" i="106"/>
  <c r="D7738" i="106"/>
  <c r="I26" i="12"/>
  <c r="B7741" i="106"/>
  <c r="D7741" i="106"/>
  <c r="K26" i="12"/>
  <c r="B7743" i="106"/>
  <c r="D7743"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F26" i="108"/>
  <c r="D27" i="108"/>
  <c r="F27" i="108"/>
  <c r="F28" i="108"/>
  <c r="F31" i="108"/>
  <c r="F36" i="108"/>
  <c r="F37" i="108"/>
  <c r="D31" i="108"/>
  <c r="D36" i="108"/>
  <c r="D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12" i="29"/>
  <c r="L330" i="29"/>
  <c r="L340" i="29"/>
  <c r="L342" i="29"/>
  <c r="B5066" i="106"/>
  <c r="D5066" i="106"/>
  <c r="B5334" i="106"/>
  <c r="D5334" i="106"/>
  <c r="E12" i="5"/>
  <c r="B5513" i="106"/>
  <c r="D5513" i="106"/>
  <c r="B5557" i="106"/>
  <c r="D5557" i="106"/>
  <c r="G12" i="5"/>
  <c r="B5725" i="106"/>
  <c r="D5725" i="106"/>
  <c r="H12" i="5"/>
  <c r="B5873" i="106"/>
  <c r="D5873" i="106"/>
  <c r="B5918" i="106"/>
  <c r="D5918" i="106"/>
  <c r="J12" i="5"/>
  <c r="B6301" i="106"/>
  <c r="D6301" i="106"/>
  <c r="K12" i="5"/>
  <c r="B5987" i="106"/>
  <c r="D5987" i="106"/>
  <c r="B5071" i="106"/>
  <c r="D5071" i="106"/>
  <c r="B5339" i="106"/>
  <c r="D5339" i="106"/>
  <c r="E18" i="5"/>
  <c r="B5518" i="106"/>
  <c r="D5518" i="106"/>
  <c r="B5562" i="106"/>
  <c r="D5562" i="106"/>
  <c r="G18" i="5"/>
  <c r="B5730" i="106"/>
  <c r="D5730" i="106"/>
  <c r="H18" i="5"/>
  <c r="B5878" i="106"/>
  <c r="D5878" i="106"/>
  <c r="B5923" i="106"/>
  <c r="D5923" i="106"/>
  <c r="J18" i="5"/>
  <c r="B6306" i="106"/>
  <c r="D6306" i="106"/>
  <c r="K18" i="5"/>
  <c r="B5992" i="106"/>
  <c r="D5992" i="106"/>
  <c r="B5087" i="106"/>
  <c r="D5087" i="106"/>
  <c r="B5579" i="106"/>
  <c r="D5579" i="106"/>
  <c r="B5090" i="106"/>
  <c r="D5090" i="106"/>
  <c r="B5342" i="106"/>
  <c r="D5342" i="106"/>
  <c r="E67" i="5"/>
  <c r="B5521" i="106"/>
  <c r="D5521" i="106"/>
  <c r="B5582" i="106"/>
  <c r="D5582" i="106"/>
  <c r="G67" i="5"/>
  <c r="B5733" i="106"/>
  <c r="D5733" i="106"/>
  <c r="H67" i="5"/>
  <c r="B5881" i="106"/>
  <c r="D5881" i="106"/>
  <c r="B5926" i="106"/>
  <c r="D5926" i="106"/>
  <c r="J67" i="5"/>
  <c r="B6318" i="106"/>
  <c r="D6318" i="106"/>
  <c r="K67" i="5"/>
  <c r="B5995" i="106"/>
  <c r="D5995" i="106"/>
  <c r="B5096" i="106"/>
  <c r="D5096" i="106"/>
  <c r="B5102" i="106"/>
  <c r="D5102" i="106"/>
  <c r="B5348" i="106"/>
  <c r="D5348" i="106"/>
  <c r="B5112" i="106"/>
  <c r="D5112" i="106"/>
  <c r="B5120" i="106"/>
  <c r="D5120" i="106"/>
  <c r="B5355" i="106"/>
  <c r="D5355" i="106"/>
  <c r="E108" i="5"/>
  <c r="B5526" i="106"/>
  <c r="D5526" i="106"/>
  <c r="B5587" i="106"/>
  <c r="D5587" i="106"/>
  <c r="G108" i="5"/>
  <c r="B5737" i="106"/>
  <c r="D5737" i="106"/>
  <c r="H108" i="5"/>
  <c r="B5886" i="106"/>
  <c r="D5886" i="106"/>
  <c r="B5930" i="106"/>
  <c r="D5930" i="106"/>
  <c r="J108" i="5"/>
  <c r="B6351" i="106"/>
  <c r="D6351" i="106"/>
  <c r="K108" i="5"/>
  <c r="B5999" i="106"/>
  <c r="D5999" i="106"/>
  <c r="B5121" i="106"/>
  <c r="D5121" i="106"/>
  <c r="E109" i="5"/>
  <c r="G109" i="5"/>
  <c r="B6024" i="106"/>
  <c r="D6024" i="106"/>
  <c r="B5125" i="106"/>
  <c r="D5125" i="106"/>
  <c r="B5360" i="106"/>
  <c r="D5360" i="106"/>
  <c r="B5592" i="106"/>
  <c r="D5592" i="106"/>
  <c r="G114" i="5"/>
  <c r="B5741" i="106"/>
  <c r="D5741" i="106"/>
  <c r="B5132" i="106"/>
  <c r="D5132" i="106"/>
  <c r="B5367" i="106"/>
  <c r="D5367" i="106"/>
  <c r="E121" i="5"/>
  <c r="B5534" i="106"/>
  <c r="D5534" i="106"/>
  <c r="B5644" i="106"/>
  <c r="D5644" i="106"/>
  <c r="G121" i="5"/>
  <c r="B5748" i="106"/>
  <c r="D5748" i="106"/>
  <c r="H121" i="5"/>
  <c r="B5893" i="106"/>
  <c r="D5893" i="106"/>
  <c r="J121" i="5"/>
  <c r="B6357" i="106"/>
  <c r="D6357" i="106"/>
  <c r="K121" i="5"/>
  <c r="B6006" i="106"/>
  <c r="D6006" i="106"/>
  <c r="B5147" i="106"/>
  <c r="D5147" i="106"/>
  <c r="B5369" i="106"/>
  <c r="D5369" i="106"/>
  <c r="B5614" i="106"/>
  <c r="D5614" i="106"/>
  <c r="B5161" i="106"/>
  <c r="D5161" i="106"/>
  <c r="B5383" i="106"/>
  <c r="D5383" i="106"/>
  <c r="G140" i="5"/>
  <c r="G144" i="5"/>
  <c r="B5756" i="106"/>
  <c r="D5756" i="106"/>
  <c r="G154" i="5"/>
  <c r="G172" i="5"/>
  <c r="G173" i="5"/>
  <c r="B5778" i="106"/>
  <c r="D5778" i="106"/>
  <c r="B5165" i="106"/>
  <c r="D5165" i="106"/>
  <c r="B5178" i="106"/>
  <c r="D5178" i="106"/>
  <c r="B5394" i="106"/>
  <c r="D5394" i="106"/>
  <c r="B4357" i="106"/>
  <c r="D4357" i="106"/>
  <c r="E172" i="5"/>
  <c r="H172" i="5"/>
  <c r="B5899" i="106"/>
  <c r="D5899" i="106"/>
  <c r="B4363" i="106"/>
  <c r="D4363" i="106"/>
  <c r="J172" i="5"/>
  <c r="B6396" i="106"/>
  <c r="D6396" i="106"/>
  <c r="K172" i="5"/>
  <c r="B5000" i="106"/>
  <c r="D5000" i="106"/>
  <c r="B4216" i="106"/>
  <c r="D4216" i="106"/>
  <c r="K173" i="5"/>
  <c r="K6" i="4"/>
  <c r="B3570" i="106"/>
  <c r="D3570" i="106"/>
  <c r="B5225" i="106"/>
  <c r="D5225" i="106"/>
  <c r="B5423" i="106"/>
  <c r="D5423" i="106"/>
  <c r="B4372" i="106"/>
  <c r="D4372" i="106"/>
  <c r="B5655" i="106"/>
  <c r="D5655" i="106"/>
  <c r="B5780" i="106"/>
  <c r="D5780" i="106"/>
  <c r="B4373" i="106"/>
  <c r="D4373" i="106"/>
  <c r="B6400" i="106"/>
  <c r="D6400" i="106"/>
  <c r="B4951" i="106"/>
  <c r="D4951" i="106"/>
  <c r="B5232" i="106"/>
  <c r="D5232" i="106"/>
  <c r="B5425" i="106"/>
  <c r="D5425" i="106"/>
  <c r="B5658" i="106"/>
  <c r="D5658" i="106"/>
  <c r="B5784" i="106"/>
  <c r="D5784" i="106"/>
  <c r="B5908" i="106"/>
  <c r="D5908" i="106"/>
  <c r="B6016" i="106"/>
  <c r="D6016" i="106"/>
  <c r="B4395" i="106"/>
  <c r="D4395" i="106"/>
  <c r="B4396" i="106"/>
  <c r="D4396" i="106"/>
  <c r="B5246" i="106"/>
  <c r="D5246" i="106"/>
  <c r="B6409" i="106"/>
  <c r="D6409" i="106"/>
  <c r="B5260" i="106"/>
  <c r="D5260" i="106"/>
  <c r="B5444" i="106"/>
  <c r="D5444" i="106"/>
  <c r="B5677" i="106"/>
  <c r="D5677" i="106"/>
  <c r="B5803" i="106"/>
  <c r="D5803" i="106"/>
  <c r="B4411" i="106"/>
  <c r="D4411" i="106"/>
  <c r="B4412" i="106"/>
  <c r="D4412" i="106"/>
  <c r="B4413" i="106"/>
  <c r="D4413" i="106"/>
  <c r="B4414" i="106"/>
  <c r="D4414" i="106"/>
  <c r="B5286" i="106"/>
  <c r="D5286" i="106"/>
  <c r="B5470" i="106"/>
  <c r="D5470" i="106"/>
  <c r="B5703" i="106"/>
  <c r="D5703" i="106"/>
  <c r="B5829" i="106"/>
  <c r="D5829" i="106"/>
  <c r="B5304" i="106"/>
  <c r="D5304" i="106"/>
  <c r="B5488" i="106"/>
  <c r="D5488" i="106"/>
  <c r="B6837" i="106"/>
  <c r="D6837" i="106"/>
  <c r="B6833" i="106"/>
  <c r="D6833" i="106"/>
  <c r="B6834" i="106"/>
  <c r="D6834" i="106"/>
  <c r="B6836" i="106"/>
  <c r="D6836" i="106"/>
  <c r="B4441" i="106"/>
  <c r="D4441" i="106"/>
  <c r="B7054" i="106"/>
  <c r="D7054" i="106"/>
  <c r="B4442" i="106"/>
  <c r="D4442" i="106"/>
  <c r="B7041" i="106"/>
  <c r="D7041" i="106"/>
  <c r="E4" i="4"/>
  <c r="B2630" i="106"/>
  <c r="D2630" i="106"/>
  <c r="B3406" i="106"/>
  <c r="D3406" i="106"/>
  <c r="G5" i="4"/>
  <c r="B3409" i="106"/>
  <c r="D3409" i="106"/>
  <c r="G14" i="4"/>
  <c r="B2609" i="106"/>
  <c r="D2609" i="106"/>
  <c r="G15" i="4"/>
  <c r="B6032" i="106"/>
  <c r="D6032" i="106"/>
  <c r="B2596" i="106"/>
  <c r="D2596" i="106"/>
  <c r="K13" i="4"/>
  <c r="B3572" i="106"/>
  <c r="D3572" i="106"/>
  <c r="B2558" i="106"/>
  <c r="D2558" i="106"/>
  <c r="B2570" i="106"/>
  <c r="D2570" i="106"/>
  <c r="B2597" i="106"/>
  <c r="D2597" i="106"/>
  <c r="B2633" i="106"/>
  <c r="D2633" i="106"/>
  <c r="N22" i="3"/>
  <c r="B283" i="106"/>
  <c r="D283" i="106"/>
  <c r="D7" i="118"/>
  <c r="D8" i="118"/>
  <c r="D9" i="118"/>
  <c r="H14" i="118"/>
  <c r="H19" i="118"/>
  <c r="H24" i="118"/>
  <c r="H28" i="118"/>
  <c r="H29" i="118"/>
  <c r="K28" i="118"/>
  <c r="O27" i="118"/>
  <c r="O29" i="118"/>
  <c r="H33" i="118"/>
  <c r="D11" i="37"/>
  <c r="D22" i="37"/>
  <c r="H22" i="37"/>
  <c r="J22" i="37"/>
  <c r="L22" i="37"/>
  <c r="D24" i="37"/>
  <c r="B4270" i="106"/>
  <c r="D4270" i="106"/>
  <c r="L5" i="11"/>
  <c r="B2056" i="106"/>
  <c r="D2056" i="106"/>
  <c r="D4" i="7"/>
  <c r="B1760" i="106"/>
  <c r="D1760" i="106"/>
  <c r="D5" i="7"/>
  <c r="B1761" i="106"/>
  <c r="D1761" i="106"/>
  <c r="D13" i="7"/>
  <c r="B3726" i="106"/>
  <c r="D3726" i="106"/>
  <c r="D9" i="7"/>
  <c r="B1767" i="106"/>
  <c r="D1767" i="106"/>
  <c r="B5770" i="106"/>
  <c r="D5770" i="106"/>
  <c r="F136" i="34"/>
  <c r="F131" i="34"/>
  <c r="F130" i="34"/>
  <c r="F128" i="34"/>
  <c r="F127" i="34"/>
  <c r="F111" i="34"/>
  <c r="B5847" i="106"/>
  <c r="D5847" i="106"/>
  <c r="B5752" i="106"/>
  <c r="D5752" i="106"/>
  <c r="B5599" i="106"/>
  <c r="D5599" i="106"/>
  <c r="G4" i="4"/>
  <c r="B2603" i="106"/>
  <c r="D2603" i="106"/>
  <c r="H173" i="5"/>
  <c r="B5906" i="106"/>
  <c r="D5906" i="106"/>
  <c r="B5214" i="106"/>
  <c r="D5214" i="106"/>
  <c r="H109" i="5"/>
  <c r="B6025" i="106"/>
  <c r="D6025" i="106"/>
  <c r="B5356" i="106"/>
  <c r="D5356" i="106"/>
  <c r="F106" i="34"/>
  <c r="D7" i="7"/>
  <c r="B1763" i="106"/>
  <c r="D1763" i="106"/>
  <c r="H4" i="4"/>
  <c r="B2564" i="106"/>
  <c r="D2564" i="106"/>
  <c r="B5223" i="106"/>
  <c r="D5223" i="106"/>
  <c r="H6" i="4"/>
  <c r="B2656" i="106"/>
  <c r="D2656" i="106"/>
  <c r="B2655" i="106"/>
  <c r="D2655" i="106"/>
  <c r="B1746" i="106"/>
  <c r="D1746" i="106"/>
  <c r="D17" i="7"/>
  <c r="B4104" i="106"/>
  <c r="D4104" i="106"/>
  <c r="D12" i="7"/>
  <c r="B1769" i="106"/>
  <c r="D1769" i="106"/>
  <c r="D11" i="7"/>
  <c r="B1768" i="106"/>
  <c r="D1768" i="106"/>
  <c r="D15" i="7"/>
  <c r="B1772" i="106"/>
  <c r="D1772" i="106"/>
  <c r="C41" i="3"/>
  <c r="B93" i="106"/>
  <c r="D93" i="106"/>
  <c r="H295" i="29"/>
  <c r="B1454" i="106"/>
  <c r="D1454" i="106"/>
  <c r="B4156" i="106"/>
  <c r="D4156" i="106"/>
  <c r="H172" i="29"/>
  <c r="H174" i="29"/>
  <c r="B2823" i="106"/>
  <c r="D2823" i="106"/>
  <c r="J90" i="28"/>
  <c r="B3656" i="106"/>
  <c r="D3656" i="106"/>
  <c r="B3724" i="106"/>
  <c r="D3724" i="106"/>
  <c r="E102" i="29"/>
  <c r="B2790" i="106"/>
  <c r="D2790" i="106"/>
  <c r="J342" i="29"/>
  <c r="B7223" i="106"/>
  <c r="D7223" i="106"/>
  <c r="G342" i="29"/>
  <c r="B7220" i="106"/>
  <c r="D7220" i="106"/>
  <c r="B79" i="36"/>
  <c r="B77" i="36"/>
  <c r="D18" i="7"/>
  <c r="B4105" i="106"/>
  <c r="D4105" i="106"/>
  <c r="B2553" i="106"/>
  <c r="D2553" i="106"/>
  <c r="B3718" i="106"/>
  <c r="D3718" i="106"/>
  <c r="F105" i="34"/>
  <c r="F107" i="34"/>
  <c r="J109" i="5"/>
  <c r="J173" i="5"/>
  <c r="B2551" i="106"/>
  <c r="D2551" i="106"/>
  <c r="B5011" i="106"/>
  <c r="D5011" i="106"/>
  <c r="B6014" i="106"/>
  <c r="D6014" i="106"/>
  <c r="F95" i="34"/>
  <c r="F129" i="34"/>
  <c r="D14" i="7"/>
  <c r="B1770" i="106"/>
  <c r="D1770" i="106"/>
  <c r="N23" i="3"/>
  <c r="B284" i="106"/>
  <c r="D284" i="106"/>
  <c r="B3408" i="106"/>
  <c r="D3408" i="106"/>
  <c r="B3405" i="106"/>
  <c r="D3405" i="106"/>
  <c r="B6840" i="106"/>
  <c r="D6840" i="106"/>
  <c r="B6839" i="106"/>
  <c r="D6839" i="106"/>
  <c r="B6838" i="106"/>
  <c r="D6838" i="106"/>
  <c r="B5412" i="106"/>
  <c r="D5412" i="106"/>
  <c r="B5618" i="106"/>
  <c r="D5618" i="106"/>
  <c r="K109" i="5"/>
  <c r="F16" i="11"/>
  <c r="B7200" i="106"/>
  <c r="D7200" i="106"/>
  <c r="D342" i="29"/>
  <c r="B7217" i="106"/>
  <c r="D7217" i="106"/>
  <c r="B7144" i="106"/>
  <c r="D7144" i="106"/>
  <c r="B6901" i="106"/>
  <c r="D6901" i="106"/>
  <c r="B6885" i="106"/>
  <c r="D6885" i="106"/>
  <c r="B7211" i="106"/>
  <c r="D7211" i="106"/>
  <c r="B6893" i="106"/>
  <c r="D6893" i="106"/>
  <c r="B6877" i="106"/>
  <c r="D6877" i="106"/>
  <c r="B6216" i="106"/>
  <c r="D6216" i="106"/>
  <c r="D51" i="36"/>
  <c r="B3703" i="106"/>
  <c r="D3703" i="106"/>
  <c r="K362" i="29"/>
  <c r="B3676" i="106"/>
  <c r="D3676" i="106"/>
  <c r="B3660" i="106"/>
  <c r="D3660" i="106"/>
  <c r="B3650" i="106"/>
  <c r="D3650" i="106"/>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5653" i="106"/>
  <c r="D5653" i="106"/>
  <c r="B2593" i="106"/>
  <c r="D2593" i="106"/>
  <c r="B4435" i="106"/>
  <c r="D4435" i="106"/>
  <c r="B4444" i="106"/>
  <c r="D4444" i="106"/>
  <c r="B5713" i="106"/>
  <c r="D5713" i="106"/>
  <c r="B4397" i="106"/>
  <c r="D4397" i="106"/>
  <c r="B4950" i="106"/>
  <c r="D4950" i="106"/>
  <c r="L210" i="29"/>
  <c r="L102" i="29"/>
  <c r="B1121" i="106"/>
  <c r="D1121" i="106"/>
  <c r="E12" i="145"/>
  <c r="B731" i="106"/>
  <c r="D731" i="106"/>
  <c r="C74" i="29"/>
  <c r="B755" i="106"/>
  <c r="D755" i="106"/>
  <c r="B1116" i="106"/>
  <c r="D1116" i="106"/>
  <c r="F161" i="34"/>
  <c r="F41" i="108"/>
  <c r="G43" i="108"/>
  <c r="D41" i="108"/>
  <c r="E43" i="108"/>
  <c r="B7600" i="106"/>
  <c r="L6" i="11"/>
  <c r="B7605" i="106"/>
  <c r="A7250" i="106"/>
  <c r="A7251" i="106"/>
  <c r="A7252" i="106"/>
  <c r="A7253" i="106"/>
  <c r="A7254" i="106"/>
  <c r="A7255" i="106"/>
  <c r="A7256" i="106"/>
  <c r="A7257" i="106"/>
  <c r="D7249" i="106"/>
  <c r="G6" i="4"/>
  <c r="B2604" i="106"/>
  <c r="D2604" i="106"/>
  <c r="B6022" i="106"/>
  <c r="D6022" i="106"/>
  <c r="D44" i="36"/>
  <c r="B6835" i="106"/>
  <c r="D6835" i="106"/>
  <c r="B4398" i="106"/>
  <c r="D4398" i="106"/>
  <c r="B5537" i="106"/>
  <c r="D5537" i="106"/>
  <c r="E173" i="5"/>
  <c r="B5527" i="106"/>
  <c r="D5527" i="106"/>
  <c r="L279" i="29"/>
  <c r="L295" i="29"/>
  <c r="L74" i="29"/>
  <c r="L114" i="29"/>
  <c r="B720" i="106"/>
  <c r="D720" i="106"/>
  <c r="C114" i="29"/>
  <c r="B757" i="106"/>
  <c r="D757" i="106"/>
  <c r="B2031" i="106"/>
  <c r="D2031" i="106"/>
  <c r="L16" i="11"/>
  <c r="B2061" i="106"/>
  <c r="D2061" i="106"/>
  <c r="B7618" i="106"/>
  <c r="L14" i="11"/>
  <c r="B7623" i="106"/>
  <c r="D7252" i="106"/>
  <c r="D7250" i="106"/>
  <c r="B7230" i="106"/>
  <c r="D7230" i="106"/>
  <c r="B7215" i="106"/>
  <c r="D7215" i="106"/>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B5501" i="106"/>
  <c r="D5501" i="106"/>
  <c r="D7256" i="106"/>
  <c r="D7255" i="106"/>
  <c r="D7254" i="106"/>
  <c r="D7248" i="106"/>
  <c r="D7247" i="106"/>
  <c r="D7246" i="106"/>
  <c r="J312" i="29"/>
  <c r="B7117" i="106"/>
  <c r="D7117" i="106"/>
  <c r="I312" i="29"/>
  <c r="B7116" i="106"/>
  <c r="D7116" i="106"/>
  <c r="J151" i="29"/>
  <c r="B7052" i="106"/>
  <c r="D7052" i="106"/>
  <c r="B6916" i="106"/>
  <c r="D6916" i="106"/>
  <c r="I49" i="8"/>
  <c r="B3672" i="106"/>
  <c r="D3672" i="106"/>
  <c r="B3633" i="106"/>
  <c r="D3633" i="106"/>
  <c r="B3628" i="106"/>
  <c r="D3628" i="106"/>
  <c r="B3629" i="106"/>
  <c r="D3629" i="106"/>
  <c r="E44" i="4"/>
  <c r="B3235" i="106"/>
  <c r="D3235" i="106"/>
  <c r="B3238" i="106"/>
  <c r="D3238" i="106"/>
  <c r="B3229" i="106"/>
  <c r="D3229" i="106"/>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7" i="106"/>
  <c r="D1317" i="106"/>
  <c r="B1318" i="106"/>
  <c r="D1318" i="106"/>
  <c r="B1127" i="106"/>
  <c r="D1127" i="106"/>
  <c r="B1133" i="106"/>
  <c r="D1133" i="106"/>
  <c r="B1123" i="106"/>
  <c r="D1123" i="106"/>
  <c r="K365" i="29"/>
  <c r="K367" i="29"/>
  <c r="B3640" i="106"/>
  <c r="D3640" i="106"/>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H196" i="29"/>
  <c r="B2828" i="106"/>
  <c r="D2828" i="106"/>
  <c r="B1328" i="106"/>
  <c r="D1328" i="106"/>
  <c r="B2986" i="106"/>
  <c r="D2986" i="106"/>
  <c r="B1256" i="106"/>
  <c r="D1256" i="106"/>
  <c r="B7013" i="106"/>
  <c r="D7013" i="106"/>
  <c r="B2088" i="106"/>
  <c r="D2088" i="106"/>
  <c r="B1135" i="106"/>
  <c r="D1135" i="106"/>
  <c r="B1141" i="106"/>
  <c r="D1141" i="106"/>
  <c r="B1021" i="106"/>
  <c r="D1021" i="106"/>
  <c r="H74" i="29"/>
  <c r="B847" i="106"/>
  <c r="D847" i="106"/>
  <c r="E74" i="29"/>
  <c r="B1144" i="106"/>
  <c r="D1144" i="106"/>
  <c r="B1358" i="106"/>
  <c r="D1358" i="106"/>
  <c r="F210" i="29"/>
  <c r="B1359" i="106"/>
  <c r="D1359" i="106"/>
  <c r="B1345" i="106"/>
  <c r="D1345" i="106"/>
  <c r="D210" i="29"/>
  <c r="B1346" i="106"/>
  <c r="D1346" i="106"/>
  <c r="B1283" i="106"/>
  <c r="D1283" i="106"/>
  <c r="B1275" i="106"/>
  <c r="D1275" i="106"/>
  <c r="B1279" i="106"/>
  <c r="D1279" i="106"/>
  <c r="B1266" i="106"/>
  <c r="D1266" i="106"/>
  <c r="H151" i="29"/>
  <c r="B1273" i="106"/>
  <c r="D1273"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L151" i="29"/>
  <c r="J24" i="12"/>
  <c r="B7730" i="106"/>
  <c r="D7730" i="106"/>
  <c r="H275" i="5"/>
  <c r="B5914" i="106"/>
  <c r="D5914" i="106"/>
  <c r="F275" i="5"/>
  <c r="B2657" i="106"/>
  <c r="D2657" i="106"/>
  <c r="H8" i="4"/>
  <c r="B3447" i="106"/>
  <c r="D3447" i="106"/>
  <c r="D19" i="7"/>
  <c r="B1775" i="106"/>
  <c r="D1775" i="106"/>
  <c r="B7270" i="106"/>
  <c r="B7760" i="106"/>
  <c r="D7760" i="106"/>
  <c r="D24" i="36"/>
  <c r="F178" i="34"/>
  <c r="B171" i="106"/>
  <c r="D171" i="106"/>
  <c r="D47" i="36"/>
  <c r="B1515" i="106"/>
  <c r="D1515" i="106"/>
  <c r="G16" i="4"/>
  <c r="B2611" i="106"/>
  <c r="D2611" i="106"/>
  <c r="B2913" i="106"/>
  <c r="D2913" i="106"/>
  <c r="D50" i="36"/>
  <c r="B3318" i="106"/>
  <c r="D3318" i="106"/>
  <c r="B3319" i="106"/>
  <c r="D3319" i="106"/>
  <c r="B3674" i="106"/>
  <c r="D3674" i="106"/>
  <c r="B3573" i="106"/>
  <c r="D3573" i="106"/>
  <c r="K4" i="4"/>
  <c r="B6028" i="106"/>
  <c r="D6028" i="106"/>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B929" i="106"/>
  <c r="D929" i="106"/>
  <c r="F114" i="29"/>
  <c r="B931" i="106"/>
  <c r="D931" i="106"/>
  <c r="B987" i="106"/>
  <c r="D987" i="106"/>
  <c r="B1115" i="106"/>
  <c r="D1115" i="106"/>
  <c r="D151" i="29"/>
  <c r="B1234" i="106"/>
  <c r="D1234" i="106"/>
  <c r="B1233" i="106"/>
  <c r="D1233" i="106"/>
  <c r="F151" i="29"/>
  <c r="B1250" i="106"/>
  <c r="D1250" i="106"/>
  <c r="B1249" i="106"/>
  <c r="D1249" i="106"/>
  <c r="B7048" i="106"/>
  <c r="D7048" i="106"/>
  <c r="B2837" i="106"/>
  <c r="D2837" i="106"/>
  <c r="B1145" i="106"/>
  <c r="D1145" i="106"/>
  <c r="B1258" i="106"/>
  <c r="D1258" i="106"/>
  <c r="B1331" i="106"/>
  <c r="D1331" i="106"/>
  <c r="E16" i="4"/>
  <c r="B1446" i="106"/>
  <c r="D1446" i="106"/>
  <c r="B1448" i="106"/>
  <c r="D1448" i="106"/>
  <c r="B1125" i="106"/>
  <c r="D1125" i="106"/>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7051" i="106"/>
  <c r="D7051" i="106"/>
  <c r="B6026" i="106"/>
  <c r="D6026" i="106"/>
  <c r="I275" i="5"/>
  <c r="B5946" i="106"/>
  <c r="D5946" i="106"/>
  <c r="B5863" i="106"/>
  <c r="D5863" i="106"/>
  <c r="B7747" i="106"/>
  <c r="D7747" i="106"/>
  <c r="J17" i="4"/>
  <c r="A7258" i="106"/>
  <c r="D7257" i="106"/>
  <c r="B1122" i="106"/>
  <c r="D1122" i="106"/>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K16" i="4"/>
  <c r="B7243" i="106"/>
  <c r="D7243" i="106"/>
  <c r="B1481" i="106"/>
  <c r="D1481" i="106"/>
  <c r="B2102" i="106"/>
  <c r="D2102" i="106"/>
  <c r="H15" i="4"/>
  <c r="B2660" i="106"/>
  <c r="D2660" i="106"/>
  <c r="B3636" i="106"/>
  <c r="D3636" i="106"/>
  <c r="B3635" i="106"/>
  <c r="D3635" i="106"/>
  <c r="B4171" i="106"/>
  <c r="D4171" i="106"/>
  <c r="N36" i="3"/>
  <c r="J114" i="29"/>
  <c r="B7021" i="106"/>
  <c r="D7021" i="106"/>
  <c r="B6978" i="106"/>
  <c r="D6978" i="106"/>
  <c r="B7224" i="106"/>
  <c r="D7224" i="106"/>
  <c r="B7244" i="106"/>
  <c r="D7244" i="106"/>
  <c r="B7234" i="106"/>
  <c r="D7234" i="106"/>
  <c r="B1108" i="106"/>
  <c r="D1108" i="106"/>
  <c r="B5544" i="106"/>
  <c r="D5544" i="106"/>
  <c r="E6" i="4"/>
  <c r="B5719" i="106"/>
  <c r="D5719" i="106"/>
  <c r="B2594" i="106"/>
  <c r="D2594" i="106"/>
  <c r="B1119" i="106"/>
  <c r="D1119" i="106"/>
  <c r="G12" i="145"/>
  <c r="G19" i="145"/>
  <c r="J20" i="145"/>
  <c r="E19" i="145"/>
  <c r="B5915" i="106"/>
  <c r="D5915" i="106"/>
  <c r="B5720" i="106"/>
  <c r="D5720" i="106"/>
  <c r="B6222" i="106"/>
  <c r="D6222" i="106"/>
  <c r="J8" i="4"/>
  <c r="B2658" i="106"/>
  <c r="D2658" i="106"/>
  <c r="H10" i="4"/>
  <c r="B4127" i="106"/>
  <c r="D4127" i="106"/>
  <c r="D275" i="5"/>
  <c r="B5507" i="106"/>
  <c r="D5507" i="106"/>
  <c r="B7298" i="106"/>
  <c r="B7299" i="106"/>
  <c r="K313" i="29"/>
  <c r="B1561" i="106"/>
  <c r="D1561" i="106"/>
  <c r="B1152" i="106"/>
  <c r="D1152" i="106"/>
  <c r="B2559" i="106"/>
  <c r="D2559" i="106"/>
  <c r="B7055" i="106"/>
  <c r="D7055" i="106"/>
  <c r="K343" i="29"/>
  <c r="B7225" i="106"/>
  <c r="D7225" i="106"/>
  <c r="B7019" i="106"/>
  <c r="D7019" i="106"/>
  <c r="B2560" i="106"/>
  <c r="D2560" i="106"/>
  <c r="B5421" i="106"/>
  <c r="D5421" i="106"/>
  <c r="B2566" i="106"/>
  <c r="D2566" i="106"/>
  <c r="B3569" i="106"/>
  <c r="D3569" i="106"/>
  <c r="K8" i="4"/>
  <c r="B2631" i="106"/>
  <c r="D2631" i="106"/>
  <c r="B2556" i="106"/>
  <c r="D2556" i="106"/>
  <c r="A7259" i="106"/>
  <c r="D7258" i="106"/>
  <c r="B4434" i="106"/>
  <c r="D4434" i="106"/>
  <c r="B4443" i="106"/>
  <c r="D4443" i="106"/>
  <c r="E275" i="5"/>
  <c r="B1281" i="106"/>
  <c r="D1281" i="106"/>
  <c r="B2634" i="106"/>
  <c r="D2634" i="106"/>
  <c r="E17" i="4"/>
  <c r="B1332" i="106"/>
  <c r="D1332" i="106"/>
  <c r="B1259" i="106"/>
  <c r="D1259" i="106"/>
  <c r="B989" i="106"/>
  <c r="D989" i="106"/>
  <c r="C275" i="5"/>
  <c r="B5326" i="106"/>
  <c r="D5326" i="106"/>
  <c r="D19" i="171"/>
  <c r="D32" i="171"/>
  <c r="D49" i="171"/>
  <c r="F10" i="4"/>
  <c r="B4125" i="106"/>
  <c r="D4125" i="106"/>
  <c r="B2595" i="106"/>
  <c r="D2595" i="106"/>
  <c r="G44" i="108"/>
  <c r="G45" i="108"/>
  <c r="E44" i="108"/>
  <c r="E45" i="108"/>
  <c r="H37" i="37"/>
  <c r="B285" i="106"/>
  <c r="D285" i="106"/>
  <c r="N37" i="3"/>
  <c r="B3678" i="106"/>
  <c r="D3678" i="106"/>
  <c r="K368" i="29"/>
  <c r="B3681" i="106"/>
  <c r="D3681" i="106"/>
  <c r="B1510" i="106"/>
  <c r="D1510" i="106"/>
  <c r="G13" i="4"/>
  <c r="K17" i="4"/>
  <c r="B3574" i="106"/>
  <c r="D3574" i="106"/>
  <c r="B1282" i="106"/>
  <c r="D1282" i="106"/>
  <c r="B2571" i="106"/>
  <c r="D2571" i="106"/>
  <c r="J19" i="4"/>
  <c r="B6229" i="106"/>
  <c r="D6229" i="106"/>
  <c r="B6227" i="106"/>
  <c r="D6227" i="106"/>
  <c r="B5869" i="106"/>
  <c r="D5869" i="106"/>
  <c r="G275" i="5"/>
  <c r="B3225" i="106"/>
  <c r="D3225" i="106"/>
  <c r="B7020" i="106"/>
  <c r="D7020" i="106"/>
  <c r="F17" i="11"/>
  <c r="B2659" i="106"/>
  <c r="D2659" i="106"/>
  <c r="H17" i="4"/>
  <c r="B1387" i="106"/>
  <c r="D1387" i="106"/>
  <c r="B2599" i="106"/>
  <c r="D2599" i="106"/>
  <c r="B1382" i="106"/>
  <c r="D1382" i="106"/>
  <c r="B1287" i="106"/>
  <c r="D1287" i="106"/>
  <c r="B2572" i="106"/>
  <c r="D2572" i="106"/>
  <c r="B1143" i="106"/>
  <c r="D1143" i="106"/>
  <c r="B2557" i="106"/>
  <c r="D2557" i="106"/>
  <c r="J20" i="4"/>
  <c r="J10" i="4"/>
  <c r="B6225" i="106"/>
  <c r="D6225" i="106"/>
  <c r="B6223" i="106"/>
  <c r="D6223" i="106"/>
  <c r="B5508" i="106"/>
  <c r="D5508" i="106"/>
  <c r="B2567" i="106"/>
  <c r="D2567" i="106"/>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B1288" i="106"/>
  <c r="D1288" i="106"/>
  <c r="B2598" i="106"/>
  <c r="D2598" i="106"/>
  <c r="B3226" i="106"/>
  <c r="D3226" i="106"/>
  <c r="E10" i="146"/>
  <c r="I10" i="4"/>
  <c r="B4128" i="106"/>
  <c r="D4128" i="106"/>
  <c r="G8" i="4"/>
  <c r="B2605" i="106"/>
  <c r="D2605" i="106"/>
  <c r="B2608" i="106"/>
  <c r="D2608" i="106"/>
  <c r="G17" i="4"/>
  <c r="B2554" i="106"/>
  <c r="D2554" i="106"/>
  <c r="H13" i="118"/>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F179" i="34"/>
  <c r="H18" i="118"/>
  <c r="C10" i="4"/>
  <c r="B4122" i="106"/>
  <c r="D4122" i="106"/>
  <c r="B2555" i="106"/>
  <c r="D2555" i="106"/>
  <c r="G10" i="4"/>
  <c r="B4126" i="106"/>
  <c r="D4126" i="106"/>
  <c r="G20" i="4"/>
  <c r="B2606" i="106"/>
  <c r="D2606" i="106"/>
  <c r="D16" i="37"/>
  <c r="E20" i="4"/>
  <c r="B2632" i="106"/>
  <c r="D2632" i="106"/>
  <c r="E10" i="4"/>
  <c r="B4124" i="106"/>
  <c r="D4124" i="106"/>
  <c r="A7261" i="106"/>
  <c r="D7260" i="106"/>
  <c r="G19" i="4"/>
  <c r="B4140" i="106"/>
  <c r="D4140" i="106"/>
  <c r="B2612" i="106"/>
  <c r="D2612" i="106"/>
  <c r="B2561" i="106"/>
  <c r="D2561" i="106"/>
  <c r="H17" i="118"/>
  <c r="H25" i="118"/>
  <c r="K24" i="118"/>
  <c r="O23" i="118"/>
  <c r="O25" i="118"/>
  <c r="F16" i="37"/>
  <c r="C19" i="4"/>
  <c r="B4136" i="106"/>
  <c r="D4136" i="106"/>
  <c r="B288" i="106"/>
  <c r="D288" i="106"/>
  <c r="D55" i="36"/>
  <c r="I18" i="11"/>
  <c r="B7625" i="106"/>
  <c r="H78" i="4"/>
  <c r="B2662" i="106"/>
  <c r="D2662" i="106"/>
  <c r="B3227" i="106"/>
  <c r="D3227" i="106"/>
  <c r="D10" i="146"/>
  <c r="F19" i="4"/>
  <c r="B4139" i="106"/>
  <c r="D4139" i="106"/>
  <c r="B2600" i="106"/>
  <c r="D2600" i="106"/>
  <c r="B2573" i="106"/>
  <c r="D2573" i="106"/>
  <c r="D19" i="4"/>
  <c r="B4137" i="106"/>
  <c r="D4137" i="106"/>
  <c r="C10" i="146"/>
  <c r="K78" i="4"/>
  <c r="B3576" i="106"/>
  <c r="D3576" i="106"/>
  <c r="J81" i="4"/>
  <c r="B6263" i="106"/>
  <c r="D6263" i="106"/>
  <c r="B2574" i="106"/>
  <c r="D2574" i="106"/>
  <c r="B3588" i="106"/>
  <c r="D3588" i="106"/>
  <c r="K81" i="4"/>
  <c r="B2601" i="106"/>
  <c r="D2601" i="106"/>
  <c r="B3320" i="106"/>
  <c r="D3320" i="106"/>
  <c r="K17" i="118"/>
  <c r="B3300" i="106"/>
  <c r="D3300" i="106"/>
  <c r="H81" i="4"/>
  <c r="B7631" i="106"/>
  <c r="F180" i="34"/>
  <c r="F181" i="34"/>
  <c r="F183" i="34"/>
  <c r="A7262" i="106"/>
  <c r="D7261" i="106"/>
  <c r="H16" i="37"/>
  <c r="G78" i="4"/>
  <c r="B2613" i="106"/>
  <c r="D2613" i="106"/>
  <c r="B2562" i="106"/>
  <c r="D2562" i="106"/>
  <c r="B10" i="146"/>
  <c r="E78" i="4"/>
  <c r="B2636" i="106"/>
  <c r="D2636" i="106"/>
  <c r="D64" i="36"/>
  <c r="J82" i="4"/>
  <c r="B6266" i="106"/>
  <c r="D6266" i="106"/>
  <c r="B3239" i="106"/>
  <c r="D3239" i="106"/>
  <c r="B3278" i="106"/>
  <c r="D3278" i="106"/>
  <c r="E81" i="4"/>
  <c r="B3233" i="106"/>
  <c r="D3233" i="106"/>
  <c r="A7263" i="106"/>
  <c r="D7262" i="106"/>
  <c r="B1700" i="106"/>
  <c r="D1700" i="106"/>
  <c r="H82" i="4"/>
  <c r="D62" i="36"/>
  <c r="J20" i="118"/>
  <c r="O16" i="118"/>
  <c r="K20" i="118"/>
  <c r="J16" i="37"/>
  <c r="B4269" i="106"/>
  <c r="D4269" i="106"/>
  <c r="B3256" i="106"/>
  <c r="D3256" i="106"/>
  <c r="G81" i="4"/>
  <c r="B3262" i="106"/>
  <c r="D3262" i="106"/>
  <c r="B3323" i="106"/>
  <c r="D3323" i="106"/>
  <c r="I82" i="4"/>
  <c r="D63" i="36"/>
  <c r="B3591" i="106"/>
  <c r="D3591" i="106"/>
  <c r="D65" i="36"/>
  <c r="K82" i="4"/>
  <c r="J83" i="4"/>
  <c r="B6283" i="106"/>
  <c r="D6283" i="106"/>
  <c r="B6274" i="106"/>
  <c r="D6274" i="106"/>
  <c r="D82" i="4"/>
  <c r="B1644" i="106"/>
  <c r="D1644" i="106"/>
  <c r="D58" i="36"/>
  <c r="H12" i="118"/>
  <c r="K12" i="118"/>
  <c r="O11" i="118"/>
  <c r="O13" i="118"/>
  <c r="O17" i="118"/>
  <c r="O20" i="118"/>
  <c r="B6275" i="106"/>
  <c r="D6275" i="106"/>
  <c r="K83" i="4"/>
  <c r="B6284" i="106"/>
  <c r="D6284" i="106"/>
  <c r="H83" i="4"/>
  <c r="B6281" i="106"/>
  <c r="D6281" i="106"/>
  <c r="B6272" i="106"/>
  <c r="D6272" i="106"/>
  <c r="C82" i="4"/>
  <c r="D57" i="36"/>
  <c r="B1630" i="106"/>
  <c r="D1630" i="106"/>
  <c r="E82" i="4"/>
  <c r="B1658" i="106"/>
  <c r="D1658" i="106"/>
  <c r="D59" i="36"/>
  <c r="I83" i="4"/>
  <c r="B6282" i="106"/>
  <c r="D6282" i="106"/>
  <c r="B6273" i="106"/>
  <c r="D6273" i="106"/>
  <c r="G82" i="4"/>
  <c r="D61" i="36"/>
  <c r="B1686" i="106"/>
  <c r="D1686" i="106"/>
  <c r="B1672" i="106"/>
  <c r="D1672" i="106"/>
  <c r="F82" i="4"/>
  <c r="D60" i="36"/>
  <c r="A7264" i="106"/>
  <c r="D7263" i="106"/>
  <c r="B6268" i="106"/>
  <c r="D6268" i="106"/>
  <c r="D83" i="4"/>
  <c r="B6277" i="106"/>
  <c r="D6277" i="106"/>
  <c r="O35" i="118"/>
  <c r="O37" i="118"/>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<sst xmlns="http://schemas.openxmlformats.org/spreadsheetml/2006/main" count="5125" uniqueCount="2151">
  <si>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</si>
  <si>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</si>
  <si>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</si>
  <si>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</si>
  <si>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</si>
  <si>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</si>
  <si>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</si>
  <si>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</si>
  <si>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</si>
  <si>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</si>
  <si>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</si>
  <si>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</si>
  <si>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</si>
  <si>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</si>
  <si>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</si>
  <si>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</si>
  <si>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</si>
  <si>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</si>
  <si>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</si>
  <si>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</si>
  <si>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</si>
  <si>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</si>
  <si>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</si>
  <si>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</si>
  <si>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</si>
  <si>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</si>
  <si>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</si>
  <si>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</si>
  <si>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</si>
  <si>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</si>
  <si>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</si>
  <si>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</si>
  <si>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</si>
  <si>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</si>
  <si>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</si>
  <si>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</si>
  <si>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</si>
  <si>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</si>
  <si>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</si>
  <si>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</si>
  <si>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</si>
  <si>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</si>
  <si>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</si>
  <si>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</si>
  <si>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</si>
  <si>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</si>
  <si>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</si>
  <si>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</si>
  <si>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</si>
  <si>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</si>
  <si>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</si>
  <si>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</si>
  <si>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</si>
  <si>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</si>
  <si>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</si>
  <si>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</si>
  <si>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</si>
  <si>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</si>
  <si>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</si>
  <si>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</si>
  <si>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</si>
  <si>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</si>
  <si>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</si>
  <si>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</si>
  <si>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</si>
  <si>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</si>
  <si>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</si>
  <si>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</si>
  <si>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</si>
  <si>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</si>
  <si>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</si>
  <si>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</si>
  <si>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</si>
  <si>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</si>
  <si>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</si>
  <si>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</si>
  <si>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</si>
  <si>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</si>
  <si>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</si>
  <si>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</si>
  <si>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</si>
  <si>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</si>
  <si>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</si>
  <si>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</si>
  <si>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</si>
  <si>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</si>
  <si>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</si>
  <si>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</si>
  <si>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</si>
  <si>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</si>
  <si>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</si>
  <si>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</si>
  <si>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</si>
  <si>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</si>
  <si>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</si>
  <si>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</si>
  <si>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</si>
  <si>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</si>
  <si>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</si>
  <si>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</si>
  <si>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</si>
  <si>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</si>
  <si>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</si>
  <si>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</si>
  <si>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</si>
  <si>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</si>
  <si>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</si>
  <si>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</si>
  <si>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</si>
  <si>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</si>
  <si>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</si>
  <si>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</si>
  <si>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</si>
  <si>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</si>
  <si>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</si>
  <si>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</si>
  <si>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</si>
  <si>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</si>
  <si>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</si>
  <si>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</si>
  <si>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</si>
  <si>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</si>
  <si>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</si>
  <si>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</si>
  <si>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</si>
  <si>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</si>
  <si>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</si>
  <si>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</si>
  <si>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</si>
  <si>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</si>
  <si>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</si>
  <si>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</si>
  <si>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</si>
  <si>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</si>
  <si>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</si>
  <si>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</si>
  <si>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</si>
  <si>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</si>
  <si>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</si>
  <si>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</si>
  <si>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</si>
  <si>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</si>
  <si>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</si>
  <si>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</si>
  <si>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</si>
  <si>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</si>
  <si>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</si>
  <si>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</si>
  <si>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</si>
  <si>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</si>
  <si>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</si>
  <si>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</si>
  <si>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</si>
  <si>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</si>
  <si>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</si>
  <si>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</si>
  <si>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</si>
  <si>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</si>
  <si>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</si>
  <si>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</si>
  <si>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</si>
  <si>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</si>
  <si>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</si>
  <si>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</si>
  <si>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</si>
  <si>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</si>
  <si>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</si>
  <si>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</si>
  <si>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</si>
  <si>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</si>
  <si>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</si>
  <si>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</si>
  <si>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</si>
  <si>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</si>
  <si>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</si>
  <si>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</si>
  <si>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</si>
  <si>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</si>
  <si>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</si>
  <si>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</si>
  <si>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</si>
  <si>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</si>
  <si>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</si>
  <si>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</si>
  <si>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</si>
  <si>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</si>
  <si>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</si>
  <si>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</si>
  <si>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</si>
  <si>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</si>
  <si>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</si>
  <si>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</si>
  <si>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</si>
  <si>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</si>
  <si>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</si>
  <si>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</si>
  <si>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</si>
  <si>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</si>
  <si>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</si>
  <si>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</si>
  <si>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</si>
  <si>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</si>
  <si>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</si>
  <si>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</si>
  <si>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</si>
  <si>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</si>
  <si>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</si>
  <si>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</si>
  <si>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</si>
  <si>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</si>
  <si>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</si>
  <si>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</si>
  <si>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</si>
  <si>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</si>
  <si>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</si>
  <si>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</si>
  <si>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</si>
  <si>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</si>
  <si>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</si>
  <si>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</si>
  <si>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</si>
  <si>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</si>
  <si>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</si>
  <si>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</si>
  <si>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</si>
  <si>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</si>
  <si>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</si>
  <si>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</si>
  <si>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</si>
  <si>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</si>
  <si>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</si>
  <si>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</si>
  <si>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</si>
  <si>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</si>
  <si>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</si>
  <si>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</si>
  <si>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</si>
  <si>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</si>
  <si>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</si>
  <si>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</si>
  <si>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</si>
  <si>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</si>
  <si>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</si>
  <si>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</si>
  <si>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</si>
  <si>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</si>
  <si>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</si>
  <si>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</si>
  <si>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</si>
  <si>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</si>
  <si>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</si>
  <si>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</si>
  <si>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</si>
  <si>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</si>
  <si>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</si>
  <si>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</si>
  <si>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</si>
  <si>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</si>
  <si>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</si>
  <si>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</si>
  <si>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</si>
  <si>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</si>
  <si>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</si>
  <si>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</si>
  <si>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</si>
  <si>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</si>
  <si>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</si>
  <si>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</si>
  <si>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</si>
  <si>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</si>
  <si>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</si>
  <si>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</si>
  <si>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</si>
  <si>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</si>
  <si>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</si>
  <si>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</si>
  <si>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</si>
  <si>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</si>
  <si>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</si>
  <si>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</si>
  <si>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</si>
  <si>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</si>
  <si>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</si>
  <si>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</si>
  <si>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</si>
  <si>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</si>
  <si>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</si>
  <si>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</si>
  <si>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</si>
  <si>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</si>
  <si>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</si>
  <si>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</si>
  <si>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</si>
  <si>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</si>
  <si>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</si>
  <si>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</si>
  <si>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</si>
  <si>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</si>
  <si>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</si>
  <si>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</si>
  <si>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</si>
  <si>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</si>
  <si>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</si>
  <si>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</si>
  <si>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</si>
  <si>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</si>
  <si>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</si>
  <si>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</si>
  <si>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</si>
  <si>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</si>
  <si>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</si>
  <si>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</si>
  <si>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</si>
  <si>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</si>
  <si>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</si>
  <si>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</si>
  <si>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</si>
  <si>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</si>
  <si>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</si>
  <si>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</si>
  <si>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</si>
  <si>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</si>
  <si>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</si>
  <si>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</si>
  <si>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</si>
  <si>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</si>
  <si>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</si>
  <si>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</si>
  <si>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</si>
  <si>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</si>
  <si>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</si>
  <si>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</si>
  <si>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</si>
  <si>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</si>
  <si>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</si>
  <si>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</si>
  <si>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</si>
  <si>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</si>
  <si>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</si>
  <si>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</si>
  <si>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</si>
  <si>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</si>
  <si>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</si>
  <si>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</si>
  <si>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</si>
  <si>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</si>
  <si>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</si>
  <si>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</si>
  <si>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</si>
  <si>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</si>
  <si>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</si>
  <si>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</si>
  <si>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</si>
  <si>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</si>
  <si>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</si>
  <si>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</si>
  <si>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</si>
  <si>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</si>
  <si>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</si>
  <si>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</si>
  <si>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</si>
  <si>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</si>
  <si>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</si>
  <si>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</si>
  <si>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</si>
  <si>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</si>
  <si>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</si>
  <si>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</si>
  <si>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</si>
  <si>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</si>
  <si>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</si>
  <si>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</si>
  <si>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</si>
  <si>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</si>
  <si>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</si>
  <si>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</si>
  <si>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</si>
  <si>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</si>
  <si>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</si>
  <si>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</si>
  <si>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</si>
  <si>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</si>
  <si>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</si>
  <si>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</si>
  <si>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</si>
  <si>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</si>
  <si>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</si>
  <si>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</si>
  <si>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</si>
  <si>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</si>
  <si>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</si>
  <si>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</si>
  <si>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</si>
  <si>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</si>
  <si>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</si>
  <si>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</si>
  <si>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</si>
  <si>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</si>
  <si>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</si>
  <si>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</si>
  <si>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</si>
  <si>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</si>
  <si>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</si>
  <si>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</si>
  <si>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</si>
  <si>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</si>
  <si>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</si>
  <si>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</si>
  <si>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</si>
  <si>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</si>
  <si>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</si>
  <si>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</si>
  <si>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</si>
  <si>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</si>
  <si>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</si>
  <si>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</si>
  <si>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</si>
  <si>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</si>
  <si>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</si>
  <si>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</si>
  <si>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</si>
  <si>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</si>
  <si>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</si>
  <si>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</si>
  <si>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</si>
  <si>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</si>
  <si>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</si>
  <si>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</si>
  <si>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</si>
  <si>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</si>
  <si>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</si>
  <si>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</si>
  <si>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</si>
  <si>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</si>
  <si>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</si>
  <si>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</si>
  <si>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</si>
  <si>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</si>
  <si>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</si>
  <si>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</si>
  <si>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</si>
  <si>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</si>
  <si>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</si>
  <si>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</si>
  <si>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</si>
  <si>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</si>
  <si>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</si>
  <si>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</si>
  <si>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</si>
  <si>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</si>
  <si>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</si>
  <si>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</si>
  <si>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</si>
  <si>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</si>
  <si>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</si>
  <si>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</si>
  <si>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</si>
  <si>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</si>
  <si>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</si>
  <si>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</si>
  <si>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</si>
  <si>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</si>
  <si>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</si>
  <si>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</si>
  <si>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</si>
  <si>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</si>
  <si>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</si>
  <si>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</si>
  <si>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</si>
  <si>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</si>
  <si>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</si>
  <si>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</si>
  <si>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</si>
  <si>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</si>
  <si>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</si>
  <si>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</si>
  <si>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</si>
  <si>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</si>
  <si>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</si>
  <si>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</si>
  <si>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</si>
  <si>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</si>
  <si>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</si>
  <si>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</si>
  <si>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</si>
  <si>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</si>
  <si>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</si>
  <si>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</si>
  <si>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</si>
  <si>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</si>
  <si>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</si>
  <si>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</si>
  <si>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</si>
  <si>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</si>
  <si>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</si>
  <si>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</si>
  <si>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</si>
  <si>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</si>
  <si>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</si>
  <si>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</si>
  <si>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</si>
  <si>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</si>
  <si>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</si>
  <si>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</si>
  <si>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</si>
  <si>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</si>
  <si>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</si>
  <si>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</si>
  <si>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</si>
  <si>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</si>
  <si>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</si>
  <si>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</si>
  <si>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</si>
  <si>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</si>
  <si>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</si>
  <si>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</si>
  <si>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</si>
  <si>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</si>
  <si>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</si>
  <si>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</si>
  <si>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</si>
  <si>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</si>
  <si>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</si>
  <si>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</si>
  <si>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</si>
  <si>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</si>
  <si>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</si>
  <si>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</si>
  <si>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</si>
  <si>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</si>
  <si>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</si>
  <si>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</si>
  <si>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</si>
  <si>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</si>
  <si>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</si>
  <si>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</si>
  <si>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</si>
  <si>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</si>
  <si>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</si>
  <si>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</si>
  <si>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</si>
  <si>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</si>
  <si>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</si>
  <si>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</si>
  <si>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</si>
  <si>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</si>
  <si>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</si>
  <si>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</si>
  <si>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</si>
  <si>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</si>
  <si>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</si>
  <si>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</si>
  <si>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</si>
  <si>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</si>
  <si>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</si>
  <si>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</si>
  <si>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</si>
  <si>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</si>
  <si>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</si>
  <si>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</si>
  <si>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</si>
  <si>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</si>
  <si>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</si>
  <si>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</si>
  <si>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</si>
  <si>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</si>
  <si>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</si>
  <si>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</si>
  <si>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</si>
  <si>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</si>
  <si>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</si>
  <si>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</si>
  <si>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</si>
  <si>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</si>
  <si>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</si>
  <si>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</si>
  <si>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</si>
  <si>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</si>
  <si>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</si>
  <si>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</si>
  <si>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</si>
  <si>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</si>
  <si>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</si>
  <si>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</si>
  <si>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</si>
  <si>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</si>
  <si>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</si>
  <si>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</si>
  <si>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</si>
  <si>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</si>
  <si>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</si>
  <si>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</si>
  <si>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</si>
  <si>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</si>
  <si>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</si>
  <si>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</si>
  <si>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</si>
  <si>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</si>
  <si>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</si>
  <si>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</si>
  <si>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</si>
  <si>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</si>
  <si>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</si>
  <si>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</si>
  <si>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</si>
  <si>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</si>
  <si>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</si>
  <si>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</si>
  <si>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</si>
  <si>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</si>
  <si>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</si>
  <si>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</si>
  <si>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</si>
  <si>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</si>
  <si>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</si>
  <si>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</si>
  <si>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</si>
  <si>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</si>
  <si>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</si>
  <si>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</si>
  <si>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</si>
  <si>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</si>
  <si>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</si>
  <si>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</si>
  <si>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</si>
  <si>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</si>
  <si>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</si>
  <si>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</si>
  <si>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</si>
  <si>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</si>
  <si>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</si>
  <si>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</si>
  <si>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</si>
  <si>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</si>
  <si>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</si>
  <si>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</si>
  <si>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</si>
  <si>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</si>
  <si>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</si>
  <si>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</si>
  <si>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</si>
  <si>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</si>
  <si>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</si>
  <si>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</si>
  <si>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</si>
  <si>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</si>
  <si>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</si>
  <si>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</si>
  <si>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</si>
  <si>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</si>
  <si>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</si>
  <si>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</si>
  <si>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</si>
  <si>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</si>
  <si>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</si>
  <si>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</si>
  <si>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</si>
  <si>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</si>
  <si>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</si>
  <si>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</si>
  <si>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</si>
  <si>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</si>
  <si>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</si>
  <si>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</si>
  <si>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</si>
  <si>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</si>
  <si>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</si>
  <si>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</si>
  <si>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</si>
  <si>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</si>
  <si>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</si>
  <si>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</si>
  <si>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</si>
  <si>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</si>
  <si>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</si>
  <si>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</si>
  <si>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</si>
  <si>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</si>
  <si>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</si>
  <si>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</si>
  <si>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</si>
  <si>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</si>
  <si>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</si>
  <si>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</si>
  <si>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</si>
  <si>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</si>
  <si>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</si>
  <si>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</si>
  <si>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</si>
  <si>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</si>
  <si>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</si>
  <si>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</si>
  <si>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</si>
  <si>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</si>
  <si>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</si>
  <si>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</si>
  <si>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</si>
  <si>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</si>
  <si>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</si>
  <si>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</si>
  <si>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</si>
  <si>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</si>
  <si>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</si>
  <si>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</si>
  <si>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</si>
  <si>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</si>
  <si>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</si>
  <si>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</si>
  <si>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</si>
  <si>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</si>
  <si>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</si>
  <si>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</si>
  <si>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</si>
  <si>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</si>
  <si>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</si>
  <si>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</si>
  <si>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</si>
  <si>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</si>
  <si>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</si>
  <si>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</si>
  <si>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</si>
  <si>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</si>
  <si>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</si>
  <si>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</si>
  <si>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</si>
  <si>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</si>
  <si>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</si>
  <si>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</si>
  <si>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</si>
  <si>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</si>
  <si>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</si>
  <si>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</si>
  <si>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</si>
  <si>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</si>
  <si>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</si>
  <si>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</si>
  <si>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</si>
  <si>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</si>
  <si>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</si>
  <si>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</si>
  <si>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</si>
  <si>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</si>
  <si>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</si>
  <si>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</si>
  <si>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</si>
  <si>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</si>
  <si>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</si>
  <si>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</si>
  <si>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</si>
  <si>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</si>
  <si>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</si>
  <si>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</si>
  <si>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</si>
  <si>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</si>
  <si>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</si>
  <si>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</si>
  <si>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</si>
  <si>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</si>
  <si>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</si>
  <si>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</si>
  <si>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</si>
  <si>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</si>
  <si>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</si>
  <si>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</si>
  <si>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</si>
  <si>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</si>
  <si>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</si>
  <si>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</si>
  <si>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</si>
  <si>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</si>
  <si>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</si>
  <si>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</si>
  <si>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</si>
  <si>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</si>
  <si>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</si>
  <si>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</si>
  <si>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</si>
  <si>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</si>
  <si>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</si>
  <si>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</si>
  <si>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</si>
  <si>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</si>
  <si>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</si>
  <si>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</si>
  <si>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</si>
  <si>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</si>
  <si>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</si>
  <si>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</si>
  <si>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</si>
  <si>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</si>
  <si>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</si>
  <si>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</si>
  <si>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</si>
  <si>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</si>
  <si>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</si>
  <si>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</si>
  <si>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</si>
  <si>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</si>
  <si>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</si>
  <si>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</si>
  <si>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</si>
  <si>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</si>
  <si>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</si>
  <si>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</si>
  <si>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</si>
  <si>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</si>
  <si>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</si>
  <si>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</si>
  <si>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</si>
  <si>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</si>
  <si>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</si>
  <si>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</si>
  <si>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</si>
  <si>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</si>
  <si>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</si>
  <si>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</si>
  <si>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</si>
  <si>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</si>
  <si>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</si>
  <si>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</si>
  <si>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</si>
  <si>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</si>
  <si>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</si>
  <si>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</si>
  <si>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</si>
  <si>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</si>
  <si>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</si>
  <si>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</si>
  <si>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</si>
  <si>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</si>
  <si>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</si>
  <si>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</si>
  <si>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</si>
  <si>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</si>
  <si>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</si>
  <si>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</si>
  <si>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</si>
  <si>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</si>
  <si>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</si>
  <si>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</si>
  <si>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</si>
  <si>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</si>
  <si>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</si>
  <si>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</si>
  <si>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</si>
  <si>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</si>
  <si>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</si>
  <si>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</si>
  <si>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</si>
  <si>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</si>
  <si>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</si>
  <si>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</si>
  <si>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</si>
  <si>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</si>
  <si>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</si>
  <si>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</si>
  <si>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</si>
  <si>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</si>
  <si>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</si>
  <si>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</si>
  <si>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</si>
  <si>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</si>
  <si>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</si>
  <si>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</si>
  <si>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</si>
  <si>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</si>
  <si>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</si>
  <si>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</si>
  <si>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</si>
  <si>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</si>
  <si>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</si>
  <si>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</si>
  <si>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</si>
  <si>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</si>
  <si>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</si>
  <si>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</si>
  <si>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</si>
  <si>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</si>
  <si>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</si>
  <si>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</si>
  <si>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</si>
  <si>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</si>
  <si>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</si>
  <si>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</si>
  <si>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</si>
  <si>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</si>
  <si>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</si>
  <si>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</si>
  <si>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</si>
  <si>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</si>
  <si>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</si>
  <si>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</si>
  <si>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</si>
  <si>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</si>
  <si>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</si>
  <si>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</si>
  <si>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</si>
  <si>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</si>
  <si>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</si>
  <si>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</si>
  <si>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</si>
  <si>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</si>
  <si>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</si>
  <si>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</si>
  <si>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</si>
  <si>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</si>
  <si>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</si>
  <si>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</si>
  <si>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</si>
  <si>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</si>
  <si>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</si>
  <si>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</si>
  <si>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</si>
  <si>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</si>
  <si>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</si>
  <si>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</si>
  <si>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</si>
  <si>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</si>
  <si>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</si>
  <si>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</si>
  <si>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</si>
  <si>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</si>
  <si>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</si>
  <si>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</si>
  <si>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</si>
  <si>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</si>
  <si>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</si>
  <si>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</si>
  <si>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</si>
  <si>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</si>
  <si>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</si>
  <si>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</si>
  <si>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</si>
  <si>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</si>
  <si>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</si>
  <si>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</si>
  <si>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</si>
  <si>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</si>
  <si>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</si>
  <si>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</si>
  <si>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</si>
  <si>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</si>
  <si>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</si>
  <si>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</si>
  <si>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</si>
  <si>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</si>
  <si>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</si>
  <si>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</si>
  <si>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</si>
  <si>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</si>
  <si>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</si>
  <si>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</si>
  <si>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</si>
  <si>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</si>
  <si>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</si>
  <si>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</si>
  <si>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</si>
  <si>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</si>
  <si>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</si>
  <si>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</si>
  <si>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</si>
  <si>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</si>
  <si>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</si>
  <si>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</si>
  <si>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</si>
  <si>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</si>
  <si>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</si>
  <si>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</si>
  <si>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</si>
  <si>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</si>
  <si>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</si>
  <si>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</si>
  <si>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</si>
  <si>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</si>
  <si>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</si>
  <si>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</si>
  <si>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</si>
  <si>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</si>
  <si>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</si>
  <si>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</si>
  <si>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</si>
  <si>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</si>
  <si>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</si>
  <si>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</si>
  <si>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</si>
  <si>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</si>
  <si>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</si>
  <si>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</si>
  <si>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</si>
  <si>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</si>
  <si>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</si>
  <si>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</si>
  <si>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</si>
  <si>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</si>
  <si>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</si>
  <si>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</si>
  <si>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</si>
  <si>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</si>
  <si>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</si>
  <si>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</si>
  <si>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</si>
  <si>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</si>
  <si>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</si>
  <si>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</si>
  <si>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</si>
  <si>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</si>
  <si>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</si>
  <si>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</si>
  <si>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</si>
  <si>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</si>
  <si>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</si>
  <si>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</si>
  <si>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</si>
  <si>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</si>
  <si>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</si>
  <si>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</si>
  <si>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</si>
  <si>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</si>
  <si>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</si>
  <si>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</si>
  <si>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</si>
  <si>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</si>
  <si>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</si>
  <si>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</si>
  <si>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</si>
  <si>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</si>
  <si>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</si>
  <si>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</si>
  <si>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</si>
  <si>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</si>
  <si>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</si>
  <si>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</si>
  <si>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</si>
  <si>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</si>
  <si>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</si>
  <si>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</si>
  <si>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</si>
  <si>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</si>
  <si>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</si>
  <si>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</si>
  <si>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</si>
  <si>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</si>
  <si>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</si>
  <si>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</si>
  <si>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</si>
  <si>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</si>
  <si>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</si>
  <si>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</si>
  <si>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</si>
  <si>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</si>
  <si>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</si>
  <si>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</si>
  <si>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</si>
  <si>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</si>
  <si>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</si>
  <si>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</si>
  <si>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</si>
  <si>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</si>
  <si>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</si>
  <si>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</si>
  <si>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</si>
  <si>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</si>
  <si>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</si>
  <si>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</si>
  <si>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</si>
  <si>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</si>
  <si>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</si>
  <si>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</si>
  <si>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</si>
  <si>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</si>
  <si>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</si>
  <si>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</si>
  <si>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</si>
  <si>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</si>
  <si>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</si>
  <si>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</si>
  <si>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</si>
  <si>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</si>
  <si>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</si>
  <si>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</si>
  <si>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</si>
  <si>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</si>
  <si>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</si>
  <si>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</si>
  <si>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</si>
  <si>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</si>
  <si>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</si>
  <si>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</si>
  <si>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</si>
  <si>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</si>
  <si>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</si>
  <si>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</si>
  <si>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</si>
  <si>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</si>
  <si>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</si>
  <si>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</si>
  <si>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</si>
  <si>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</si>
  <si>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</si>
  <si>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</si>
  <si>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</si>
  <si>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</si>
  <si>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</si>
  <si>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</si>
  <si>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</si>
  <si>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</si>
  <si>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</si>
  <si>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</si>
  <si>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</si>
  <si>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</si>
  <si>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</si>
  <si>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</si>
  <si>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</si>
  <si>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</si>
  <si>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</si>
  <si>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</si>
  <si>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</si>
  <si>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</si>
  <si>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</si>
  <si>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</si>
  <si>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</si>
  <si>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</si>
  <si>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</si>
  <si>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</si>
  <si>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</si>
  <si>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</si>
  <si>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</si>
  <si>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</si>
  <si>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</si>
  <si>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</si>
  <si>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</si>
  <si>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</si>
  <si>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</si>
  <si>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</si>
  <si>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</si>
  <si>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</si>
  <si>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</si>
  <si>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</si>
  <si>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</si>
  <si>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</si>
  <si>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</si>
  <si>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</si>
  <si>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</si>
  <si>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</si>
  <si>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</si>
  <si>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</si>
  <si>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</si>
  <si>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</si>
  <si>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</si>
  <si>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</si>
  <si>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</si>
  <si>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</si>
  <si>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</si>
  <si>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</si>
  <si>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</si>
  <si>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</si>
  <si>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</si>
  <si>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</si>
  <si>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</si>
  <si>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</si>
  <si>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</si>
  <si>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</si>
  <si>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</si>
  <si>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</si>
  <si>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</si>
  <si>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</si>
  <si>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</si>
  <si>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</si>
  <si>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</si>
  <si>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</si>
  <si>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</si>
  <si>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</si>
  <si>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</si>
  <si>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</si>
  <si>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</si>
  <si>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</si>
  <si>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</si>
  <si>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</si>
  <si>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</si>
  <si>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</si>
  <si>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</si>
  <si>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</si>
  <si>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</si>
  <si>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</si>
  <si>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</si>
  <si>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</si>
  <si>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</si>
  <si>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</si>
  <si>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</si>
  <si>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</si>
  <si>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</si>
  <si>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</si>
  <si>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</si>
  <si>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</si>
  <si>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</si>
  <si>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</si>
  <si>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</si>
  <si>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</si>
  <si>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</si>
  <si>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</si>
  <si>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</si>
  <si>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</si>
  <si>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</si>
  <si>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</si>
  <si>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</si>
  <si>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</si>
  <si>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</si>
  <si>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</si>
  <si>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</si>
  <si>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</si>
  <si>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</si>
  <si>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</si>
  <si>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</si>
  <si>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</si>
  <si>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</si>
  <si>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</si>
  <si>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</si>
  <si>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</si>
  <si>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</si>
  <si>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</si>
  <si>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</si>
  <si>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</si>
  <si>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</si>
  <si>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</si>
  <si>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</si>
  <si>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</si>
  <si>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</si>
  <si>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</si>
  <si>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</si>
  <si>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</si>
  <si>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</si>
  <si>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</si>
  <si>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</si>
  <si>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</si>
  <si>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</si>
  <si>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</si>
  <si>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</si>
  <si>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</si>
  <si>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</si>
  <si>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</si>
  <si>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</si>
  <si>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</si>
  <si>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</si>
  <si>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</si>
  <si>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</si>
  <si>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</si>
  <si>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</si>
  <si>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</si>
  <si>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</si>
  <si>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</si>
  <si>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</si>
  <si>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</si>
  <si>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</si>
  <si>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</si>
  <si>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</si>
  <si>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</si>
  <si>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</si>
  <si>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</si>
  <si>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</si>
  <si>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</si>
  <si>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</si>
  <si>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</si>
  <si>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</si>
  <si>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</si>
  <si>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</si>
  <si>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</si>
  <si>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</si>
  <si>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</si>
  <si>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</si>
  <si>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</si>
  <si>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</si>
  <si>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</si>
  <si>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</si>
  <si>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</si>
  <si>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</si>
  <si>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</si>
  <si>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</si>
  <si>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</si>
  <si>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</si>
  <si>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</si>
  <si>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</si>
  <si>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</si>
  <si>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</si>
  <si>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</si>
  <si>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</si>
  <si>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</si>
  <si>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</si>
  <si>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</si>
  <si>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</si>
  <si>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</si>
  <si>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</si>
  <si>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</si>
  <si>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</si>
  <si>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</si>
  <si>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</si>
  <si>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</si>
  <si>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</si>
  <si>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</si>
  <si>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</si>
  <si>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</si>
  <si>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</si>
  <si>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</si>
  <si>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</si>
  <si>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</si>
  <si>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</si>
  <si>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</si>
  <si>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</si>
  <si>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</si>
  <si>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</si>
  <si>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</si>
  <si>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</si>
  <si>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</si>
  <si>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</si>
  <si>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</si>
  <si>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</si>
  <si>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</si>
  <si>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</si>
  <si>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</si>
  <si>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</si>
  <si>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</si>
  <si>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</si>
  <si>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</si>
  <si>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</si>
  <si>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</si>
  <si>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</si>
  <si>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</si>
  <si>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</si>
  <si>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</si>
  <si>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</si>
  <si>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</si>
  <si>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</si>
  <si>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</si>
  <si>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</si>
  <si>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</si>
  <si>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</si>
  <si>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</si>
  <si>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</si>
  <si>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</si>
  <si>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</si>
  <si>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</si>
  <si>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</si>
  <si>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</si>
  <si>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</si>
  <si>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</si>
  <si>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</si>
  <si>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</si>
  <si>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</si>
  <si>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</si>
  <si>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</si>
  <si>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</si>
  <si>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</si>
  <si>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</si>
  <si>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</si>
  <si>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</si>
  <si>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</si>
  <si>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</si>
  <si>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</si>
  <si>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</si>
  <si>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</si>
  <si>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</si>
  <si>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</si>
  <si>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</si>
  <si>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</si>
  <si>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</si>
  <si>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</si>
  <si>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</si>
  <si>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</si>
  <si>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</si>
  <si>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</si>
  <si>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</si>
  <si>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</si>
  <si>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</si>
  <si>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</si>
  <si>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</si>
  <si>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</si>
  <si>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</si>
  <si>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</si>
  <si>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</si>
  <si>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</si>
  <si>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</si>
  <si>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</si>
  <si>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</si>
  <si>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</si>
  <si>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</si>
  <si>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</si>
  <si>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</si>
  <si>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</si>
  <si>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</si>
  <si>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</si>
  <si>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</si>
  <si>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</si>
  <si>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</si>
  <si>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</si>
  <si>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</si>
  <si>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</si>
  <si>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</si>
  <si>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</si>
  <si>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</si>
  <si>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</si>
  <si>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</si>
  <si>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</si>
  <si>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</si>
  <si>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</si>
  <si>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</si>
  <si>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</si>
  <si>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</si>
  <si>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</si>
  <si>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</si>
  <si>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</si>
  <si>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</si>
  <si>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</si>
  <si>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</si>
  <si>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</si>
  <si>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</si>
  <si>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</si>
  <si>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</si>
  <si>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</si>
  <si>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</si>
  <si>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</si>
  <si>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</si>
  <si>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</si>
  <si>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</si>
  <si>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</si>
  <si>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</si>
  <si>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</si>
  <si>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</si>
  <si>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</si>
  <si>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</si>
  <si>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</si>
  <si>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</si>
  <si>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</si>
  <si>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</si>
  <si>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</si>
  <si>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</si>
  <si>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</si>
  <si>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</si>
  <si>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</si>
  <si>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</si>
  <si>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</si>
  <si>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</si>
  <si>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</si>
  <si>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</si>
  <si>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</si>
  <si>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</si>
  <si>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</si>
  <si>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</si>
  <si>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</si>
  <si>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</si>
  <si>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</si>
  <si>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</si>
  <si>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</si>
  <si>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</si>
  <si>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</si>
  <si>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</si>
  <si>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</si>
  <si>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</si>
  <si>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</si>
  <si>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</si>
  <si>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</si>
  <si>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</si>
  <si>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</si>
  <si>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</si>
  <si>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</si>
  <si>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</si>
  <si>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</si>
  <si>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</si>
  <si>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</si>
  <si>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</si>
  <si>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</si>
  <si>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</si>
  <si>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</si>
  <si>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</si>
  <si>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</si>
  <si>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</si>
  <si>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</si>
  <si>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</si>
  <si>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</si>
  <si>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</si>
  <si>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</si>
  <si>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</si>
  <si>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</si>
  <si>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</si>
  <si>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</si>
  <si>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</si>
  <si>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</si>
  <si>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</si>
  <si>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</si>
  <si>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</si>
  <si>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</si>
  <si>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</si>
  <si>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</si>
  <si>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</si>
  <si>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</si>
  <si>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</si>
  <si>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</si>
  <si>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</si>
  <si>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</si>
  <si>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</si>
  <si>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</si>
  <si>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</si>
  <si>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</si>
  <si>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</si>
  <si>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</si>
  <si>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</si>
  <si>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</si>
  <si>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</si>
  <si>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</si>
  <si>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</si>
  <si>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</si>
  <si>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</si>
  <si>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</si>
  <si>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</si>
  <si>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</si>
  <si>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</si>
  <si>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</si>
  <si>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</si>
  <si>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</si>
  <si>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</si>
  <si>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</si>
  <si>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</si>
  <si>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</si>
  <si>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</si>
  <si>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</si>
  <si>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</si>
  <si>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</si>
  <si>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</si>
  <si>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</si>
  <si>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</si>
  <si>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</si>
  <si>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</si>
  <si>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</si>
  <si>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</si>
  <si>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</si>
  <si>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</si>
  <si>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</si>
  <si>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</si>
  <si>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</si>
  <si>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</si>
  <si>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</si>
  <si>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</si>
  <si>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</si>
  <si>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</si>
  <si>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</si>
  <si>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</si>
  <si>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</si>
  <si>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</si>
  <si>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</si>
  <si>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</si>
  <si>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</si>
  <si>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</si>
  <si>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</si>
  <si>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</si>
  <si>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</si>
  <si>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</si>
  <si>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</si>
  <si>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</si>
  <si>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</si>
  <si>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</si>
  <si>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</si>
  <si>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</si>
  <si>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</si>
  <si>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</si>
  <si>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</si>
  <si>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</si>
  <si>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</si>
  <si>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</si>
  <si>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</si>
  <si>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</si>
  <si>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</si>
  <si>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</si>
  <si>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</si>
  <si>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</si>
  <si>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</si>
  <si>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</si>
  <si>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</si>
  <si>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</si>
  <si>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</si>
  <si>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</si>
  <si>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</si>
  <si>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</si>
  <si>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</si>
  <si>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</si>
  <si>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</si>
  <si>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</si>
  <si>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</si>
  <si>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</si>
  <si>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</si>
  <si>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</si>
  <si>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</si>
  <si>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</si>
  <si>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</si>
  <si>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</si>
  <si>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</si>
  <si>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</si>
  <si>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</si>
  <si>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</si>
  <si>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</si>
  <si>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</si>
  <si>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</si>
  <si>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</si>
  <si>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</si>
  <si>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</si>
  <si>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</si>
  <si>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</si>
  <si>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</si>
  <si>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</si>
  <si>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</si>
  <si>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</si>
  <si>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</si>
  <si>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</si>
  <si>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</si>
  <si>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</si>
  <si>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</si>
  <si>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</si>
  <si>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</si>
  <si>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</si>
  <si>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</si>
  <si>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</si>
  <si>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</si>
  <si>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</si>
  <si>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</si>
  <si>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</si>
  <si>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</si>
  <si>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</si>
  <si>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</si>
  <si>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</si>
  <si>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</si>
  <si>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</si>
  <si>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</si>
  <si>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</si>
  <si>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</si>
  <si>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</si>
  <si>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</si>
  <si>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</si>
  <si>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</si>
  <si>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</si>
  <si>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</si>
  <si>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</si>
  <si>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</si>
  <si>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</si>
  <si>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</si>
  <si>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</si>
  <si>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</si>
  <si>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</si>
  <si>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</si>
  <si>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</si>
  <si>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</si>
  <si>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</si>
  <si>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</si>
  <si>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</si>
  <si>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</si>
  <si>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</si>
  <si>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</si>
  <si>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</si>
  <si>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</si>
  <si>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</si>
  <si>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</si>
  <si>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</si>
  <si>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</si>
  <si>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</si>
  <si>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</si>
  <si>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</si>
  <si>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</si>
  <si>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</si>
  <si>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</si>
  <si>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</si>
  <si>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</si>
  <si>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</si>
  <si>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</si>
  <si>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</si>
  <si>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</si>
  <si>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</si>
  <si>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</si>
  <si>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</si>
  <si>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</si>
  <si>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</si>
  <si>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</si>
  <si>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</si>
  <si>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</si>
  <si>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</si>
  <si>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</si>
  <si>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</si>
  <si>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</si>
  <si>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</si>
  <si>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</si>
  <si>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</si>
  <si>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</si>
  <si>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</si>
  <si>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</si>
  <si>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</si>
  <si>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</si>
  <si>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</si>
  <si>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</si>
  <si>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</si>
  <si>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</si>
  <si>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</si>
  <si>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</si>
  <si>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</si>
  <si>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</si>
  <si>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</si>
  <si>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</si>
  <si>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</si>
  <si>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</si>
  <si>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</si>
  <si>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</si>
  <si>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</si>
  <si>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</si>
  <si>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</si>
  <si>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</si>
  <si>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</si>
  <si>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</si>
  <si>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</si>
  <si>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</si>
  <si>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</si>
  <si>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</si>
  <si>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</si>
  <si>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</si>
  <si>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</si>
  <si>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</si>
  <si>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</si>
  <si>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</si>
  <si>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</si>
  <si>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</si>
  <si>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</si>
  <si>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</si>
  <si>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</si>
  <si>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</si>
  <si>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</si>
  <si>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</si>
  <si>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</si>
  <si>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</si>
  <si>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</si>
  <si>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</si>
  <si>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</si>
  <si>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</si>
  <si>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</si>
  <si>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</si>
  <si>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</si>
  <si>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</si>
  <si>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</si>
  <si>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</si>
  <si>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</si>
  <si>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</si>
  <si>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</si>
  <si>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</si>
  <si>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</si>
  <si>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</si>
  <si>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</si>
  <si>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</si>
  <si>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</si>
  <si>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</si>
  <si>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</si>
  <si>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</si>
  <si>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</si>
  <si>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</si>
  <si>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</si>
  <si>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</si>
  <si>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</si>
  <si>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</si>
  <si>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</si>
  <si>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</si>
  <si>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</si>
  <si>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</si>
  <si>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</si>
  <si>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</si>
  <si>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</si>
  <si>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</si>
  <si>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</si>
  <si>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</si>
  <si>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</si>
  <si>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</si>
  <si>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</si>
  <si>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</si>
  <si>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</si>
  <si>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</si>
  <si>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</si>
  <si>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</si>
  <si>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</si>
  <si>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</si>
  <si>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</si>
  <si>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</si>
  <si>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</si>
  <si>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</si>
  <si>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</si>
  <si>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</si>
  <si>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</si>
  <si>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</si>
  <si>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</si>
  <si>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</si>
  <si>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</si>
  <si>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</si>
  <si>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</si>
  <si>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</si>
  <si>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</si>
  <si>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</si>
  <si>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</si>
  <si>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</si>
  <si>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</si>
  <si>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</si>
  <si>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</si>
  <si>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</si>
  <si>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</si>
  <si>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</si>
  <si>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</si>
  <si>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</si>
  <si>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</si>
  <si>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</si>
  <si>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</si>
  <si>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</si>
  <si>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</si>
  <si>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</si>
  <si>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</si>
  <si>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</si>
  <si>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</si>
  <si>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</si>
  <si>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</si>
  <si>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</si>
  <si>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</si>
  <si>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</si>
  <si>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</si>
  <si>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</si>
  <si>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</si>
  <si>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</si>
  <si>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</si>
  <si>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</si>
  <si>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</si>
  <si>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</si>
  <si>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</si>
  <si>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</si>
  <si>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</si>
  <si>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</si>
  <si>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</si>
  <si>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</si>
  <si>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</si>
  <si>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</si>
  <si>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</si>
  <si>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</si>
  <si>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</si>
  <si>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</si>
  <si>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</si>
  <si>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</si>
  <si>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</si>
  <si>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</si>
  <si>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</si>
  <si>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</si>
  <si>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</si>
  <si>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</si>
  <si>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</si>
  <si>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</si>
  <si>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</si>
  <si>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</si>
  <si>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</si>
  <si>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</si>
  <si>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</si>
  <si>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</si>
  <si>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</si>
  <si>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</si>
  <si>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</si>
  <si>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</si>
  <si>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</si>
  <si>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</si>
  <si>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</si>
  <si>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</si>
  <si>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</si>
  <si>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</si>
  <si>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</si>
  <si>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</si>
  <si>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</si>
  <si>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</si>
  <si>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</si>
  <si>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</si>
  <si>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</si>
  <si>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</si>
  <si>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</si>
  <si>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</si>
  <si>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</si>
  <si>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</si>
  <si>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</si>
  <si>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</si>
  <si>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</si>
  <si>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</si>
  <si>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</si>
  <si>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</si>
  <si>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</si>
  <si>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</si>
  <si>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</si>
  <si>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</si>
  <si>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</si>
  <si>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</si>
  <si>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</si>
  <si>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</si>
  <si>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</si>
  <si>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</si>
  <si>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</si>
  <si>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</si>
  <si>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</si>
  <si>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</si>
  <si>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</si>
  <si>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</si>
  <si>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</si>
  <si>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</si>
  <si>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</si>
  <si>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</si>
  <si>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</si>
  <si>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</si>
  <si>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</si>
  <si>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</si>
  <si>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</si>
  <si>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</si>
  <si>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</si>
  <si>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</si>
  <si>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</si>
  <si>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</si>
  <si>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</si>
  <si>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</si>
  <si>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</si>
  <si>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</si>
  <si>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</si>
  <si>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</si>
  <si>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</si>
  <si>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</si>
  <si>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</si>
  <si>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</si>
  <si>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</si>
  <si>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</si>
  <si>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</si>
  <si>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</si>
  <si>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</si>
  <si>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</si>
  <si>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</si>
  <si>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</si>
  <si>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</si>
  <si>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</si>
  <si>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</si>
  <si>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</si>
  <si>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</si>
  <si>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</si>
  <si>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</si>
  <si>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</si>
  <si>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</si>
  <si>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</si>
  <si>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</si>
  <si>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</si>
  <si>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</si>
  <si>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</si>
  <si>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</si>
  <si>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</si>
  <si>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</si>
  <si>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</si>
  <si>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</si>
  <si>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</si>
  <si>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</si>
  <si>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</si>
  <si>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</si>
  <si>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</si>
  <si>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</si>
  <si>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</si>
  <si>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</si>
  <si>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</si>
  <si>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</si>
  <si>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</si>
  <si>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</si>
  <si>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</si>
  <si>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</si>
  <si>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</si>
  <si>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</si>
  <si>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</si>
  <si>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</si>
  <si>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</si>
  <si>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</si>
  <si>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</si>
  <si>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</si>
  <si>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</si>
  <si>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</si>
  <si>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</si>
  <si>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</si>
  <si>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</si>
  <si>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</si>
  <si>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</si>
  <si>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</si>
  <si>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</si>
  <si>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</si>
  <si>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</si>
  <si>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</si>
  <si>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</si>
  <si>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</si>
  <si>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</si>
  <si>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</si>
  <si>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</si>
  <si>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</si>
  <si>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</si>
  <si>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</si>
  <si>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</si>
  <si>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</si>
  <si>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</si>
  <si>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</si>
  <si>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</si>
  <si>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</si>
  <si>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</si>
  <si>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</si>
  <si>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</si>
  <si>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</si>
  <si>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</si>
  <si>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</si>
  <si>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</si>
  <si>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</si>
  <si>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</si>
  <si>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</si>
  <si>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</si>
  <si>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</si>
  <si>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</si>
  <si>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</si>
  <si>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</si>
  <si>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</si>
  <si>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</si>
  <si>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</si>
  <si>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</si>
  <si>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</si>
  <si>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</si>
  <si>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</si>
  <si>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</si>
  <si>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</si>
  <si>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</si>
  <si>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</si>
  <si>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</si>
  <si>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</si>
  <si>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</si>
  <si>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</si>
  <si>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</si>
  <si>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</si>
  <si>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</si>
  <si>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</si>
  <si>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</si>
  <si>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</si>
  <si>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</si>
  <si>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</si>
  <si>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</si>
  <si>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</si>
  <si>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</si>
  <si>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</si>
  <si>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</si>
  <si>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</si>
  <si>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</si>
  <si>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</si>
  <si>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</si>
  <si>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</si>
  <si>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</si>
  <si>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</si>
  <si>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</si>
  <si>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</si>
  <si>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</si>
  <si>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</si>
  <si>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</si>
  <si>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</si>
  <si>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</si>
  <si>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</si>
  <si>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</si>
  <si>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</si>
  <si>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</si>
  <si>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</si>
  <si>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</si>
  <si>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</si>
  <si>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</si>
  <si>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</si>
  <si>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</si>
  <si>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</si>
  <si>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</si>
  <si>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</si>
  <si>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</si>
  <si>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</si>
  <si>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</si>
  <si>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</si>
  <si>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</si>
  <si>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</si>
  <si>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</si>
  <si>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</si>
  <si>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</si>
  <si>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</si>
  <si>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Lauterbach &amp; Amen, LLP.</t>
  </si>
  <si>
    <t>Cook</t>
  </si>
  <si>
    <t>Matt Beran</t>
  </si>
  <si>
    <t>668 N. River Road</t>
  </si>
  <si>
    <t>1750 Plainfield Road</t>
  </si>
  <si>
    <t xml:space="preserve">Naperville </t>
  </si>
  <si>
    <t>IL</t>
  </si>
  <si>
    <t>LaGrange Highlands</t>
  </si>
  <si>
    <t>065-033233</t>
  </si>
  <si>
    <t>mberan@lauterbachamen.com</t>
  </si>
  <si>
    <t>Patricia Viniard</t>
  </si>
  <si>
    <t>pviniard@district106.net</t>
  </si>
  <si>
    <t>Page 10, Row 81 Other District/School Activity Revenue - Gym Suits, Cap/Gown</t>
  </si>
  <si>
    <t>Page 11, Row 107 Other Local Revenues - Yearbooks, PTC, other miscellaneous revenue</t>
  </si>
  <si>
    <t>Page 12, Row 171 Other Restricted Revenue from State Sources - IEMA Grant</t>
  </si>
  <si>
    <t>Page 18, Row 165 Debt Service - Other - Bond Fees</t>
  </si>
  <si>
    <t>General Obligation - Series 2003</t>
  </si>
  <si>
    <t>Outsourced - Bucks Services Incorporated</t>
  </si>
  <si>
    <t>Coop - Educational Benefit Consultants</t>
  </si>
  <si>
    <t>Gas-Vanguard Energy Services, Electic-MidAmerican Enegy</t>
  </si>
  <si>
    <t>Food Service Professtionals</t>
  </si>
  <si>
    <t>Vogel Home and Lawn Care</t>
  </si>
  <si>
    <t>Coop-Collective Liability Insurance Coop.</t>
  </si>
  <si>
    <t>Lyons Township School Treasurer</t>
  </si>
  <si>
    <t>Franczek Radelet</t>
  </si>
  <si>
    <t>N/A</t>
  </si>
  <si>
    <t>mduback@district106.net</t>
  </si>
  <si>
    <t>ED-Instruction-Professional Services</t>
  </si>
  <si>
    <t>10-1000-300</t>
  </si>
  <si>
    <t>American Capital Financial Services Inc</t>
  </si>
  <si>
    <t>ED-Instruction-Supplies</t>
  </si>
  <si>
    <t>10-1000-400</t>
  </si>
  <si>
    <t>Apple Financial Services</t>
  </si>
  <si>
    <t>Apple Inc.</t>
  </si>
  <si>
    <t>OM-Support Services-Professional Services</t>
  </si>
  <si>
    <t>20-2000-300</t>
  </si>
  <si>
    <t>Automated Logic-Act Chicago</t>
  </si>
  <si>
    <t>Blackout Sealcoating Company</t>
  </si>
  <si>
    <t>Buck Services Incorporated</t>
  </si>
  <si>
    <t>TORT-Support Services-Professional Services</t>
  </si>
  <si>
    <t>Collective Liab Insurance Coop</t>
  </si>
  <si>
    <t>OM-Support Services-Supplies</t>
  </si>
  <si>
    <t>20-2000-400</t>
  </si>
  <si>
    <t>ComEd</t>
  </si>
  <si>
    <t>OM-Support Services-Supplies-Other Objects</t>
  </si>
  <si>
    <t>10-4000-600</t>
  </si>
  <si>
    <t>Cooperative Association For Spec Educ</t>
  </si>
  <si>
    <t>Door Dimensions</t>
  </si>
  <si>
    <t>Dynegy Energy Services</t>
  </si>
  <si>
    <t>10-2000-300</t>
  </si>
  <si>
    <t>Four Point O, Inc</t>
  </si>
  <si>
    <t>General Mechanical Services</t>
  </si>
  <si>
    <t>ED-Instruction-Other Objects</t>
  </si>
  <si>
    <t>GlenOaks Therapeautic Day School South</t>
  </si>
  <si>
    <t>TRANSPORTATION-Support Services-Professional Services</t>
  </si>
  <si>
    <t>40-4000-300</t>
  </si>
  <si>
    <t>Grand Prairie Transit</t>
  </si>
  <si>
    <t>Lagrange Area Dept. of Special Education</t>
  </si>
  <si>
    <t>Laidlaw Transit Inc</t>
  </si>
  <si>
    <t>ED-Support Services-Professional Services</t>
  </si>
  <si>
    <t>Mark Morgan Electric</t>
  </si>
  <si>
    <t>Midwest Computer Products Inc</t>
  </si>
  <si>
    <t>Quest Food Management Services Inc.</t>
  </si>
  <si>
    <t>Ricoh Americas Corporation</t>
  </si>
  <si>
    <t>SEAL of Illinois</t>
  </si>
  <si>
    <t>Vogel Landscaping, Inc.</t>
  </si>
  <si>
    <t>Warehouse Direc, Inc.</t>
  </si>
  <si>
    <t>Lagrange Highlands SD 106</t>
  </si>
  <si>
    <t>20-2200-300</t>
  </si>
  <si>
    <t>80-2300-300</t>
  </si>
  <si>
    <t>10-2200-300</t>
  </si>
  <si>
    <t>40-2550-300</t>
  </si>
  <si>
    <t>10-2560-400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</si>
</sst>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781050</xdr:colOff>
          <xdr:row>9</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4</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173402A0-9E57-441B-8189-36AA4D00C4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17320</xdr:rowOff>
        </xdr:from>
        <xdr:to>
          <xdr:col>5</xdr:col>
          <xdr:colOff>304800</xdr:colOff>
          <xdr:row>16</xdr:row>
          <xdr:rowOff>54554</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8</xdr:col>
          <xdr:colOff>304800</xdr:colOff>
          <xdr:row>17</xdr:row>
          <xdr:rowOff>123825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2077</v>
      </c>
      <c r="C5" s="26" t="s">
        <v>966</v>
      </c>
      <c r="D5" s="84"/>
      <c r="E5" s="84"/>
      <c r="H5" s="38"/>
      <c r="I5" s="2040" t="s">
        <v>701</v>
      </c>
      <c r="J5" s="1985"/>
      <c r="K5" s="1985"/>
      <c r="L5" s="1985"/>
      <c r="M5" s="1985"/>
      <c r="N5" s="1985"/>
      <c r="O5" s="1985"/>
      <c r="P5" s="1985"/>
      <c r="Q5" s="1985"/>
      <c r="R5" s="1985"/>
      <c r="S5" s="1985"/>
    </row>
    <row r="6" spans="1:28" ht="14.1" customHeight="1" x14ac:dyDescent="0.2">
      <c r="B6" s="104"/>
      <c r="C6" s="26" t="s">
        <v>967</v>
      </c>
      <c r="D6" s="84"/>
      <c r="E6" s="84"/>
      <c r="I6" s="2039" t="s">
        <v>938</v>
      </c>
      <c r="J6" s="1985"/>
      <c r="K6" s="1985"/>
      <c r="L6" s="1985"/>
      <c r="M6" s="1985"/>
      <c r="N6" s="1985"/>
      <c r="O6" s="1985"/>
      <c r="P6" s="1985"/>
      <c r="Q6" s="1985"/>
      <c r="R6" s="1985"/>
      <c r="S6" s="1985"/>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1" t="s">
        <v>554</v>
      </c>
      <c r="U9" s="1982"/>
      <c r="V9" s="1982"/>
      <c r="W9" s="1982"/>
      <c r="X9" s="1982"/>
      <c r="Y9" s="1982"/>
      <c r="Z9" s="1982"/>
      <c r="AA9" s="1983"/>
    </row>
    <row r="10" spans="1:28" ht="13.5" customHeight="1" x14ac:dyDescent="0.2">
      <c r="A10" s="1990" t="s">
        <v>696</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1012</v>
      </c>
      <c r="B11" s="1994"/>
      <c r="C11" s="1994"/>
      <c r="D11" s="1994"/>
      <c r="E11" s="1994"/>
      <c r="F11" s="1994"/>
      <c r="G11" s="1994"/>
      <c r="H11" s="1995"/>
      <c r="I11" s="27"/>
      <c r="J11" s="74"/>
      <c r="K11" s="27"/>
      <c r="O11" s="148"/>
      <c r="P11" s="100" t="s">
        <v>210</v>
      </c>
      <c r="Q11" s="30"/>
      <c r="R11" s="28"/>
      <c r="S11" s="27"/>
      <c r="T11" s="1987"/>
      <c r="U11" s="1988"/>
      <c r="V11" s="1988"/>
      <c r="W11" s="1988"/>
      <c r="X11" s="1988"/>
      <c r="Y11" s="1988"/>
      <c r="Z11" s="1988"/>
      <c r="AA11" s="1989"/>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1">
        <v>6016106002</v>
      </c>
      <c r="B13" s="2002"/>
      <c r="C13" s="2002"/>
      <c r="D13" s="2002"/>
      <c r="E13" s="2002"/>
      <c r="F13" s="2002"/>
      <c r="G13" s="2002"/>
      <c r="H13" s="2003"/>
      <c r="I13" s="31"/>
      <c r="J13" s="30"/>
      <c r="K13" s="28"/>
      <c r="L13" s="30"/>
      <c r="M13" s="30"/>
      <c r="N13" s="30"/>
      <c r="O13" s="30"/>
      <c r="P13" s="30"/>
      <c r="Q13" s="30"/>
      <c r="R13" s="30"/>
      <c r="S13" s="30"/>
      <c r="T13" s="2006" t="s">
        <v>2078</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9" t="s">
        <v>2079</v>
      </c>
      <c r="B15" s="2004"/>
      <c r="C15" s="2004"/>
      <c r="D15" s="2004"/>
      <c r="E15" s="2004"/>
      <c r="F15" s="2004"/>
      <c r="G15" s="2004"/>
      <c r="H15" s="2005"/>
      <c r="T15" s="1967" t="s">
        <v>2080</v>
      </c>
      <c r="U15" s="1968"/>
      <c r="V15" s="1968"/>
      <c r="W15" s="1968"/>
      <c r="X15" s="1968"/>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2145</v>
      </c>
      <c r="B17" s="2029"/>
      <c r="C17" s="2029"/>
      <c r="D17" s="2029"/>
      <c r="E17" s="2029"/>
      <c r="F17" s="2029"/>
      <c r="G17" s="2029"/>
      <c r="H17" s="2030"/>
      <c r="T17" s="2016" t="s">
        <v>2081</v>
      </c>
      <c r="U17" s="2017"/>
      <c r="V17" s="2017"/>
      <c r="W17" s="2017"/>
      <c r="X17" s="2017"/>
      <c r="Y17" s="2017"/>
      <c r="Z17" s="2017"/>
      <c r="AA17" s="2018"/>
    </row>
    <row r="18" spans="1:27" ht="13.5" customHeight="1" x14ac:dyDescent="0.2">
      <c r="A18" s="85" t="s">
        <v>551</v>
      </c>
      <c r="B18" s="76"/>
      <c r="C18" s="72"/>
      <c r="D18" s="76"/>
      <c r="E18" s="76"/>
      <c r="F18" s="76"/>
      <c r="G18" s="76"/>
      <c r="H18" s="56"/>
      <c r="I18" s="2026" t="s">
        <v>697</v>
      </c>
      <c r="J18" s="2027"/>
      <c r="K18" s="2027"/>
      <c r="L18" s="2027"/>
      <c r="M18" s="2027"/>
      <c r="N18" s="2027"/>
      <c r="O18" s="2027"/>
      <c r="P18" s="2027"/>
      <c r="Q18" s="2027"/>
      <c r="R18" s="2027"/>
      <c r="S18" s="2028"/>
      <c r="T18" s="85" t="s">
        <v>735</v>
      </c>
      <c r="U18" s="51"/>
      <c r="V18" s="72"/>
      <c r="W18" s="50"/>
      <c r="X18" s="85" t="s">
        <v>284</v>
      </c>
      <c r="Y18" s="81"/>
      <c r="Z18" s="159" t="s">
        <v>698</v>
      </c>
      <c r="AA18" s="46"/>
    </row>
    <row r="19" spans="1:27" ht="13.5" customHeight="1" x14ac:dyDescent="0.2">
      <c r="A19" s="1999" t="s">
        <v>2082</v>
      </c>
      <c r="B19" s="2000"/>
      <c r="C19" s="2000"/>
      <c r="D19" s="2000"/>
      <c r="E19" s="2000"/>
      <c r="F19" s="2000"/>
      <c r="G19" s="2000"/>
      <c r="H19" s="1998"/>
      <c r="I19" s="30"/>
      <c r="J19" s="99"/>
      <c r="K19" s="40"/>
      <c r="L19" s="38"/>
      <c r="M19" s="112" t="s">
        <v>333</v>
      </c>
      <c r="P19" s="27"/>
      <c r="Q19" s="27"/>
      <c r="R19" s="27"/>
      <c r="S19" s="31"/>
      <c r="T19" s="1999" t="s">
        <v>2083</v>
      </c>
      <c r="U19" s="1997"/>
      <c r="V19" s="1997"/>
      <c r="W19" s="1998"/>
      <c r="X19" s="2014" t="s">
        <v>2084</v>
      </c>
      <c r="Y19" s="2015"/>
      <c r="Z19" s="2012">
        <v>60563</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6" t="s">
        <v>2085</v>
      </c>
      <c r="B21" s="1997"/>
      <c r="C21" s="1997"/>
      <c r="D21" s="1997"/>
      <c r="E21" s="1997"/>
      <c r="F21" s="1997"/>
      <c r="G21" s="1997"/>
      <c r="H21" s="1998"/>
      <c r="I21" s="2022" t="s">
        <v>699</v>
      </c>
      <c r="J21" s="1985"/>
      <c r="K21" s="1985"/>
      <c r="L21" s="1985"/>
      <c r="M21" s="1985"/>
      <c r="N21" s="1985"/>
      <c r="O21" s="1985"/>
      <c r="P21" s="1985"/>
      <c r="Q21" s="1985"/>
      <c r="R21" s="1985"/>
      <c r="S21" s="1986"/>
      <c r="T21" s="1964">
        <v>6303931483</v>
      </c>
      <c r="U21" s="1965"/>
      <c r="V21" s="1965"/>
      <c r="W21" s="1965"/>
      <c r="X21" s="1978">
        <v>6303932516</v>
      </c>
      <c r="Y21" s="1979"/>
      <c r="Z21" s="1979"/>
      <c r="AA21" s="1980"/>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9" t="s">
        <v>2104</v>
      </c>
      <c r="B23" s="2020"/>
      <c r="C23" s="2020"/>
      <c r="D23" s="2020"/>
      <c r="E23" s="2020"/>
      <c r="F23" s="2020"/>
      <c r="G23" s="2020"/>
      <c r="H23" s="2021"/>
      <c r="T23" s="1959" t="s">
        <v>2086</v>
      </c>
      <c r="U23" s="1960"/>
      <c r="V23" s="1960"/>
      <c r="W23" s="1960"/>
      <c r="X23" s="1975">
        <v>44469</v>
      </c>
      <c r="Y23" s="1976"/>
      <c r="Z23" s="1976"/>
      <c r="AA23" s="1977"/>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6">
        <v>60525</v>
      </c>
      <c r="B25" s="1997"/>
      <c r="C25" s="1997"/>
      <c r="D25" s="1997"/>
      <c r="E25" s="1997"/>
      <c r="F25" s="1997"/>
      <c r="G25" s="1997"/>
      <c r="H25" s="1998"/>
      <c r="I25" s="113"/>
      <c r="J25" s="2063"/>
      <c r="K25" s="2063"/>
      <c r="L25" s="2063"/>
      <c r="M25" s="2063"/>
      <c r="N25" s="2063"/>
      <c r="O25" s="2063"/>
      <c r="P25" s="2063"/>
      <c r="Q25" s="2063"/>
      <c r="R25" s="2063"/>
      <c r="S25" s="2064"/>
      <c r="T25" s="1956" t="s">
        <v>2087</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t="s">
        <v>2088</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t="s">
        <v>2089</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v>7082463085</v>
      </c>
      <c r="B42" s="2046"/>
      <c r="C42" s="2047"/>
      <c r="D42" s="2060">
        <v>7082460220</v>
      </c>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1905</v>
      </c>
      <c r="B2" s="1550" t="s">
        <v>2037</v>
      </c>
      <c r="C2" s="715" t="s">
        <v>1910</v>
      </c>
      <c r="D2" s="715" t="s">
        <v>1911</v>
      </c>
      <c r="E2" s="715" t="s">
        <v>1912</v>
      </c>
      <c r="F2" s="715" t="s">
        <v>1913</v>
      </c>
    </row>
    <row r="3" spans="1:6" ht="12" customHeight="1" x14ac:dyDescent="0.2">
      <c r="A3" s="2199"/>
      <c r="B3" s="1547"/>
      <c r="C3" s="1548"/>
      <c r="D3" s="1549" t="s">
        <v>274</v>
      </c>
      <c r="E3" s="1548"/>
      <c r="F3" s="1549" t="s">
        <v>275</v>
      </c>
    </row>
    <row r="4" spans="1:6" ht="13.7" customHeight="1" x14ac:dyDescent="0.2">
      <c r="A4" s="716" t="s">
        <v>1217</v>
      </c>
      <c r="B4" s="1771">
        <f>'Revenues 9-14'!C5</f>
        <v>9342317</v>
      </c>
      <c r="C4" s="1546">
        <v>4892666</v>
      </c>
      <c r="D4" s="1774">
        <f>B4-C4</f>
        <v>4449651</v>
      </c>
      <c r="E4" s="1546">
        <v>9375976</v>
      </c>
      <c r="F4" s="1774">
        <f>E4-C4</f>
        <v>4483310</v>
      </c>
    </row>
    <row r="5" spans="1:6" ht="13.7" customHeight="1" x14ac:dyDescent="0.2">
      <c r="A5" s="716" t="s">
        <v>925</v>
      </c>
      <c r="B5" s="1772">
        <f>'Revenues 9-14'!D5</f>
        <v>1733811</v>
      </c>
      <c r="C5" s="585">
        <v>1008649</v>
      </c>
      <c r="D5" s="1775">
        <f t="shared" ref="D5:D18" si="0">B5-C5</f>
        <v>725162</v>
      </c>
      <c r="E5" s="585">
        <v>1932907</v>
      </c>
      <c r="F5" s="1775">
        <f>E5-C5</f>
        <v>924258</v>
      </c>
    </row>
    <row r="6" spans="1:6" ht="13.7" customHeight="1" x14ac:dyDescent="0.2">
      <c r="A6" s="716" t="s">
        <v>431</v>
      </c>
      <c r="B6" s="1772">
        <f>'Revenues 9-14'!E5</f>
        <v>623227</v>
      </c>
      <c r="C6" s="585">
        <v>342335</v>
      </c>
      <c r="D6" s="1775">
        <f t="shared" si="0"/>
        <v>280892</v>
      </c>
      <c r="E6" s="585">
        <v>656027</v>
      </c>
      <c r="F6" s="1775">
        <f t="shared" ref="F6:F18" si="1">E6-C6</f>
        <v>313692</v>
      </c>
    </row>
    <row r="7" spans="1:6" ht="13.7" customHeight="1" x14ac:dyDescent="0.2">
      <c r="A7" s="716" t="s">
        <v>157</v>
      </c>
      <c r="B7" s="1772">
        <f>'Revenues 9-14'!F5</f>
        <v>112802</v>
      </c>
      <c r="C7" s="585">
        <v>59791</v>
      </c>
      <c r="D7" s="1775">
        <f t="shared" si="0"/>
        <v>53011</v>
      </c>
      <c r="E7" s="585">
        <v>114579</v>
      </c>
      <c r="F7" s="1775">
        <f t="shared" si="1"/>
        <v>54788</v>
      </c>
    </row>
    <row r="8" spans="1:6" ht="13.7" customHeight="1" x14ac:dyDescent="0.2">
      <c r="A8" s="716" t="s">
        <v>1241</v>
      </c>
      <c r="B8" s="1772">
        <f>'Revenues 9-14'!G5</f>
        <v>72391</v>
      </c>
      <c r="C8" s="585">
        <v>42352</v>
      </c>
      <c r="D8" s="1775">
        <f t="shared" si="0"/>
        <v>30039</v>
      </c>
      <c r="E8" s="585">
        <v>81160</v>
      </c>
      <c r="F8" s="1775">
        <f t="shared" si="1"/>
        <v>38808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173168</v>
      </c>
      <c r="C11" s="585"/>
      <c r="D11" s="1775">
        <f t="shared" si="0"/>
        <v>173168</v>
      </c>
      <c r="E11" s="585"/>
      <c r="F11" s="1775">
        <f t="shared" si="1"/>
        <v>0</v>
      </c>
    </row>
    <row r="12" spans="1:6" ht="13.7" customHeight="1" x14ac:dyDescent="0.2">
      <c r="A12" s="716" t="s">
        <v>159</v>
      </c>
      <c r="B12" s="1772">
        <f>'Revenues 9-14'!K5</f>
        <v>0</v>
      </c>
      <c r="C12" s="585">
        <v>100778</v>
      </c>
      <c r="D12" s="1775">
        <f t="shared" si="0"/>
        <v>-100778</v>
      </c>
      <c r="E12" s="585">
        <v>193125</v>
      </c>
      <c r="F12" s="1775">
        <f t="shared" si="1"/>
        <v>92347</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258476</v>
      </c>
      <c r="C14" s="585">
        <v>164470</v>
      </c>
      <c r="D14" s="1775">
        <f t="shared" si="0"/>
        <v>94006</v>
      </c>
      <c r="E14" s="585">
        <v>315180</v>
      </c>
      <c r="F14" s="1775">
        <f t="shared" si="1"/>
        <v>150710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220883</v>
      </c>
      <c r="C16" s="585">
        <v>114599</v>
      </c>
      <c r="D16" s="1775">
        <f t="shared" si="0"/>
        <v>106284</v>
      </c>
      <c r="E16" s="585">
        <v>219609</v>
      </c>
      <c r="F16" s="1775">
        <f t="shared" si="1"/>
        <v>105010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12537075</v>
      </c>
      <c r="C19" s="1773">
        <f>SUM(C4:C18)</f>
        <v>6725640</v>
      </c>
      <c r="D19" s="1773">
        <f>SUM(D4:D18)</f>
        <v>5811435</v>
      </c>
      <c r="E19" s="1773">
        <f>SUM(E4:E18)</f>
        <v>12888563</v>
      </c>
      <c r="F19" s="1773">
        <f>SUM(F4:F18)</f>
        <v>6162923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650</v>
      </c>
      <c r="B1" s="2205"/>
      <c r="C1" s="722"/>
    </row>
    <row r="2" spans="1:7" ht="33.75" x14ac:dyDescent="0.2">
      <c r="A2" s="2213" t="s">
        <v>1905</v>
      </c>
      <c r="B2" s="2214"/>
      <c r="C2" s="1909" t="s">
        <v>2038</v>
      </c>
      <c r="D2" s="724" t="s">
        <v>2045</v>
      </c>
      <c r="E2" s="724" t="s">
        <v>2046</v>
      </c>
      <c r="F2" s="1909" t="s">
        <v>2039</v>
      </c>
    </row>
    <row r="3" spans="1:7" ht="15.75" customHeight="1" x14ac:dyDescent="0.2">
      <c r="A3" s="2217" t="s">
        <v>1176</v>
      </c>
      <c r="B3" s="2218"/>
      <c r="C3" s="2206"/>
      <c r="D3" s="2207"/>
      <c r="E3" s="2207"/>
      <c r="F3" s="2208"/>
    </row>
    <row r="4" spans="1:7" ht="12.75" customHeight="1" thickBot="1" x14ac:dyDescent="0.25">
      <c r="A4" s="2215" t="s">
        <v>651</v>
      </c>
      <c r="B4" s="2216"/>
      <c r="C4" s="581"/>
      <c r="D4" s="581"/>
      <c r="E4" s="581"/>
      <c r="F4" s="1777">
        <f>SUM(C4+D4)-E4</f>
        <v>0</v>
      </c>
    </row>
    <row r="5" spans="1:7" ht="15.75" customHeight="1" thickTop="1" x14ac:dyDescent="0.2">
      <c r="A5" s="2200" t="s">
        <v>1172</v>
      </c>
      <c r="B5" s="2201"/>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2" t="s">
        <v>652</v>
      </c>
      <c r="B15" s="2203"/>
      <c r="C15" s="1777">
        <f>SUM(C6:C14)</f>
        <v>0</v>
      </c>
      <c r="D15" s="1777">
        <f>SUM(D6:D14)</f>
        <v>0</v>
      </c>
      <c r="E15" s="1777">
        <f>SUM(E6:E14)</f>
        <v>0</v>
      </c>
      <c r="F15" s="1777">
        <f>SUM(F6:F14)</f>
        <v>0</v>
      </c>
      <c r="G15" s="552"/>
    </row>
    <row r="16" spans="1:7" s="202" customFormat="1" ht="15.75" customHeight="1" thickTop="1" x14ac:dyDescent="0.2">
      <c r="A16" s="2212" t="s">
        <v>1173</v>
      </c>
      <c r="B16" s="2201"/>
      <c r="C16" s="2209"/>
      <c r="D16" s="2210"/>
      <c r="E16" s="2210"/>
      <c r="F16" s="2211"/>
    </row>
    <row r="17" spans="1:11" ht="12.75" customHeight="1" thickBot="1" x14ac:dyDescent="0.25">
      <c r="A17" s="2225" t="s">
        <v>66</v>
      </c>
      <c r="B17" s="2226"/>
      <c r="C17" s="727"/>
      <c r="D17" s="585"/>
      <c r="E17" s="727"/>
      <c r="F17" s="1777">
        <f>SUM(C17+D17)-E17</f>
        <v>0</v>
      </c>
    </row>
    <row r="18" spans="1:11" ht="12.75" customHeight="1" thickTop="1" thickBot="1" x14ac:dyDescent="0.25">
      <c r="A18" s="2225" t="s">
        <v>6</v>
      </c>
      <c r="B18" s="2226"/>
      <c r="C18" s="727"/>
      <c r="D18" s="585"/>
      <c r="E18" s="727"/>
      <c r="F18" s="1777">
        <f>SUM(C18+D18)-E18</f>
        <v>0</v>
      </c>
    </row>
    <row r="19" spans="1:11" ht="12.75" customHeight="1" thickTop="1" thickBot="1" x14ac:dyDescent="0.25">
      <c r="A19" s="2225" t="s">
        <v>406</v>
      </c>
      <c r="B19" s="2226"/>
      <c r="C19" s="727"/>
      <c r="D19" s="585"/>
      <c r="E19" s="727"/>
      <c r="F19" s="1777">
        <f>SUM(C19+D19)-E19</f>
        <v>0</v>
      </c>
    </row>
    <row r="20" spans="1:11" ht="12.75" customHeight="1" thickTop="1" thickBot="1" x14ac:dyDescent="0.25">
      <c r="A20" s="2225" t="s">
        <v>468</v>
      </c>
      <c r="B20" s="2226"/>
      <c r="C20" s="727"/>
      <c r="D20" s="585"/>
      <c r="E20" s="727"/>
      <c r="F20" s="1777">
        <f>SUM(C20+D20)-E20</f>
        <v>0</v>
      </c>
    </row>
    <row r="21" spans="1:11" ht="14.25" thickTop="1" thickBot="1" x14ac:dyDescent="0.25">
      <c r="A21" s="2202" t="s">
        <v>653</v>
      </c>
      <c r="B21" s="2203"/>
      <c r="C21" s="1777">
        <f>SUM(C17:C20)</f>
        <v>0</v>
      </c>
      <c r="D21" s="1777">
        <f>SUM(D17:D20)</f>
        <v>0</v>
      </c>
      <c r="E21" s="1777">
        <f>SUM(E17:E20)</f>
        <v>0</v>
      </c>
      <c r="F21" s="1777">
        <f>SUM(F17:F20)</f>
        <v>0</v>
      </c>
      <c r="G21" s="552"/>
    </row>
    <row r="22" spans="1:11" ht="15.75" customHeight="1" thickTop="1" x14ac:dyDescent="0.2">
      <c r="A22" s="2227" t="s">
        <v>1174</v>
      </c>
      <c r="B22" s="2201"/>
      <c r="C22" s="2209"/>
      <c r="D22" s="2210"/>
      <c r="E22" s="2210"/>
      <c r="F22" s="2211"/>
    </row>
    <row r="23" spans="1:11" ht="13.5" thickBot="1" x14ac:dyDescent="0.25">
      <c r="A23" s="2215" t="s">
        <v>654</v>
      </c>
      <c r="B23" s="2216"/>
      <c r="C23" s="581"/>
      <c r="D23" s="581"/>
      <c r="E23" s="581"/>
      <c r="F23" s="1777">
        <f>SUM(C23+D23)-E23</f>
        <v>0</v>
      </c>
      <c r="G23" s="552"/>
    </row>
    <row r="24" spans="1:11" ht="15.75" customHeight="1" thickTop="1" x14ac:dyDescent="0.2">
      <c r="A24" s="2227" t="s">
        <v>1175</v>
      </c>
      <c r="B24" s="2201"/>
      <c r="C24" s="2209"/>
      <c r="D24" s="2210"/>
      <c r="E24" s="2210"/>
      <c r="F24" s="2211"/>
    </row>
    <row r="25" spans="1:11" ht="13.5" thickBot="1" x14ac:dyDescent="0.25">
      <c r="A25" s="2215" t="s">
        <v>655</v>
      </c>
      <c r="B25" s="2216"/>
      <c r="C25" s="581"/>
      <c r="D25" s="581"/>
      <c r="E25" s="581"/>
      <c r="F25" s="1777">
        <f>SUM(C25+D25)-E25</f>
        <v>0</v>
      </c>
      <c r="G25" s="552"/>
    </row>
    <row r="26" spans="1:11" ht="15.75" customHeight="1" thickTop="1" x14ac:dyDescent="0.2">
      <c r="A26" s="2200" t="s">
        <v>678</v>
      </c>
      <c r="B26" s="2201"/>
      <c r="C26" s="728"/>
      <c r="D26" s="728"/>
      <c r="E26" s="728"/>
      <c r="F26" s="729"/>
    </row>
    <row r="27" spans="1:11" ht="13.5" thickBot="1" x14ac:dyDescent="0.25">
      <c r="A27" s="2202" t="s">
        <v>1130</v>
      </c>
      <c r="B27" s="2203"/>
      <c r="C27" s="585"/>
      <c r="D27" s="585"/>
      <c r="E27" s="585"/>
      <c r="F27" s="1777">
        <f>SUM(C27+D27)-E27</f>
        <v>0</v>
      </c>
      <c r="G27" s="552"/>
    </row>
    <row r="28" spans="1:11" ht="7.5" customHeight="1" thickTop="1" x14ac:dyDescent="0.2">
      <c r="A28" s="594"/>
    </row>
    <row r="29" spans="1:11" ht="23.25" customHeight="1" x14ac:dyDescent="0.2">
      <c r="A29" s="2228" t="s">
        <v>603</v>
      </c>
      <c r="B29" s="2205"/>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40634</v>
      </c>
      <c r="C31" s="735">
        <v>4545000</v>
      </c>
      <c r="D31" s="736">
        <v>3</v>
      </c>
      <c r="E31" s="735">
        <v>1800000</v>
      </c>
      <c r="F31" s="735"/>
      <c r="G31" s="735"/>
      <c r="H31" s="735">
        <v>570000</v>
      </c>
      <c r="I31" s="1778">
        <f>((E31+F31)-H31)+G31</f>
        <v>1230000</v>
      </c>
      <c r="J31" s="735">
        <f>I31-'Assets-Liab 5-6'!N21</f>
        <v>965662</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4545000</v>
      </c>
      <c r="D49" s="746"/>
      <c r="E49" s="1778">
        <f t="shared" ref="E49:J49" si="2">SUM(E31:E48)</f>
        <v>1800000</v>
      </c>
      <c r="F49" s="1778">
        <f t="shared" si="2"/>
        <v>0</v>
      </c>
      <c r="G49" s="1778">
        <f t="shared" si="2"/>
        <v>0</v>
      </c>
      <c r="H49" s="1778">
        <f t="shared" si="2"/>
        <v>570000</v>
      </c>
      <c r="I49" s="1778">
        <f t="shared" si="2"/>
        <v>1230000</v>
      </c>
      <c r="J49" s="1778">
        <f t="shared" si="2"/>
        <v>965662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9" t="s">
        <v>605</v>
      </c>
      <c r="C52" s="2220"/>
      <c r="D52" s="2220"/>
      <c r="E52" s="750" t="s">
        <v>900</v>
      </c>
      <c r="F52" s="2221"/>
      <c r="G52" s="2222"/>
      <c r="H52" s="737"/>
      <c r="I52" s="737"/>
      <c r="J52" s="747"/>
    </row>
    <row r="53" spans="1:11" ht="11.25" customHeight="1" x14ac:dyDescent="0.2">
      <c r="A53" s="751" t="s">
        <v>969</v>
      </c>
      <c r="B53" s="752" t="s">
        <v>1008</v>
      </c>
      <c r="C53" s="747"/>
      <c r="D53" s="738"/>
      <c r="E53" s="750" t="s">
        <v>518</v>
      </c>
      <c r="F53" s="2223"/>
      <c r="G53" s="2224"/>
      <c r="H53" s="737"/>
      <c r="I53" s="737"/>
      <c r="J53" s="747"/>
    </row>
    <row r="54" spans="1:11" ht="11.25" customHeight="1" x14ac:dyDescent="0.2">
      <c r="A54" s="753" t="s">
        <v>970</v>
      </c>
      <c r="B54" s="748" t="s">
        <v>1009</v>
      </c>
      <c r="C54" s="747"/>
      <c r="D54" s="738"/>
      <c r="E54" s="750" t="s">
        <v>519</v>
      </c>
      <c r="F54" s="2223"/>
      <c r="G54" s="222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52"/>
      <c r="I1" s="761"/>
      <c r="J1" s="433"/>
    </row>
    <row r="2" spans="1:11" ht="26.25" x14ac:dyDescent="0.2">
      <c r="A2" s="2232" t="s">
        <v>1776</v>
      </c>
      <c r="B2" s="2233"/>
      <c r="C2" s="2233"/>
      <c r="D2" s="2233"/>
      <c r="E2" s="2234"/>
      <c r="F2" s="762" t="s">
        <v>960</v>
      </c>
      <c r="G2" s="763" t="s">
        <v>1773</v>
      </c>
      <c r="H2" s="763" t="s">
        <v>430</v>
      </c>
      <c r="I2" s="763" t="s">
        <v>1220</v>
      </c>
      <c r="J2" s="763" t="s">
        <v>1919</v>
      </c>
      <c r="K2" s="763" t="s">
        <v>140</v>
      </c>
    </row>
    <row r="3" spans="1:11" x14ac:dyDescent="0.2">
      <c r="A3" s="2235" t="s">
        <v>1698</v>
      </c>
      <c r="B3" s="2236"/>
      <c r="C3" s="2236"/>
      <c r="D3" s="2236"/>
      <c r="E3" s="2237"/>
      <c r="F3" s="764"/>
      <c r="G3" s="765"/>
      <c r="H3" s="765"/>
      <c r="I3" s="765"/>
      <c r="J3" s="766"/>
      <c r="K3" s="766"/>
    </row>
    <row r="4" spans="1:11" x14ac:dyDescent="0.2">
      <c r="A4" s="2238" t="s">
        <v>387</v>
      </c>
      <c r="B4" s="2239"/>
      <c r="C4" s="2239"/>
      <c r="D4" s="2239"/>
      <c r="E4" s="2220"/>
      <c r="F4" s="767"/>
      <c r="G4" s="768"/>
      <c r="H4" s="769"/>
      <c r="I4" s="768"/>
      <c r="J4" s="770"/>
      <c r="K4" s="770"/>
    </row>
    <row r="5" spans="1:11" x14ac:dyDescent="0.2">
      <c r="A5" s="2256" t="s">
        <v>1129</v>
      </c>
      <c r="B5" s="2229"/>
      <c r="C5" s="2229"/>
      <c r="D5" s="2229"/>
      <c r="E5" s="225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6" t="s">
        <v>1920</v>
      </c>
      <c r="B10" s="2229"/>
      <c r="C10" s="2229"/>
      <c r="D10" s="2229"/>
      <c r="E10" s="2258"/>
      <c r="F10" s="784" t="s">
        <v>917</v>
      </c>
      <c r="G10" s="783"/>
      <c r="H10" s="785"/>
      <c r="I10" s="765"/>
      <c r="J10" s="766"/>
      <c r="K10" s="766"/>
    </row>
    <row r="11" spans="1:11" x14ac:dyDescent="0.2">
      <c r="A11" s="2256" t="s">
        <v>162</v>
      </c>
      <c r="B11" s="2229"/>
      <c r="C11" s="2229"/>
      <c r="D11" s="2229"/>
      <c r="E11" s="2257"/>
      <c r="F11" s="771" t="s">
        <v>907</v>
      </c>
      <c r="G11" s="772"/>
      <c r="H11" s="765"/>
      <c r="I11" s="765"/>
      <c r="J11" s="766"/>
      <c r="K11" s="774"/>
    </row>
    <row r="12" spans="1:11" ht="13.5" thickBot="1" x14ac:dyDescent="0.25">
      <c r="A12" s="2246" t="s">
        <v>961</v>
      </c>
      <c r="B12" s="2247"/>
      <c r="C12" s="2247"/>
      <c r="D12" s="2247"/>
      <c r="E12" s="2248"/>
      <c r="F12" s="1779"/>
      <c r="G12" s="1780">
        <f>SUM(G5:G11)</f>
        <v>0</v>
      </c>
      <c r="H12" s="1780">
        <f>SUM(H5:H11)</f>
        <v>0</v>
      </c>
      <c r="I12" s="1780">
        <f>SUM(I5:I11)</f>
        <v>0</v>
      </c>
      <c r="J12" s="1780">
        <f>SUM(J5:J11)</f>
        <v>0</v>
      </c>
      <c r="K12" s="1780">
        <f>SUM(K5:K11)</f>
        <v>0</v>
      </c>
    </row>
    <row r="13" spans="1:11" ht="13.5" thickTop="1" x14ac:dyDescent="0.2">
      <c r="A13" s="2240" t="s">
        <v>388</v>
      </c>
      <c r="B13" s="2241"/>
      <c r="C13" s="2241"/>
      <c r="D13" s="2241"/>
      <c r="E13" s="2242"/>
      <c r="F13" s="786"/>
      <c r="G13" s="787"/>
      <c r="H13" s="788"/>
      <c r="I13" s="789"/>
      <c r="J13" s="789"/>
      <c r="K13" s="789"/>
    </row>
    <row r="14" spans="1:11" x14ac:dyDescent="0.2">
      <c r="A14" s="2262" t="s">
        <v>476</v>
      </c>
      <c r="B14" s="2262"/>
      <c r="C14" s="2262"/>
      <c r="D14" s="2262"/>
      <c r="E14" s="2263"/>
      <c r="F14" s="790" t="s">
        <v>909</v>
      </c>
      <c r="G14" s="783"/>
      <c r="H14" s="765"/>
      <c r="I14" s="772"/>
      <c r="J14" s="774"/>
      <c r="K14" s="766"/>
    </row>
    <row r="15" spans="1:11" x14ac:dyDescent="0.2">
      <c r="A15" s="2229" t="s">
        <v>4</v>
      </c>
      <c r="B15" s="2229"/>
      <c r="C15" s="2229"/>
      <c r="D15" s="2229"/>
      <c r="E15" s="2257"/>
      <c r="F15" s="790" t="s">
        <v>910</v>
      </c>
      <c r="G15" s="772"/>
      <c r="H15" s="765"/>
      <c r="I15" s="765"/>
      <c r="J15" s="766"/>
      <c r="K15" s="766"/>
    </row>
    <row r="16" spans="1:11" x14ac:dyDescent="0.2">
      <c r="A16" s="2229" t="s">
        <v>316</v>
      </c>
      <c r="B16" s="2229"/>
      <c r="C16" s="2229"/>
      <c r="D16" s="2229"/>
      <c r="E16" s="2257"/>
      <c r="F16" s="790" t="s">
        <v>980</v>
      </c>
      <c r="G16" s="773"/>
      <c r="H16" s="768"/>
      <c r="I16" s="768"/>
      <c r="J16" s="770"/>
      <c r="K16" s="770"/>
    </row>
    <row r="17" spans="1:11" x14ac:dyDescent="0.2">
      <c r="A17" s="2251" t="s">
        <v>992</v>
      </c>
      <c r="B17" s="2251"/>
      <c r="C17" s="2251"/>
      <c r="D17" s="2251"/>
      <c r="E17" s="2252"/>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64" t="s">
        <v>1916</v>
      </c>
      <c r="B19" s="2264"/>
      <c r="C19" s="2264"/>
      <c r="D19" s="2264"/>
      <c r="E19" s="2265"/>
      <c r="F19" s="790" t="s">
        <v>990</v>
      </c>
      <c r="G19" s="783"/>
      <c r="H19" s="783"/>
      <c r="I19" s="783"/>
      <c r="J19" s="766"/>
      <c r="K19" s="796"/>
    </row>
    <row r="20" spans="1:11" x14ac:dyDescent="0.2">
      <c r="A20" s="2243" t="s">
        <v>1921</v>
      </c>
      <c r="B20" s="2244"/>
      <c r="C20" s="2244"/>
      <c r="D20" s="2244"/>
      <c r="E20" s="2245"/>
      <c r="F20" s="790" t="s">
        <v>991</v>
      </c>
      <c r="G20" s="783"/>
      <c r="H20" s="783"/>
      <c r="I20" s="783"/>
      <c r="J20" s="766"/>
      <c r="K20" s="796"/>
    </row>
    <row r="21" spans="1:11" ht="13.5" thickBot="1" x14ac:dyDescent="0.25">
      <c r="A21" s="2249" t="s">
        <v>659</v>
      </c>
      <c r="B21" s="2249"/>
      <c r="C21" s="2249"/>
      <c r="D21" s="2249"/>
      <c r="E21" s="2249"/>
      <c r="F21" s="1781"/>
      <c r="G21" s="793"/>
      <c r="H21" s="797"/>
      <c r="I21" s="797"/>
      <c r="J21" s="1782">
        <f>SUM(J18:J20)</f>
        <v>0</v>
      </c>
      <c r="K21" s="794"/>
    </row>
    <row r="22" spans="1:11" ht="13.5" thickTop="1" x14ac:dyDescent="0.2">
      <c r="A22" s="2229" t="s">
        <v>1922</v>
      </c>
      <c r="B22" s="2229"/>
      <c r="C22" s="2229"/>
      <c r="D22" s="2229"/>
      <c r="E22" s="2257"/>
      <c r="F22" s="790" t="s">
        <v>917</v>
      </c>
      <c r="G22" s="783"/>
      <c r="H22" s="765"/>
      <c r="I22" s="765"/>
      <c r="J22" s="798"/>
      <c r="K22" s="766"/>
    </row>
    <row r="23" spans="1:11" ht="13.5" thickBot="1" x14ac:dyDescent="0.25">
      <c r="A23" s="2250" t="s">
        <v>962</v>
      </c>
      <c r="B23" s="2249"/>
      <c r="C23" s="2249"/>
      <c r="D23" s="2249"/>
      <c r="E23" s="2249"/>
      <c r="F23" s="1783"/>
      <c r="G23" s="1780">
        <f>SUM(G14:G16,G21,G22)</f>
        <v>0</v>
      </c>
      <c r="H23" s="1780">
        <f>SUM(H14:H16,H21,H22)</f>
        <v>0</v>
      </c>
      <c r="I23" s="1780">
        <f>SUM(I14:I16,I21,I22)</f>
        <v>0</v>
      </c>
      <c r="J23" s="1780">
        <f>SUM(J14:J16,J21,J22)</f>
        <v>0</v>
      </c>
      <c r="K23" s="1780">
        <f>SUM(K14:K16,K21,K22)</f>
        <v>0</v>
      </c>
    </row>
    <row r="24" spans="1:11" ht="14.25" thickTop="1" thickBot="1" x14ac:dyDescent="0.25">
      <c r="A24" s="2250" t="s">
        <v>2026</v>
      </c>
      <c r="B24" s="2249"/>
      <c r="C24" s="2249"/>
      <c r="D24" s="2249"/>
      <c r="E24" s="224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9"/>
      <c r="I31" s="2260"/>
      <c r="J31" s="2260"/>
      <c r="K31" s="2260"/>
    </row>
    <row r="32" spans="1:11" x14ac:dyDescent="0.2">
      <c r="A32" s="810"/>
      <c r="B32" s="237"/>
      <c r="C32" s="237"/>
      <c r="D32" s="237"/>
      <c r="E32" s="806"/>
      <c r="F32" s="812" t="s">
        <v>561</v>
      </c>
      <c r="G32" s="765"/>
      <c r="H32" s="2261"/>
      <c r="I32" s="2260"/>
      <c r="J32" s="2260"/>
      <c r="K32" s="2260"/>
    </row>
    <row r="33" spans="1:11" ht="1.5" customHeight="1" x14ac:dyDescent="0.2">
      <c r="A33" s="813" t="s">
        <v>1231</v>
      </c>
      <c r="B33" s="364"/>
      <c r="C33" s="364"/>
      <c r="D33" s="364"/>
      <c r="E33" s="364"/>
      <c r="F33" s="364"/>
      <c r="G33" s="814"/>
      <c r="H33" s="2261"/>
      <c r="I33" s="2260"/>
      <c r="J33" s="2260"/>
      <c r="K33" s="226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9" t="s">
        <v>562</v>
      </c>
      <c r="B41" s="2230"/>
      <c r="C41" s="2230"/>
      <c r="D41" s="2230"/>
      <c r="E41" s="2230"/>
      <c r="F41" s="223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2" sqref="J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7"/>
      <c r="E1" s="828"/>
      <c r="F1" s="828"/>
      <c r="G1" s="829"/>
      <c r="H1" s="830"/>
      <c r="I1" s="831"/>
      <c r="J1" s="2266"/>
      <c r="K1" s="2267"/>
      <c r="L1" s="226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684156</v>
      </c>
      <c r="D5" s="842"/>
      <c r="E5" s="842"/>
      <c r="F5" s="1782">
        <f>(C5+D5)-E5</f>
        <v>684156</v>
      </c>
      <c r="G5" s="838"/>
      <c r="H5" s="843"/>
      <c r="I5" s="843"/>
      <c r="J5" s="843"/>
      <c r="K5" s="794"/>
      <c r="L5" s="1791">
        <f>F5-K5</f>
        <v>684156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21449075</v>
      </c>
      <c r="D8" s="845">
        <v>187982</v>
      </c>
      <c r="E8" s="845"/>
      <c r="F8" s="1782">
        <f>(C8+D8)-E8</f>
        <v>21637057</v>
      </c>
      <c r="G8" s="844">
        <v>50</v>
      </c>
      <c r="H8" s="766">
        <v>9985587</v>
      </c>
      <c r="I8" s="766">
        <v>515991</v>
      </c>
      <c r="J8" s="766"/>
      <c r="K8" s="1791">
        <f>(H8+I8)-J8</f>
        <v>10501578</v>
      </c>
      <c r="L8" s="1791">
        <f>F8-K8</f>
        <v>11135479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1574088</v>
      </c>
      <c r="D10" s="847"/>
      <c r="E10" s="847"/>
      <c r="F10" s="1786">
        <f>(C10+D10)-E10</f>
        <v>1574088</v>
      </c>
      <c r="G10" s="844">
        <v>20</v>
      </c>
      <c r="H10" s="848">
        <v>1032250</v>
      </c>
      <c r="I10" s="848">
        <v>57211</v>
      </c>
      <c r="J10" s="848"/>
      <c r="K10" s="1791">
        <f>(H10+I10)-J10</f>
        <v>1089461</v>
      </c>
      <c r="L10" s="1791">
        <f>F10-K10</f>
        <v>484627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3768902</v>
      </c>
      <c r="D12" s="845">
        <v>7989</v>
      </c>
      <c r="E12" s="845"/>
      <c r="F12" s="1782">
        <f>(C12+D12)-E12</f>
        <v>3776891</v>
      </c>
      <c r="G12" s="844">
        <v>10</v>
      </c>
      <c r="H12" s="766">
        <v>2734992</v>
      </c>
      <c r="I12" s="766">
        <v>418929</v>
      </c>
      <c r="J12" s="766"/>
      <c r="K12" s="1791">
        <f>(H12+I12)-J12</f>
        <v>3153921</v>
      </c>
      <c r="L12" s="1791">
        <f>F12-K12</f>
        <v>622970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0</v>
      </c>
      <c r="D15" s="845">
        <v>121149</v>
      </c>
      <c r="E15" s="845"/>
      <c r="F15" s="1782">
        <f>(C15+D15)-E15</f>
        <v>121149</v>
      </c>
      <c r="G15" s="850" t="s">
        <v>917</v>
      </c>
      <c r="H15" s="782"/>
      <c r="I15" s="782"/>
      <c r="J15" s="782"/>
      <c r="K15" s="782"/>
      <c r="L15" s="1791">
        <f>F15-K15</f>
        <v>121149</v>
      </c>
    </row>
    <row r="16" spans="1:14" ht="15" customHeight="1" thickTop="1" thickBot="1" x14ac:dyDescent="0.25">
      <c r="A16" s="1787" t="s">
        <v>664</v>
      </c>
      <c r="B16" s="1788">
        <v>200</v>
      </c>
      <c r="C16" s="1782">
        <f>SUM(C3,C5:C6,C8:C10,C12:C15)</f>
        <v>27476221</v>
      </c>
      <c r="D16" s="1782">
        <f>SUM(D3,D5:D6,D8:D10,D12:D15)</f>
        <v>317120</v>
      </c>
      <c r="E16" s="1782">
        <f>SUM(E3,E5:E6,E8:E10,E12:E15)</f>
        <v>0</v>
      </c>
      <c r="F16" s="1782">
        <f>SUM(F3,F5:F6,F8:F10,F12:F15)</f>
        <v>27793341</v>
      </c>
      <c r="G16" s="844"/>
      <c r="H16" s="1782">
        <f>SUM(H3,H6,H8:H10,H12:H14,)</f>
        <v>13752829</v>
      </c>
      <c r="I16" s="1782">
        <f>SUM(I3,I6,I8:I10,I12:I14,)</f>
        <v>992131</v>
      </c>
      <c r="J16" s="1782">
        <f>SUM(J3,J6,J8:J10,J12:J14,)</f>
        <v>0</v>
      </c>
      <c r="K16" s="1782">
        <f>(H16+I16)-J16</f>
        <v>14744960</v>
      </c>
      <c r="L16" s="1782">
        <f>F16-K16</f>
        <v>13048381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213502</v>
      </c>
      <c r="G17" s="838">
        <v>10</v>
      </c>
      <c r="H17" s="770"/>
      <c r="I17" s="1791">
        <f>F17/G17</f>
        <v>21350.2</v>
      </c>
      <c r="J17" s="770"/>
      <c r="K17" s="796"/>
      <c r="L17" s="796"/>
    </row>
    <row r="18" spans="1:12" ht="14.25" thickTop="1" thickBot="1" x14ac:dyDescent="0.25">
      <c r="A18" s="1789" t="s">
        <v>706</v>
      </c>
      <c r="B18" s="1790"/>
      <c r="C18" s="772"/>
      <c r="D18" s="772"/>
      <c r="E18" s="772"/>
      <c r="F18" s="851"/>
      <c r="G18" s="852"/>
      <c r="H18" s="774"/>
      <c r="I18" s="1782">
        <f>SUM(I16,I17)</f>
        <v>1013481.2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10551373</v>
      </c>
      <c r="G8" s="866"/>
    </row>
    <row r="9" spans="1:7" x14ac:dyDescent="0.2">
      <c r="A9" s="870" t="s">
        <v>480</v>
      </c>
      <c r="B9" s="871" t="s">
        <v>1989</v>
      </c>
      <c r="C9" s="872"/>
      <c r="D9" s="870" t="s">
        <v>522</v>
      </c>
      <c r="E9" s="869"/>
      <c r="F9" s="1935">
        <f>'Expenditures 15-22'!K151</f>
        <v>1713227</v>
      </c>
      <c r="G9" s="873"/>
    </row>
    <row r="10" spans="1:7" x14ac:dyDescent="0.2">
      <c r="A10" s="870" t="s">
        <v>520</v>
      </c>
      <c r="B10" s="871" t="s">
        <v>1990</v>
      </c>
      <c r="C10" s="872"/>
      <c r="D10" s="870" t="s">
        <v>522</v>
      </c>
      <c r="E10" s="869"/>
      <c r="F10" s="1935">
        <f>'Expenditures 15-22'!K174</f>
        <v>633813</v>
      </c>
      <c r="G10" s="873"/>
    </row>
    <row r="11" spans="1:7" x14ac:dyDescent="0.2">
      <c r="A11" s="870" t="s">
        <v>481</v>
      </c>
      <c r="B11" s="871" t="s">
        <v>1991</v>
      </c>
      <c r="C11" s="872"/>
      <c r="D11" s="870" t="s">
        <v>522</v>
      </c>
      <c r="E11" s="869"/>
      <c r="F11" s="1935">
        <f>'Expenditures 15-22'!K210</f>
        <v>122153</v>
      </c>
      <c r="G11" s="873"/>
    </row>
    <row r="12" spans="1:7" x14ac:dyDescent="0.2">
      <c r="A12" s="870" t="s">
        <v>482</v>
      </c>
      <c r="B12" s="871" t="s">
        <v>1992</v>
      </c>
      <c r="C12" s="872"/>
      <c r="D12" s="870" t="s">
        <v>522</v>
      </c>
      <c r="E12" s="869"/>
      <c r="F12" s="1935">
        <f>'Expenditures 15-22'!K295</f>
        <v>315625</v>
      </c>
      <c r="G12" s="873"/>
    </row>
    <row r="13" spans="1:7" x14ac:dyDescent="0.2">
      <c r="A13" s="870" t="s">
        <v>108</v>
      </c>
      <c r="B13" s="871" t="s">
        <v>1993</v>
      </c>
      <c r="C13" s="872"/>
      <c r="D13" s="870" t="s">
        <v>522</v>
      </c>
      <c r="E13" s="869"/>
      <c r="F13" s="1935">
        <f>'Expenditures 15-22'!K342</f>
        <v>212436</v>
      </c>
      <c r="G13" s="874"/>
    </row>
    <row r="14" spans="1:7" ht="12" customHeight="1" thickBot="1" x14ac:dyDescent="0.25">
      <c r="A14" s="1792"/>
      <c r="B14" s="1793"/>
      <c r="C14" s="1794"/>
      <c r="D14" s="1795" t="s">
        <v>522</v>
      </c>
      <c r="E14" s="1796" t="s">
        <v>1015</v>
      </c>
      <c r="F14" s="1797">
        <f>SUM(F8:F13)</f>
        <v>13548627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183360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93859</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97263</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56786</v>
      </c>
      <c r="G52" s="866"/>
    </row>
    <row r="53" spans="1:7" x14ac:dyDescent="0.2">
      <c r="A53" s="870" t="s">
        <v>479</v>
      </c>
      <c r="B53" s="870" t="s">
        <v>1551</v>
      </c>
      <c r="C53" s="890">
        <f>'Expenditures 15-22'!B102</f>
        <v>4000</v>
      </c>
      <c r="D53" s="889" t="str">
        <f>'Expenditures 15-22'!A102</f>
        <v>Total Payments to Other Govt Units</v>
      </c>
      <c r="E53" s="869"/>
      <c r="F53" s="1939">
        <f>'Expenditures 15-22'!K102</f>
        <v>53629</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202503</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546340</v>
      </c>
      <c r="G58" s="866"/>
    </row>
    <row r="59" spans="1:7" x14ac:dyDescent="0.2">
      <c r="A59" s="894" t="s">
        <v>480</v>
      </c>
      <c r="B59" s="857" t="s">
        <v>1996</v>
      </c>
      <c r="C59" s="895" t="s">
        <v>1039</v>
      </c>
      <c r="D59" s="857" t="s">
        <v>309</v>
      </c>
      <c r="F59" s="1942">
        <f>'Expenditures 15-22'!I151</f>
        <v>10999</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570000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33677</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9797</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2367</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1860580</v>
      </c>
      <c r="G76" s="866"/>
    </row>
    <row r="77" spans="1:8" s="894" customFormat="1" ht="12" customHeight="1" thickTop="1" thickBot="1" x14ac:dyDescent="0.25">
      <c r="A77" s="1801"/>
      <c r="B77" s="1798"/>
      <c r="C77" s="1794"/>
      <c r="D77" s="1799" t="s">
        <v>2012</v>
      </c>
      <c r="E77" s="1796"/>
      <c r="F77" s="1802">
        <f>(F14-F76)</f>
        <v>11688047</v>
      </c>
      <c r="G77" s="870"/>
    </row>
    <row r="78" spans="1:8" s="894" customFormat="1" ht="12" customHeight="1" thickTop="1" x14ac:dyDescent="0.2">
      <c r="A78" s="1803"/>
      <c r="B78" s="1798"/>
      <c r="C78" s="1794"/>
      <c r="D78" s="1799" t="s">
        <v>2059</v>
      </c>
      <c r="E78" s="1796"/>
      <c r="F78" s="899">
        <v>831.69</v>
      </c>
      <c r="G78" s="900"/>
      <c r="H78" s="870"/>
    </row>
    <row r="79" spans="1:8" s="894" customFormat="1" ht="12" customHeight="1" thickBot="1" x14ac:dyDescent="0.25">
      <c r="A79" s="1804"/>
      <c r="B79" s="1798"/>
      <c r="C79" s="1794"/>
      <c r="D79" s="1799" t="s">
        <v>2013</v>
      </c>
      <c r="E79" s="1796" t="s">
        <v>1015</v>
      </c>
      <c r="F79" s="1805">
        <f>IF(F78&gt;0,F77/F78," Complete Line 78")</f>
        <v>14053.369644939821</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6607</v>
      </c>
      <c r="G94" s="913"/>
    </row>
    <row r="95" spans="1:7" x14ac:dyDescent="0.2">
      <c r="A95" s="909" t="s">
        <v>142</v>
      </c>
      <c r="B95" s="909" t="s">
        <v>177</v>
      </c>
      <c r="C95" s="911">
        <v>1700</v>
      </c>
      <c r="D95" s="919" t="str">
        <f>'Revenues 9-14'!A82</f>
        <v>Total District/School Activity Income</v>
      </c>
      <c r="E95" s="907"/>
      <c r="F95" s="1811">
        <f>SUM('Revenues 9-14'!C82,'Revenues 9-14'!D82)</f>
        <v>5289</v>
      </c>
      <c r="G95" s="913"/>
    </row>
    <row r="96" spans="1:7" x14ac:dyDescent="0.2">
      <c r="A96" s="909" t="s">
        <v>479</v>
      </c>
      <c r="B96" s="909" t="s">
        <v>178</v>
      </c>
      <c r="C96" s="911">
        <f>'Revenues 9-14'!B84</f>
        <v>1811</v>
      </c>
      <c r="D96" s="912" t="str">
        <f>'Revenues 9-14'!A84</f>
        <v>Rentals - Regular Textbooks</v>
      </c>
      <c r="E96" s="907"/>
      <c r="F96" s="1811">
        <f>'Revenues 9-14'!C84</f>
        <v>70591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83139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25641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84641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9917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25343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22706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21069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356443</v>
      </c>
    </row>
    <row r="179" spans="1:7" ht="12" customHeight="1" x14ac:dyDescent="0.2">
      <c r="A179" s="1792"/>
      <c r="B179" s="1806"/>
      <c r="C179" s="1807"/>
      <c r="D179" s="1808" t="s">
        <v>2015</v>
      </c>
      <c r="E179" s="1809"/>
      <c r="F179" s="1811">
        <f>'PCTC-OEPP 27-28'!F77-F178</f>
        <v>11331604</v>
      </c>
    </row>
    <row r="180" spans="1:7" ht="12" customHeight="1" x14ac:dyDescent="0.2">
      <c r="A180" s="1792"/>
      <c r="B180" s="1806"/>
      <c r="C180" s="1807"/>
      <c r="D180" s="1808" t="s">
        <v>1924</v>
      </c>
      <c r="E180" s="1809"/>
      <c r="F180" s="1811">
        <f>'Cap Outlay Deprec 26'!I18</f>
        <v>1013481.2</v>
      </c>
    </row>
    <row r="181" spans="1:7" ht="12" customHeight="1" x14ac:dyDescent="0.2">
      <c r="A181" s="1792"/>
      <c r="B181" s="1806"/>
      <c r="C181" s="1807"/>
      <c r="D181" s="1808" t="s">
        <v>2016</v>
      </c>
      <c r="E181" s="1809"/>
      <c r="F181" s="1811">
        <f>F179+F180</f>
        <v>12345085.199999999</v>
      </c>
    </row>
    <row r="182" spans="1:7" ht="12" customHeight="1" x14ac:dyDescent="0.2">
      <c r="A182" s="1792"/>
      <c r="B182" s="1812"/>
      <c r="C182" s="1807"/>
      <c r="D182" s="1808" t="str">
        <f>D78</f>
        <v>9 Month ADA from District Average Daily Attendance/Prior General State Aid Inquiry 2017-2018</v>
      </c>
      <c r="E182" s="1809"/>
      <c r="F182" s="1813">
        <f>'PCTC-OEPP 27-28'!F78</f>
        <v>831.69</v>
      </c>
      <c r="G182" s="931"/>
    </row>
    <row r="183" spans="1:7" ht="12" customHeight="1" thickBot="1" x14ac:dyDescent="0.25">
      <c r="A183" s="1792"/>
      <c r="B183" s="1812"/>
      <c r="C183" s="1807"/>
      <c r="D183" s="1808" t="s">
        <v>2017</v>
      </c>
      <c r="E183" s="1809" t="s">
        <v>1626</v>
      </c>
      <c r="F183" s="1814">
        <f>F181/F182</f>
        <v>14843.373372290154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workbookViewId="0">
      <selection activeCell="B38" sqref="B3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6" t="s">
        <v>1926</v>
      </c>
      <c r="B6" s="1557"/>
      <c r="C6" s="1557"/>
      <c r="D6" s="1557"/>
      <c r="E6" s="1557"/>
      <c r="F6" s="1557"/>
      <c r="G6" s="1558"/>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9" t="s">
        <v>1927</v>
      </c>
      <c r="B10" s="1560"/>
      <c r="C10" s="1560"/>
      <c r="D10" s="1560"/>
      <c r="E10" s="1560"/>
      <c r="F10" s="1560"/>
      <c r="G10" s="1561"/>
    </row>
    <row r="11" spans="1:7" ht="17.25" customHeight="1" x14ac:dyDescent="0.25">
      <c r="A11" s="2291" t="s">
        <v>1941</v>
      </c>
      <c r="B11" s="2292"/>
      <c r="C11" s="2292"/>
      <c r="D11" s="2292"/>
      <c r="E11" s="2292"/>
      <c r="F11" s="2292"/>
      <c r="G11" s="2293"/>
    </row>
    <row r="12" spans="1:7" ht="15" customHeight="1" x14ac:dyDescent="0.25">
      <c r="A12" s="1559" t="s">
        <v>1932</v>
      </c>
      <c r="B12" s="1560"/>
      <c r="C12" s="1560"/>
      <c r="D12" s="1560"/>
      <c r="E12" s="1560"/>
      <c r="F12" s="1560"/>
      <c r="G12" s="1561"/>
    </row>
    <row r="13" spans="1:7" ht="32.25" customHeight="1" x14ac:dyDescent="0.25">
      <c r="A13" s="2282" t="s">
        <v>1933</v>
      </c>
      <c r="B13" s="2283"/>
      <c r="C13" s="2283"/>
      <c r="D13" s="2283"/>
      <c r="E13" s="2283"/>
      <c r="F13" s="2283"/>
      <c r="G13" s="228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2105</v>
      </c>
      <c r="B17" s="1868" t="s">
        <v>2106</v>
      </c>
      <c r="C17" s="1678" t="s">
        <v>2107</v>
      </c>
      <c r="D17" s="1867">
        <v>30936</v>
      </c>
      <c r="E17" s="1562">
        <f t="shared" ref="E17:E141" si="1">IF(D17&lt;=25000,D17,IF(D17&gt;25000,25000,0))</f>
        <v>25000</v>
      </c>
      <c r="F17" s="1815">
        <f t="shared" si="0"/>
        <v>25000</v>
      </c>
      <c r="G17" s="1816">
        <f>IF(F17=0,0,D17-F17)</f>
        <v>5936</v>
      </c>
      <c r="H17" s="1669"/>
    </row>
    <row r="18" spans="1:8" x14ac:dyDescent="0.25">
      <c r="A18" s="1675" t="s">
        <v>2108</v>
      </c>
      <c r="B18" s="1868" t="s">
        <v>2109</v>
      </c>
      <c r="C18" s="1678" t="s">
        <v>2110</v>
      </c>
      <c r="D18" s="1867">
        <v>275702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250702</v>
      </c>
    </row>
    <row r="19" spans="1:8" x14ac:dyDescent="0.25">
      <c r="A19" s="1675" t="s">
        <v>2108</v>
      </c>
      <c r="B19" s="1869" t="s">
        <v>2109</v>
      </c>
      <c r="C19" s="1678" t="s">
        <v>2111</v>
      </c>
      <c r="D19" s="1867">
        <v>283136</v>
      </c>
      <c r="E19" s="1562">
        <f t="shared" si="2"/>
        <v>25000</v>
      </c>
      <c r="F19" s="1815">
        <f t="shared" si="3"/>
        <v>25000</v>
      </c>
      <c r="G19" s="1816">
        <f t="shared" si="4"/>
        <v>258136</v>
      </c>
    </row>
    <row r="20" spans="1:8" x14ac:dyDescent="0.25">
      <c r="A20" s="1675" t="s">
        <v>2112</v>
      </c>
      <c r="B20" s="2502" t="s">
        <v>2146</v>
      </c>
      <c r="C20" s="1678" t="s">
        <v>2114</v>
      </c>
      <c r="D20" s="1867">
        <v>47512</v>
      </c>
      <c r="E20" s="1562">
        <f t="shared" si="2"/>
        <v>25000</v>
      </c>
      <c r="F20" s="1815">
        <f t="shared" si="3"/>
        <v>0</v>
      </c>
      <c r="G20" s="1816">
        <f t="shared" si="4"/>
        <v>0</v>
      </c>
    </row>
    <row r="21" spans="1:8" x14ac:dyDescent="0.25">
      <c r="A21" s="1675" t="s">
        <v>2112</v>
      </c>
      <c r="B21" s="2502" t="s">
        <v>2146</v>
      </c>
      <c r="C21" s="1678" t="s">
        <v>2115</v>
      </c>
      <c r="D21" s="1867">
        <v>38080</v>
      </c>
      <c r="E21" s="1562">
        <f t="shared" si="2"/>
        <v>25000</v>
      </c>
      <c r="F21" s="1815">
        <f t="shared" si="3"/>
        <v>0</v>
      </c>
      <c r="G21" s="1816">
        <f t="shared" si="4"/>
        <v>0</v>
      </c>
    </row>
    <row r="22" spans="1:8" x14ac:dyDescent="0.25">
      <c r="A22" s="1675" t="s">
        <v>2112</v>
      </c>
      <c r="B22" s="2502" t="s">
        <v>2146</v>
      </c>
      <c r="C22" s="1678" t="s">
        <v>2116</v>
      </c>
      <c r="D22" s="1867">
        <v>46883</v>
      </c>
      <c r="E22" s="1562">
        <f t="shared" si="2"/>
        <v>25000</v>
      </c>
      <c r="F22" s="1815">
        <f t="shared" si="3"/>
        <v>0</v>
      </c>
      <c r="G22" s="1816">
        <f t="shared" si="4"/>
        <v>0</v>
      </c>
    </row>
    <row r="23" spans="1:8" x14ac:dyDescent="0.25">
      <c r="A23" s="1675" t="s">
        <v>2117</v>
      </c>
      <c r="B23" s="2502" t="s">
        <v>2147</v>
      </c>
      <c r="C23" s="1678" t="s">
        <v>2118</v>
      </c>
      <c r="D23" s="1867">
        <v>204105</v>
      </c>
      <c r="E23" s="1562">
        <f t="shared" si="2"/>
        <v>25000</v>
      </c>
      <c r="F23" s="1815">
        <f t="shared" si="3"/>
        <v>25000</v>
      </c>
      <c r="G23" s="1816">
        <f t="shared" si="4"/>
        <v>179105</v>
      </c>
    </row>
    <row r="24" spans="1:8" x14ac:dyDescent="0.25">
      <c r="A24" s="1675" t="s">
        <v>2119</v>
      </c>
      <c r="B24" s="1869" t="s">
        <v>2120</v>
      </c>
      <c r="C24" s="1678" t="s">
        <v>2121</v>
      </c>
      <c r="D24" s="1867">
        <v>38062</v>
      </c>
      <c r="E24" s="1562">
        <f t="shared" si="2"/>
        <v>25000</v>
      </c>
      <c r="F24" s="1815">
        <f t="shared" si="3"/>
        <v>0</v>
      </c>
      <c r="G24" s="1816">
        <f t="shared" si="4"/>
        <v>0</v>
      </c>
    </row>
    <row r="25" spans="1:8" x14ac:dyDescent="0.25">
      <c r="A25" s="1675" t="s">
        <v>2122</v>
      </c>
      <c r="B25" s="1868" t="s">
        <v>2123</v>
      </c>
      <c r="C25" s="1678" t="s">
        <v>2124</v>
      </c>
      <c r="D25" s="1867">
        <v>164826</v>
      </c>
      <c r="E25" s="1562">
        <f t="shared" si="2"/>
        <v>25000</v>
      </c>
      <c r="F25" s="1815">
        <f t="shared" si="3"/>
        <v>0</v>
      </c>
      <c r="G25" s="1816">
        <f t="shared" si="4"/>
        <v>0</v>
      </c>
    </row>
    <row r="26" spans="1:8" x14ac:dyDescent="0.25">
      <c r="A26" s="1675" t="s">
        <v>2112</v>
      </c>
      <c r="B26" s="2502" t="s">
        <v>2113</v>
      </c>
      <c r="C26" s="1676" t="s">
        <v>2125</v>
      </c>
      <c r="D26" s="1867">
        <v>28733</v>
      </c>
      <c r="E26" s="1562">
        <f t="shared" si="2"/>
        <v>25000</v>
      </c>
      <c r="F26" s="1815">
        <f t="shared" si="3"/>
        <v>0</v>
      </c>
      <c r="G26" s="1816">
        <f t="shared" si="4"/>
        <v>0</v>
      </c>
    </row>
    <row r="27" spans="1:8" x14ac:dyDescent="0.25">
      <c r="A27" s="1675" t="s">
        <v>2119</v>
      </c>
      <c r="B27" s="1869" t="s">
        <v>2120</v>
      </c>
      <c r="C27" s="1676" t="s">
        <v>2126</v>
      </c>
      <c r="D27" s="1867">
        <v>108602</v>
      </c>
      <c r="E27" s="1562">
        <f t="shared" si="2"/>
        <v>25000</v>
      </c>
      <c r="F27" s="1815">
        <f t="shared" si="3"/>
        <v>0</v>
      </c>
      <c r="G27" s="1816">
        <f t="shared" si="4"/>
        <v>0</v>
      </c>
    </row>
    <row r="28" spans="1:8" x14ac:dyDescent="0.25">
      <c r="A28" s="1675" t="s">
        <v>2105</v>
      </c>
      <c r="B28" s="2502" t="s">
        <v>2148</v>
      </c>
      <c r="C28" s="1676" t="s">
        <v>2128</v>
      </c>
      <c r="D28" s="1867">
        <v>25394</v>
      </c>
      <c r="E28" s="1562">
        <f t="shared" si="2"/>
        <v>25000</v>
      </c>
      <c r="F28" s="1815">
        <f t="shared" si="3"/>
        <v>25000</v>
      </c>
      <c r="G28" s="1816">
        <f t="shared" si="4"/>
        <v>394</v>
      </c>
    </row>
    <row r="29" spans="1:8" x14ac:dyDescent="0.25">
      <c r="A29" s="1675" t="s">
        <v>2112</v>
      </c>
      <c r="B29" s="2502" t="s">
        <v>2146</v>
      </c>
      <c r="C29" s="1676" t="s">
        <v>2129</v>
      </c>
      <c r="D29" s="1867">
        <v>62412</v>
      </c>
      <c r="E29" s="1562">
        <f t="shared" si="2"/>
        <v>25000</v>
      </c>
      <c r="F29" s="1815">
        <f t="shared" si="3"/>
        <v>0</v>
      </c>
      <c r="G29" s="1816">
        <f t="shared" si="4"/>
        <v>0</v>
      </c>
    </row>
    <row r="30" spans="1:8" x14ac:dyDescent="0.25">
      <c r="A30" s="1675" t="s">
        <v>2130</v>
      </c>
      <c r="B30" s="1869" t="s">
        <v>1931</v>
      </c>
      <c r="C30" s="1676" t="s">
        <v>2131</v>
      </c>
      <c r="D30" s="1867">
        <v>34995</v>
      </c>
      <c r="E30" s="1562">
        <f t="shared" si="2"/>
        <v>25000</v>
      </c>
      <c r="F30" s="1815">
        <f t="shared" si="3"/>
        <v>25000</v>
      </c>
      <c r="G30" s="1816">
        <f t="shared" si="4"/>
        <v>9995</v>
      </c>
    </row>
    <row r="31" spans="1:8" ht="30" x14ac:dyDescent="0.25">
      <c r="A31" s="1675" t="s">
        <v>2132</v>
      </c>
      <c r="B31" s="1869" t="s">
        <v>2133</v>
      </c>
      <c r="C31" s="1676" t="s">
        <v>2134</v>
      </c>
      <c r="D31" s="1867">
        <v>35421</v>
      </c>
      <c r="E31" s="1562">
        <f t="shared" si="2"/>
        <v>25000</v>
      </c>
      <c r="F31" s="1815">
        <f t="shared" si="3"/>
        <v>0</v>
      </c>
      <c r="G31" s="1816">
        <f t="shared" si="4"/>
        <v>0</v>
      </c>
    </row>
    <row r="32" spans="1:8" x14ac:dyDescent="0.25">
      <c r="A32" s="1675" t="s">
        <v>2105</v>
      </c>
      <c r="B32" s="1869" t="s">
        <v>2106</v>
      </c>
      <c r="C32" s="1676" t="s">
        <v>2135</v>
      </c>
      <c r="D32" s="1867">
        <v>310605</v>
      </c>
      <c r="E32" s="1562">
        <f t="shared" si="2"/>
        <v>25000</v>
      </c>
      <c r="F32" s="1815">
        <f t="shared" si="3"/>
        <v>25000</v>
      </c>
      <c r="G32" s="1816">
        <f t="shared" si="4"/>
        <v>285605</v>
      </c>
    </row>
    <row r="33" spans="1:7" ht="30" x14ac:dyDescent="0.25">
      <c r="A33" s="1675" t="s">
        <v>2132</v>
      </c>
      <c r="B33" s="2502" t="s">
        <v>2149</v>
      </c>
      <c r="C33" s="1676" t="s">
        <v>2136</v>
      </c>
      <c r="D33" s="1867">
        <v>33697</v>
      </c>
      <c r="E33" s="1562">
        <f t="shared" si="2"/>
        <v>25000</v>
      </c>
      <c r="F33" s="1815">
        <f t="shared" si="3"/>
        <v>25000</v>
      </c>
      <c r="G33" s="1816">
        <f t="shared" si="4"/>
        <v>8697</v>
      </c>
    </row>
    <row r="34" spans="1:7" x14ac:dyDescent="0.25">
      <c r="A34" s="1675" t="s">
        <v>2137</v>
      </c>
      <c r="B34" s="1869" t="s">
        <v>2127</v>
      </c>
      <c r="C34" s="1676" t="s">
        <v>2101</v>
      </c>
      <c r="D34" s="1867">
        <v>63747</v>
      </c>
      <c r="E34" s="1562">
        <f t="shared" si="2"/>
        <v>25000</v>
      </c>
      <c r="F34" s="1815">
        <f t="shared" si="3"/>
        <v>0</v>
      </c>
      <c r="G34" s="1816">
        <f t="shared" si="4"/>
        <v>0</v>
      </c>
    </row>
    <row r="35" spans="1:7" x14ac:dyDescent="0.25">
      <c r="A35" s="1675" t="s">
        <v>2112</v>
      </c>
      <c r="B35" s="1869" t="s">
        <v>2113</v>
      </c>
      <c r="C35" s="1676" t="s">
        <v>2138</v>
      </c>
      <c r="D35" s="1867">
        <v>27344</v>
      </c>
      <c r="E35" s="1562">
        <f t="shared" si="2"/>
        <v>25000</v>
      </c>
      <c r="F35" s="1815">
        <f t="shared" si="3"/>
        <v>0</v>
      </c>
      <c r="G35" s="1816">
        <f t="shared" si="4"/>
        <v>0</v>
      </c>
    </row>
    <row r="36" spans="1:7" x14ac:dyDescent="0.25">
      <c r="A36" s="1675" t="s">
        <v>2105</v>
      </c>
      <c r="B36" s="1869" t="s">
        <v>2106</v>
      </c>
      <c r="C36" s="1676" t="s">
        <v>2139</v>
      </c>
      <c r="D36" s="1867">
        <v>52803</v>
      </c>
      <c r="E36" s="1562">
        <f t="shared" si="2"/>
        <v>25000</v>
      </c>
      <c r="F36" s="1815">
        <f t="shared" si="3"/>
        <v>25000</v>
      </c>
      <c r="G36" s="1816">
        <f t="shared" si="4"/>
        <v>27803</v>
      </c>
    </row>
    <row r="37" spans="1:7" x14ac:dyDescent="0.25">
      <c r="A37" s="1675" t="s">
        <v>2108</v>
      </c>
      <c r="B37" s="2502" t="s">
        <v>2150</v>
      </c>
      <c r="C37" s="1676" t="s">
        <v>2140</v>
      </c>
      <c r="D37" s="1867">
        <v>58814</v>
      </c>
      <c r="E37" s="1562">
        <f t="shared" si="2"/>
        <v>25000</v>
      </c>
      <c r="F37" s="1815">
        <f t="shared" si="3"/>
        <v>25000</v>
      </c>
      <c r="G37" s="1816">
        <f t="shared" si="4"/>
        <v>33814</v>
      </c>
    </row>
    <row r="38" spans="1:7" x14ac:dyDescent="0.25">
      <c r="A38" s="1675" t="s">
        <v>2105</v>
      </c>
      <c r="B38" s="1689" t="s">
        <v>2106</v>
      </c>
      <c r="C38" s="1676" t="s">
        <v>2141</v>
      </c>
      <c r="D38" s="1867">
        <v>27697</v>
      </c>
      <c r="E38" s="1562">
        <f t="shared" si="2"/>
        <v>25000</v>
      </c>
      <c r="F38" s="1815">
        <f t="shared" si="3"/>
        <v>25000</v>
      </c>
      <c r="G38" s="1816">
        <f t="shared" si="4"/>
        <v>2697</v>
      </c>
    </row>
    <row r="39" spans="1:7" x14ac:dyDescent="0.25">
      <c r="A39" s="1675" t="s">
        <v>2130</v>
      </c>
      <c r="B39" s="1689" t="s">
        <v>1931</v>
      </c>
      <c r="C39" s="1676" t="s">
        <v>2142</v>
      </c>
      <c r="D39" s="1867">
        <v>31132</v>
      </c>
      <c r="E39" s="1562">
        <f t="shared" si="2"/>
        <v>25000</v>
      </c>
      <c r="F39" s="1815">
        <f t="shared" si="3"/>
        <v>25000</v>
      </c>
      <c r="G39" s="1816">
        <f t="shared" si="4"/>
        <v>6132</v>
      </c>
    </row>
    <row r="40" spans="1:7" x14ac:dyDescent="0.25">
      <c r="A40" s="1675" t="s">
        <v>2112</v>
      </c>
      <c r="B40" s="1689" t="s">
        <v>2113</v>
      </c>
      <c r="C40" s="1676" t="s">
        <v>2143</v>
      </c>
      <c r="D40" s="1867">
        <v>28232</v>
      </c>
      <c r="E40" s="1562">
        <f t="shared" si="2"/>
        <v>25000</v>
      </c>
      <c r="F40" s="1815">
        <f t="shared" si="3"/>
        <v>0</v>
      </c>
      <c r="G40" s="1816">
        <f t="shared" si="4"/>
        <v>0</v>
      </c>
    </row>
    <row r="41" spans="1:7" x14ac:dyDescent="0.25">
      <c r="A41" s="1675" t="s">
        <v>2119</v>
      </c>
      <c r="B41" s="1689" t="s">
        <v>2120</v>
      </c>
      <c r="C41" s="1676" t="s">
        <v>2144</v>
      </c>
      <c r="D41" s="1867">
        <v>50068</v>
      </c>
      <c r="E41" s="1562">
        <f t="shared" si="2"/>
        <v>25000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2108938</v>
      </c>
      <c r="E141" s="1563">
        <f t="shared" si="1"/>
        <v>25000</v>
      </c>
      <c r="F141" s="1817">
        <f>SUM(F17:F140)</f>
        <v>300000</v>
      </c>
      <c r="G141" s="1818">
        <f>SUM(G17:G140)</f>
        <v>1069016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8"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2" t="s">
        <v>1945</v>
      </c>
      <c r="B11" s="2303"/>
      <c r="C11" s="2303"/>
      <c r="D11" s="230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7885187</v>
      </c>
      <c r="F19" s="1822"/>
      <c r="G19" s="1824">
        <f>'Expenditures 15-22'!K33-SUM('Expenditures 15-22'!G33,'Expenditures 15-22'!I33)+'Expenditures 15-22'!D229</f>
        <v>7885187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550894</v>
      </c>
      <c r="F21" s="1825"/>
      <c r="G21" s="1828">
        <f>'Expenditures 15-22'!K42-SUM('Expenditures 15-22'!G42,'Expenditures 15-22'!I42)+'Expenditures 15-22'!K120-SUM('Expenditures 15-22'!G120,'Expenditures 15-22'!I120)+'Expenditures 15-22'!K180-SUM('Expenditures 15-22'!G180,'Expenditures 15-22'!I180)+'Expenditures 15-22'!D238</f>
        <v>550894</v>
      </c>
      <c r="H21" s="988"/>
      <c r="I21" s="162"/>
    </row>
    <row r="22" spans="1:9" s="669" customFormat="1" ht="12" customHeight="1" x14ac:dyDescent="0.2">
      <c r="A22" s="995" t="s">
        <v>585</v>
      </c>
      <c r="B22" s="996"/>
      <c r="C22" s="994">
        <v>2200</v>
      </c>
      <c r="D22" s="1825"/>
      <c r="E22" s="1827">
        <f>'Expenditures 15-22'!K47-SUM('Expenditures 15-22'!G47,'Expenditures 15-22'!I47)+'Expenditures 15-22'!D243</f>
        <v>553001</v>
      </c>
      <c r="F22" s="1825"/>
      <c r="G22" s="1828">
        <f>'Expenditures 15-22'!K47-SUM('Expenditures 15-22'!G47,'Expenditures 15-22'!I47)+'Expenditures 15-22'!D243</f>
        <v>553001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625427</v>
      </c>
      <c r="F23" s="1825"/>
      <c r="G23" s="1827">
        <f>'Expenditures 15-22'!K53-SUM('Expenditures 15-22'!G53,'Expenditures 15-22'!I53)+'Expenditures 15-22'!D257+'Expenditures 15-22'!K330-SUM('Expenditures 15-22'!G330,'Expenditures 15-22'!I330)</f>
        <v>625427</v>
      </c>
      <c r="H23" s="988"/>
      <c r="I23" s="162"/>
    </row>
    <row r="24" spans="1:9" s="669" customFormat="1" ht="12" customHeight="1" x14ac:dyDescent="0.2">
      <c r="A24" s="995" t="s">
        <v>587</v>
      </c>
      <c r="B24" s="996"/>
      <c r="C24" s="994">
        <v>2400</v>
      </c>
      <c r="D24" s="1825"/>
      <c r="E24" s="1827">
        <f>'Expenditures 15-22'!K57-SUM('Expenditures 15-22'!G57,'Expenditures 15-22'!I57)+'Expenditures 15-22'!D261</f>
        <v>535620</v>
      </c>
      <c r="F24" s="1825"/>
      <c r="G24" s="1828">
        <f>'Expenditures 15-22'!K57-SUM('Expenditures 15-22'!G57,'Expenditures 15-22'!I57)+'Expenditures 15-22'!D261</f>
        <v>535620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178485</v>
      </c>
      <c r="E27" s="1827">
        <f>E8</f>
        <v>0</v>
      </c>
      <c r="F27" s="1827">
        <f>'Expenditures 15-22'!K60-SUM('Expenditures 15-22'!G60,'Expenditures 15-22'!I60)+'Expenditures 15-22'!D264-E8</f>
        <v>178485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1218438</v>
      </c>
      <c r="F28" s="1829">
        <f>'Expenditures 15-22'!K61-SUM('Expenditures 15-22'!G61,'Expenditures 15-22'!I61)+'Expenditures 15-22'!K124-SUM('Expenditures 15-22'!G124,'Expenditures 15-22'!I124)+'Expenditures 15-22'!D266-E9</f>
        <v>1218438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90315</v>
      </c>
      <c r="F29" s="1825"/>
      <c r="G29" s="1828">
        <f>'Expenditures 15-22'!K62-SUM('Expenditures 15-22'!G62,'Expenditures 15-22'!I62)+'Expenditures 15-22'!K125-SUM('Expenditures 15-22'!G125,'Expenditures 15-22'!I125)+'Expenditures 15-22'!K182-SUM('Expenditures 15-22'!G182,'Expenditures 15-22'!I182)+'Expenditures 15-22'!D267</f>
        <v>90315</v>
      </c>
      <c r="H29" s="986"/>
    </row>
    <row r="30" spans="1:9" ht="12" customHeight="1" x14ac:dyDescent="0.2">
      <c r="A30" s="995" t="s">
        <v>102</v>
      </c>
      <c r="B30" s="998"/>
      <c r="C30" s="994">
        <v>2560</v>
      </c>
      <c r="D30" s="1825"/>
      <c r="E30" s="1827">
        <f>'Expenditures 15-22'!K63-SUM('Expenditures 15-22'!G63,'Expenditures 15-22'!I63)+'Expenditures 15-22'!D268-E10</f>
        <v>155852</v>
      </c>
      <c r="F30" s="1825"/>
      <c r="G30" s="1827">
        <f>'Expenditures 15-22'!K63-SUM('Expenditures 15-22'!G63,'Expenditures 15-22'!I63)+'Expenditures 15-22'!D268-E10</f>
        <v>155852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217661</v>
      </c>
      <c r="E37" s="1827">
        <f>E14</f>
        <v>0</v>
      </c>
      <c r="F37" s="1827">
        <f>'Expenditures 15-22'!K71-SUM('Expenditures 15-22'!G71,'Expenditures 15-22'!I71)+'Expenditures 15-22'!D276-E14</f>
        <v>217661</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56786</v>
      </c>
      <c r="F39" s="1825"/>
      <c r="G39" s="1827">
        <f>'Expenditures 15-22'!K75-SUM('Expenditures 15-22'!G75,'Expenditures 15-22'!I75)+'Expenditures 15-22'!K130-SUM('Expenditures 15-22'!G130,'Expenditures 15-22'!I130)+'Expenditures 15-22'!K185-SUM('Expenditures 15-22'!G185,'Expenditures 15-22'!I185)+'Expenditures 15-22'!D280</f>
        <v>56786</v>
      </c>
    </row>
    <row r="40" spans="1:7" ht="12" customHeight="1" x14ac:dyDescent="0.2">
      <c r="A40" s="991" t="s">
        <v>1930</v>
      </c>
      <c r="B40" s="992"/>
      <c r="C40" s="994"/>
      <c r="D40" s="1825"/>
      <c r="E40" s="1829">
        <f>-'Contracts Paid in CY 29'!G141</f>
        <v>-1069016</v>
      </c>
      <c r="F40" s="1825"/>
      <c r="G40" s="1829">
        <f>-'Contracts Paid in CY 29'!G141</f>
        <v>-1069016</v>
      </c>
    </row>
    <row r="41" spans="1:7" ht="12" customHeight="1" x14ac:dyDescent="0.2">
      <c r="A41" s="999" t="s">
        <v>158</v>
      </c>
      <c r="B41" s="1000"/>
      <c r="C41" s="1001"/>
      <c r="D41" s="1829">
        <f>SUM(D19:D39)</f>
        <v>396146</v>
      </c>
      <c r="E41" s="1829">
        <f>SUM(E19:E40)</f>
        <v>10602504</v>
      </c>
      <c r="F41" s="1829">
        <f>SUM(F19:F39)</f>
        <v>1614584</v>
      </c>
      <c r="G41" s="1829">
        <f>SUM(G19:G40)</f>
        <v>9384066</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396146</v>
      </c>
      <c r="F43" s="1830" t="s">
        <v>495</v>
      </c>
      <c r="G43" s="1831">
        <f>F41</f>
        <v>1614584</v>
      </c>
    </row>
    <row r="44" spans="1:7" ht="12" customHeight="1" x14ac:dyDescent="0.2">
      <c r="A44" s="988"/>
      <c r="B44" s="162"/>
      <c r="C44" s="1002"/>
      <c r="D44" s="1830" t="s">
        <v>494</v>
      </c>
      <c r="E44" s="1831">
        <f>E41</f>
        <v>10602504</v>
      </c>
      <c r="F44" s="1830" t="s">
        <v>494</v>
      </c>
      <c r="G44" s="1831">
        <f>G41</f>
        <v>9384066</v>
      </c>
    </row>
    <row r="45" spans="1:7" ht="12" customHeight="1" x14ac:dyDescent="0.2">
      <c r="A45" s="988"/>
      <c r="B45" s="162"/>
      <c r="C45" s="162"/>
      <c r="D45" s="1832" t="s">
        <v>1063</v>
      </c>
      <c r="E45" s="1833">
        <f>(E43/E44)</f>
        <v>3.7363437919947964E-2</v>
      </c>
      <c r="F45" s="1832" t="s">
        <v>1063</v>
      </c>
      <c r="G45" s="1833">
        <f>(G43/G44)</f>
        <v>0.17205590838768611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8" t="s">
        <v>1446</v>
      </c>
      <c r="B1" s="2308"/>
      <c r="C1" s="2308"/>
      <c r="D1" s="2308"/>
      <c r="E1" s="2308"/>
      <c r="F1" s="2308"/>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09" t="s">
        <v>1627</v>
      </c>
      <c r="B5" s="2310"/>
      <c r="C5" s="2311"/>
      <c r="D5" s="2311"/>
      <c r="E5" s="2311"/>
      <c r="F5" s="2311"/>
    </row>
    <row r="6" spans="1:10" ht="12" customHeight="1" x14ac:dyDescent="0.25">
      <c r="A6" s="1875"/>
      <c r="B6" s="1876"/>
      <c r="C6" s="2312" t="str">
        <f>COVER!A17</f>
        <v>Lagrange Highlands SD 106</v>
      </c>
      <c r="D6" s="2312"/>
      <c r="E6" s="2312"/>
      <c r="F6" s="1877"/>
    </row>
    <row r="7" spans="1:10" ht="11.25" customHeight="1" thickBot="1" x14ac:dyDescent="0.3">
      <c r="A7" s="1875"/>
      <c r="B7" s="1876"/>
      <c r="C7" s="2313">
        <f>COVER!A13</f>
        <v>6016106002</v>
      </c>
      <c r="D7" s="2313"/>
      <c r="E7" s="2313"/>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t="s">
        <v>2077</v>
      </c>
      <c r="D12" s="1890" t="s">
        <v>2077</v>
      </c>
      <c r="E12" s="1893" t="s">
        <v>2103</v>
      </c>
      <c r="F12" s="1892" t="s">
        <v>2095</v>
      </c>
      <c r="H12" s="1903">
        <f t="shared" ref="H12:H33" si="0">IF(C12="X",5,0)</f>
        <v>5</v>
      </c>
      <c r="I12" s="1903">
        <f t="shared" ref="I12:I33" si="1">IF(D12="X",5,0)</f>
        <v>5</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2103</v>
      </c>
      <c r="F14" s="1892" t="s">
        <v>2096</v>
      </c>
      <c r="H14" s="1903">
        <f t="shared" si="0"/>
        <v>5</v>
      </c>
      <c r="I14" s="1903">
        <f t="shared" si="1"/>
        <v>5</v>
      </c>
      <c r="J14" s="1903">
        <f t="shared" si="2"/>
        <v>0</v>
      </c>
    </row>
    <row r="15" spans="1:10" ht="12" customHeight="1" x14ac:dyDescent="0.2">
      <c r="A15" s="1888" t="s">
        <v>1454</v>
      </c>
      <c r="B15" s="1889"/>
      <c r="C15" s="1890" t="s">
        <v>2077</v>
      </c>
      <c r="D15" s="1890" t="s">
        <v>2077</v>
      </c>
      <c r="E15" s="1893" t="s">
        <v>2103</v>
      </c>
      <c r="F15" s="1892" t="s">
        <v>2097</v>
      </c>
      <c r="H15" s="1903">
        <f t="shared" si="0"/>
        <v>5</v>
      </c>
      <c r="I15" s="1903">
        <f t="shared" si="1"/>
        <v>5</v>
      </c>
      <c r="J15" s="1903">
        <f t="shared" si="2"/>
        <v>0</v>
      </c>
    </row>
    <row r="16" spans="1:10" ht="12" customHeight="1" x14ac:dyDescent="0.2">
      <c r="A16" s="1888" t="s">
        <v>1455</v>
      </c>
      <c r="B16" s="1889"/>
      <c r="C16" s="1890" t="s">
        <v>2077</v>
      </c>
      <c r="D16" s="1890" t="s">
        <v>2077</v>
      </c>
      <c r="E16" s="1893" t="s">
        <v>2103</v>
      </c>
      <c r="F16" s="1892" t="s">
        <v>2098</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2077</v>
      </c>
      <c r="D18" s="1890" t="s">
        <v>2077</v>
      </c>
      <c r="E18" s="1893" t="s">
        <v>2103</v>
      </c>
      <c r="F18" s="1892" t="s">
        <v>2099</v>
      </c>
      <c r="H18" s="1903">
        <f t="shared" si="0"/>
        <v>5</v>
      </c>
      <c r="I18" s="1903">
        <f t="shared" si="1"/>
        <v>5</v>
      </c>
      <c r="J18" s="1903">
        <f t="shared" si="2"/>
        <v>0</v>
      </c>
    </row>
    <row r="19" spans="1:12" ht="12" customHeight="1" x14ac:dyDescent="0.2">
      <c r="A19" s="1888" t="s">
        <v>1608</v>
      </c>
      <c r="B19" s="1889"/>
      <c r="C19" s="1890" t="s">
        <v>2077</v>
      </c>
      <c r="D19" s="1890" t="s">
        <v>2077</v>
      </c>
      <c r="E19" s="1893" t="s">
        <v>2103</v>
      </c>
      <c r="F19" s="1892" t="s">
        <v>2100</v>
      </c>
      <c r="H19" s="1903">
        <f t="shared" si="0"/>
        <v>5</v>
      </c>
      <c r="I19" s="1903">
        <f t="shared" si="1"/>
        <v>5</v>
      </c>
      <c r="J19" s="1903">
        <f t="shared" si="2"/>
        <v>0</v>
      </c>
    </row>
    <row r="20" spans="1:12" ht="12" customHeight="1" x14ac:dyDescent="0.2">
      <c r="A20" s="1888" t="s">
        <v>1609</v>
      </c>
      <c r="B20" s="1889"/>
      <c r="C20" s="1890" t="s">
        <v>2077</v>
      </c>
      <c r="D20" s="1890" t="s">
        <v>2077</v>
      </c>
      <c r="E20" s="1893" t="s">
        <v>2103</v>
      </c>
      <c r="F20" s="1892" t="s">
        <v>2101</v>
      </c>
      <c r="H20" s="1903">
        <f t="shared" si="0"/>
        <v>5</v>
      </c>
      <c r="I20" s="1903">
        <f t="shared" si="1"/>
        <v>5</v>
      </c>
      <c r="J20" s="1903">
        <f t="shared" si="2"/>
        <v>0</v>
      </c>
    </row>
    <row r="21" spans="1:12" ht="12" customHeight="1" x14ac:dyDescent="0.2">
      <c r="A21" s="1888" t="s">
        <v>1610</v>
      </c>
      <c r="B21" s="1889"/>
      <c r="C21" s="1890" t="s">
        <v>2077</v>
      </c>
      <c r="D21" s="1890" t="s">
        <v>2077</v>
      </c>
      <c r="E21" s="1893" t="s">
        <v>2103</v>
      </c>
      <c r="F21" s="1892" t="s">
        <v>2102</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0</v>
      </c>
      <c r="K34" s="1903">
        <f>SUM(H34:J34)</f>
        <v>80</v>
      </c>
    </row>
    <row r="35" spans="1:11" ht="12" customHeight="1" x14ac:dyDescent="0.2">
      <c r="A35" s="1896" t="s">
        <v>1459</v>
      </c>
      <c r="B35" s="1897"/>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98"/>
      <c r="B39" s="1898"/>
      <c r="C39" s="1898"/>
      <c r="D39" s="1898"/>
      <c r="E39" s="1898"/>
      <c r="F39" s="1898"/>
    </row>
    <row r="40" spans="1:11" s="1895" customFormat="1" ht="12" customHeight="1" x14ac:dyDescent="0.25">
      <c r="A40" s="1899" t="s">
        <v>1458</v>
      </c>
      <c r="B40" s="1900"/>
      <c r="C40" s="2322"/>
      <c r="D40" s="2322"/>
      <c r="E40" s="2322"/>
      <c r="F40" s="2323"/>
      <c r="H40" s="1904"/>
      <c r="I40" s="1904"/>
      <c r="J40" s="1904"/>
      <c r="K40" s="1904"/>
    </row>
    <row r="41" spans="1:11" s="1895" customFormat="1" ht="12" customHeight="1" x14ac:dyDescent="0.25">
      <c r="A41" s="2324"/>
      <c r="B41" s="2325"/>
      <c r="C41" s="2325"/>
      <c r="D41" s="2325"/>
      <c r="E41" s="2325"/>
      <c r="F41" s="2326"/>
      <c r="H41" s="1904"/>
      <c r="I41" s="1904"/>
      <c r="J41" s="1904"/>
      <c r="K41" s="1904"/>
    </row>
    <row r="42" spans="1:11" s="1895" customFormat="1" ht="12" customHeight="1" x14ac:dyDescent="0.25">
      <c r="A42" s="2324"/>
      <c r="B42" s="2325"/>
      <c r="C42" s="2325"/>
      <c r="D42" s="2325"/>
      <c r="E42" s="2325"/>
      <c r="F42" s="2326"/>
      <c r="H42" s="1904"/>
      <c r="I42" s="1904"/>
      <c r="J42" s="1904"/>
      <c r="K42" s="1904"/>
    </row>
    <row r="43" spans="1:11" s="1895" customFormat="1" ht="15" x14ac:dyDescent="0.25">
      <c r="A43" s="2316"/>
      <c r="B43" s="2317"/>
      <c r="C43" s="2317"/>
      <c r="D43" s="2317"/>
      <c r="E43" s="2317"/>
      <c r="F43" s="2318"/>
      <c r="H43" s="1904"/>
      <c r="I43" s="1904"/>
      <c r="J43" s="1904"/>
      <c r="K43" s="1904"/>
    </row>
    <row r="44" spans="1:11" s="1895" customFormat="1" ht="12" hidden="1" customHeight="1" x14ac:dyDescent="0.25">
      <c r="A44" s="2316"/>
      <c r="B44" s="2317"/>
      <c r="C44" s="2317"/>
      <c r="D44" s="2317"/>
      <c r="E44" s="2317"/>
      <c r="F44" s="231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2" sqref="E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Lagrange Highlands SD 106</v>
      </c>
      <c r="J6" s="2333"/>
      <c r="Q6" s="1686"/>
    </row>
    <row r="7" spans="1:17" x14ac:dyDescent="0.2">
      <c r="A7" s="2334" t="s">
        <v>924</v>
      </c>
      <c r="B7" s="2335"/>
      <c r="C7" s="2335"/>
      <c r="D7" s="2335"/>
      <c r="E7" s="2336"/>
      <c r="F7" s="1018"/>
      <c r="G7" s="1010"/>
      <c r="H7" s="1017" t="s">
        <v>390</v>
      </c>
      <c r="I7" s="2337">
        <f>COVER!A13</f>
        <v>6016106002</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305943</v>
      </c>
      <c r="F12" s="1040"/>
      <c r="G12" s="1834">
        <f t="shared" ref="G12:G18" si="0">SUM(E12:F12)</f>
        <v>305943</v>
      </c>
      <c r="H12" s="1041">
        <v>285250</v>
      </c>
      <c r="I12" s="1040"/>
      <c r="J12" s="1834">
        <f t="shared" ref="J12:J18" si="1">SUM(H12:I12)</f>
        <v>285250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305943</v>
      </c>
      <c r="F19" s="1836">
        <f t="shared" si="2"/>
        <v>0</v>
      </c>
      <c r="G19" s="1836">
        <f t="shared" si="2"/>
        <v>305943</v>
      </c>
      <c r="H19" s="1836">
        <f t="shared" si="2"/>
        <v>285250</v>
      </c>
      <c r="I19" s="1836">
        <f t="shared" si="2"/>
        <v>0</v>
      </c>
      <c r="J19" s="1836">
        <f t="shared" si="2"/>
        <v>285250</v>
      </c>
    </row>
    <row r="20" spans="1:10" ht="13.5" thickTop="1" x14ac:dyDescent="0.2">
      <c r="A20" s="1036">
        <v>9</v>
      </c>
      <c r="B20" s="2344" t="s">
        <v>1703</v>
      </c>
      <c r="C20" s="2344"/>
      <c r="D20" s="2345"/>
      <c r="E20" s="1047"/>
      <c r="F20" s="1047"/>
      <c r="G20" s="1047"/>
      <c r="H20" s="1047"/>
      <c r="I20" s="1047"/>
      <c r="J20" s="1837">
        <f>IF(AND(G19&gt;0,J19&gt;0),(((J19-G19)/G19)),"Enter Budget Data")</f>
        <v>-6.7636782014950492E-2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1944</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2090</v>
      </c>
    </row>
    <row r="6" spans="1:2" x14ac:dyDescent="0.2">
      <c r="A6" s="1069">
        <v>2</v>
      </c>
      <c r="B6" s="329" t="s">
        <v>2091</v>
      </c>
    </row>
    <row r="7" spans="1:2" x14ac:dyDescent="0.2">
      <c r="A7" s="1069">
        <v>3</v>
      </c>
      <c r="B7" s="329" t="s">
        <v>2092</v>
      </c>
    </row>
    <row r="8" spans="1:2" x14ac:dyDescent="0.2">
      <c r="A8" s="1069">
        <v>4</v>
      </c>
      <c r="B8" s="329" t="s">
        <v>2093</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Lagrange Highlands SD 106</v>
      </c>
    </row>
    <row r="65" spans="2:2" x14ac:dyDescent="0.2">
      <c r="B65" s="1071">
        <f>COVER!A13</f>
        <v>6016106002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0</xdr:col>
                <xdr:colOff>0</xdr:colOff>
                <xdr:row>5</xdr:row>
                <xdr:rowOff>0</xdr:rowOff>
              </from>
              <to>
                <xdr:col>1</xdr:col>
                <xdr:colOff>781050</xdr:colOff>
                <xdr:row>9</xdr:row>
                <xdr:rowOff>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0</xdr:col>
                <xdr:colOff>0</xdr:colOff>
                <xdr:row>0</xdr:row>
                <xdr:rowOff>0</xdr:rowOff>
              </from>
              <to>
                <xdr:col>1</xdr:col>
                <xdr:colOff>781050</xdr:colOff>
                <xdr:row>4</xdr:row>
                <xdr:rowOff>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4</xdr:col>
                <xdr:colOff>0</xdr:colOff>
                <xdr:row>14</xdr:row>
                <xdr:rowOff>19050</xdr:rowOff>
              </from>
              <to>
                <xdr:col>5</xdr:col>
                <xdr:colOff>304800</xdr:colOff>
                <xdr:row>16</xdr:row>
                <xdr:rowOff>57150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7</xdr:col>
                <xdr:colOff>0</xdr:colOff>
                <xdr:row>15</xdr:row>
                <xdr:rowOff>0</xdr:rowOff>
              </from>
              <to>
                <xdr:col>8</xdr:col>
                <xdr:colOff>304800</xdr:colOff>
                <xdr:row>17</xdr:row>
                <xdr:rowOff>123825</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2056</v>
      </c>
      <c r="B4" s="2372"/>
      <c r="C4" s="2372"/>
      <c r="D4" s="2372"/>
      <c r="E4" s="2372"/>
      <c r="F4" s="2373"/>
      <c r="G4" s="1075"/>
      <c r="H4" s="1075"/>
    </row>
    <row r="5" spans="1:8" ht="14.25" customHeight="1" x14ac:dyDescent="0.2">
      <c r="A5" s="2374" t="s">
        <v>2057</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10899647</v>
      </c>
      <c r="C8" s="1838">
        <f>'Acct Summary 7-8'!D8</f>
        <v>1744683</v>
      </c>
      <c r="D8" s="1838">
        <f>'Acct Summary 7-8'!F8</f>
        <v>205090</v>
      </c>
      <c r="E8" s="1838">
        <f>'Acct Summary 7-8'!I8</f>
        <v>20623</v>
      </c>
      <c r="F8" s="1838">
        <f>SUM(B8:E8)</f>
        <v>12870043</v>
      </c>
    </row>
    <row r="9" spans="1:8" s="1080" customFormat="1" ht="14.25" customHeight="1" thickBot="1" x14ac:dyDescent="0.25">
      <c r="A9" s="1079" t="s">
        <v>1436</v>
      </c>
      <c r="B9" s="1839">
        <f>'Acct Summary 7-8'!C17</f>
        <v>10551373</v>
      </c>
      <c r="C9" s="1839">
        <f>'Acct Summary 7-8'!D17</f>
        <v>1713227</v>
      </c>
      <c r="D9" s="1839">
        <f>'Acct Summary 7-8'!F17</f>
        <v>122153</v>
      </c>
      <c r="E9" s="1838"/>
      <c r="F9" s="1838">
        <f>SUM(B9:E9)</f>
        <v>12386753</v>
      </c>
    </row>
    <row r="10" spans="1:8" s="1080" customFormat="1" ht="14.25" thickTop="1" thickBot="1" x14ac:dyDescent="0.25">
      <c r="A10" s="1081" t="s">
        <v>1437</v>
      </c>
      <c r="B10" s="1840">
        <f>(B8-B9)</f>
        <v>348274</v>
      </c>
      <c r="C10" s="1840">
        <f>(C8-C9)</f>
        <v>31456</v>
      </c>
      <c r="D10" s="1840">
        <f>(D8-D9)</f>
        <v>82937</v>
      </c>
      <c r="E10" s="1839">
        <f>(E8-E9)</f>
        <v>20623</v>
      </c>
      <c r="F10" s="1841">
        <f>SUM(F8-F9)</f>
        <v>483290</v>
      </c>
    </row>
    <row r="11" spans="1:8" s="1080" customFormat="1" ht="14.25" thickTop="1" thickBot="1" x14ac:dyDescent="0.25">
      <c r="A11" s="1082" t="s">
        <v>1785</v>
      </c>
      <c r="B11" s="1842">
        <f>'Acct Summary 7-8'!C81</f>
        <v>8756478</v>
      </c>
      <c r="C11" s="1842">
        <f>'Acct Summary 7-8'!D81</f>
        <v>511628</v>
      </c>
      <c r="D11" s="1842">
        <f>'Acct Summary 7-8'!F81</f>
        <v>603941</v>
      </c>
      <c r="E11" s="1842">
        <f>'Acct Summary 7-8'!I81</f>
        <v>1300669</v>
      </c>
      <c r="F11" s="1843">
        <f>SUM(B11:E11)</f>
        <v>11172716</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6016106002</v>
      </c>
    </row>
    <row r="3" spans="1:2" x14ac:dyDescent="0.2">
      <c r="A3" t="s">
        <v>1013</v>
      </c>
      <c r="B3" s="138" t="str">
        <f>COVER!A15</f>
        <v>Cook</v>
      </c>
    </row>
    <row r="4" spans="1:2" x14ac:dyDescent="0.2">
      <c r="A4" t="s">
        <v>1064</v>
      </c>
      <c r="B4" s="138" t="str">
        <f>COVER!A17</f>
        <v>Lagrange Highlands SD 106</v>
      </c>
    </row>
    <row r="5" spans="1:2" x14ac:dyDescent="0.2">
      <c r="A5" t="s">
        <v>728</v>
      </c>
      <c r="B5" s="138" t="str">
        <f>COVER!A38</f>
        <v>Patricia Viniard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 xml:space="preserve">Naperville </v>
      </c>
    </row>
    <row r="21" spans="1:2" x14ac:dyDescent="0.2">
      <c r="A21" t="s">
        <v>500</v>
      </c>
      <c r="B21" s="138" t="str">
        <f>COVER!X19</f>
        <v>IL</v>
      </c>
    </row>
    <row r="22" spans="1:2" x14ac:dyDescent="0.2">
      <c r="A22" t="s">
        <v>943</v>
      </c>
      <c r="B22" s="138">
        <f>COVER!Z19</f>
        <v>60563</v>
      </c>
    </row>
    <row r="23" spans="1:2" x14ac:dyDescent="0.2">
      <c r="A23" t="s">
        <v>1214</v>
      </c>
      <c r="B23" s="138">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4497316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13377040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-3935</v>
      </c>
      <c r="D86" s="2" t="str">
        <f t="shared" si="0"/>
        <v>Error?</v>
      </c>
    </row>
    <row r="87" spans="1:4" x14ac:dyDescent="0.2">
      <c r="A87" s="10">
        <v>26</v>
      </c>
      <c r="D87" s="2" t="str">
        <f t="shared" si="0"/>
        <v>OK</v>
      </c>
    </row>
    <row r="88" spans="1:4" x14ac:dyDescent="0.2">
      <c r="A88" s="5">
        <v>27</v>
      </c>
      <c r="B88" s="138">
        <f>'Assets-Liab 5-6'!C32</f>
        <v>4497316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4620562</v>
      </c>
      <c r="C91" s="2" t="s">
        <v>594</v>
      </c>
      <c r="D91" s="2" t="str">
        <f t="shared" si="0"/>
        <v>Error?</v>
      </c>
    </row>
    <row r="92" spans="1:4" x14ac:dyDescent="0.2">
      <c r="A92" s="5">
        <v>31</v>
      </c>
      <c r="B92" s="138">
        <f>'Assets-Liab 5-6'!C39</f>
        <v>8756478</v>
      </c>
      <c r="D92" s="2" t="str">
        <f t="shared" si="0"/>
        <v>Error?</v>
      </c>
    </row>
    <row r="93" spans="1:4" x14ac:dyDescent="0.2">
      <c r="A93" s="5">
        <v>32</v>
      </c>
      <c r="B93" s="138">
        <f>'Assets-Liab 5-6'!C41</f>
        <v>13377040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918818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1569076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918818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1057448</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1569076</v>
      </c>
      <c r="C124" s="2" t="s">
        <v>594</v>
      </c>
      <c r="D124" s="2" t="str">
        <f t="shared" si="0"/>
        <v>Error?</v>
      </c>
    </row>
    <row r="125" spans="1:4" x14ac:dyDescent="0.2">
      <c r="A125" s="10">
        <v>64</v>
      </c>
      <c r="D125" s="2" t="str">
        <f t="shared" si="0"/>
        <v>OK</v>
      </c>
    </row>
    <row r="126" spans="1:4" x14ac:dyDescent="0.2">
      <c r="A126" s="5">
        <v>65</v>
      </c>
      <c r="B126" s="138">
        <f>'Assets-Liab 5-6'!E6</f>
        <v>334430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598768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334430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334430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598768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52982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657038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52982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53097</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657038</v>
      </c>
      <c r="C171" s="2" t="s">
        <v>594</v>
      </c>
      <c r="D171" s="2" t="str">
        <f t="shared" si="1"/>
        <v>Error?</v>
      </c>
    </row>
    <row r="172" spans="1:4" x14ac:dyDescent="0.2">
      <c r="A172" s="10">
        <v>111</v>
      </c>
      <c r="D172" s="2" t="str">
        <f t="shared" si="1"/>
        <v>OK</v>
      </c>
    </row>
    <row r="173" spans="1:4" x14ac:dyDescent="0.2">
      <c r="A173" s="5">
        <v>112</v>
      </c>
      <c r="B173" s="138">
        <f>'Assets-Liab 5-6'!G6</f>
        <v>139204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519804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139204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139204</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519804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684156</v>
      </c>
      <c r="D273" s="2" t="str">
        <f t="shared" si="3"/>
        <v>Error?</v>
      </c>
    </row>
    <row r="274" spans="1:4" x14ac:dyDescent="0.2">
      <c r="A274" s="5">
        <v>213</v>
      </c>
      <c r="B274" s="138">
        <f>'Assets-Liab 5-6'!M17</f>
        <v>21637057</v>
      </c>
      <c r="D274" s="2" t="str">
        <f t="shared" si="3"/>
        <v>Error?</v>
      </c>
    </row>
    <row r="275" spans="1:4" x14ac:dyDescent="0.2">
      <c r="A275" s="5">
        <v>214</v>
      </c>
      <c r="B275" s="138">
        <f>'Assets-Liab 5-6'!M18</f>
        <v>1574088</v>
      </c>
      <c r="D275" s="2" t="str">
        <f t="shared" si="3"/>
        <v>Error?</v>
      </c>
    </row>
    <row r="276" spans="1:4" x14ac:dyDescent="0.2">
      <c r="A276" s="5">
        <v>215</v>
      </c>
      <c r="B276" s="138">
        <f>'Assets-Liab 5-6'!M19</f>
        <v>3776891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27793341</v>
      </c>
      <c r="C279" s="2" t="s">
        <v>594</v>
      </c>
      <c r="D279" s="2" t="str">
        <f t="shared" si="3"/>
        <v>Error?</v>
      </c>
    </row>
    <row r="280" spans="1:4" x14ac:dyDescent="0.2">
      <c r="A280" s="5">
        <v>219</v>
      </c>
      <c r="B280" s="138">
        <f>'Assets-Liab 5-6'!M40</f>
        <v>27793341</v>
      </c>
      <c r="D280" s="2" t="str">
        <f t="shared" si="3"/>
        <v>Error?</v>
      </c>
    </row>
    <row r="281" spans="1:4" x14ac:dyDescent="0.2">
      <c r="A281" s="5">
        <v>220</v>
      </c>
      <c r="B281" s="138">
        <f>'Assets-Liab 5-6'!M41</f>
        <v>27793341</v>
      </c>
      <c r="C281" s="2" t="s">
        <v>594</v>
      </c>
      <c r="D281" s="2" t="str">
        <f t="shared" si="3"/>
        <v>Error?</v>
      </c>
    </row>
    <row r="282" spans="1:4" x14ac:dyDescent="0.2">
      <c r="A282" s="5">
        <v>221</v>
      </c>
      <c r="B282" s="138">
        <f>'Assets-Liab 5-6'!N21</f>
        <v>264338</v>
      </c>
      <c r="D282" s="2" t="str">
        <f t="shared" si="3"/>
        <v>Error?</v>
      </c>
    </row>
    <row r="283" spans="1:4" x14ac:dyDescent="0.2">
      <c r="A283" s="5">
        <v>222</v>
      </c>
      <c r="B283" s="138">
        <f>'Assets-Liab 5-6'!N22</f>
        <v>965662</v>
      </c>
      <c r="D283" s="2" t="str">
        <f t="shared" si="3"/>
        <v>Error?</v>
      </c>
    </row>
    <row r="284" spans="1:4" x14ac:dyDescent="0.2">
      <c r="A284" s="5">
        <v>223</v>
      </c>
      <c r="B284" s="138">
        <f>'Assets-Liab 5-6'!N23</f>
        <v>1230000</v>
      </c>
      <c r="C284" s="2" t="s">
        <v>594</v>
      </c>
      <c r="D284" s="2" t="str">
        <f t="shared" si="3"/>
        <v>Error?</v>
      </c>
    </row>
    <row r="285" spans="1:4" x14ac:dyDescent="0.2">
      <c r="A285" s="5">
        <v>224</v>
      </c>
      <c r="B285" s="138">
        <f>'Assets-Liab 5-6'!N36</f>
        <v>1230000</v>
      </c>
      <c r="D285" s="2" t="str">
        <f t="shared" si="3"/>
        <v>Error?</v>
      </c>
    </row>
    <row r="286" spans="1:4" x14ac:dyDescent="0.2">
      <c r="A286" s="10">
        <v>225</v>
      </c>
      <c r="D286" s="2" t="str">
        <f t="shared" si="3"/>
        <v>OK</v>
      </c>
    </row>
    <row r="287" spans="1:4" x14ac:dyDescent="0.2">
      <c r="A287" s="5">
        <v>226</v>
      </c>
      <c r="B287" s="138">
        <f>'Assets-Liab 5-6'!N37</f>
        <v>1230000</v>
      </c>
      <c r="C287" s="2" t="s">
        <v>594</v>
      </c>
      <c r="D287" s="2" t="str">
        <f t="shared" si="3"/>
        <v>Error?</v>
      </c>
    </row>
    <row r="288" spans="1:4" x14ac:dyDescent="0.2">
      <c r="A288" s="5">
        <v>227</v>
      </c>
      <c r="B288" s="138">
        <f>'Assets-Liab 5-6'!N41</f>
        <v>1230000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4230936</v>
      </c>
      <c r="D705" s="2" t="str">
        <f t="shared" si="10"/>
        <v>Error?</v>
      </c>
    </row>
    <row r="706" spans="1:4" x14ac:dyDescent="0.2">
      <c r="A706" s="5">
        <v>645</v>
      </c>
      <c r="B706" s="138">
        <f>'Expenditures 15-22'!C16</f>
        <v>169349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199405</v>
      </c>
      <c r="D718" s="2" t="str">
        <f t="shared" si="10"/>
        <v>Error?</v>
      </c>
    </row>
    <row r="719" spans="1:4" x14ac:dyDescent="0.2">
      <c r="A719" s="5">
        <v>658</v>
      </c>
      <c r="B719" s="138">
        <f>'Expenditures 15-22'!C15</f>
        <v>88613</v>
      </c>
      <c r="D719" s="2" t="str">
        <f t="shared" si="10"/>
        <v>Error?</v>
      </c>
    </row>
    <row r="720" spans="1:4" x14ac:dyDescent="0.2">
      <c r="A720" s="5">
        <v>659</v>
      </c>
      <c r="B720" s="138">
        <f>'Expenditures 15-22'!C33</f>
        <v>6072240</v>
      </c>
      <c r="C720" s="2" t="s">
        <v>594</v>
      </c>
      <c r="D720" s="2" t="str">
        <f t="shared" si="10"/>
        <v>Error?</v>
      </c>
    </row>
    <row r="721" spans="1:4" x14ac:dyDescent="0.2">
      <c r="A721" s="5">
        <v>660</v>
      </c>
      <c r="B721" s="138">
        <f>'Expenditures 15-22'!C36</f>
        <v>178446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63855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224241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466542</v>
      </c>
      <c r="C727" s="2" t="s">
        <v>594</v>
      </c>
      <c r="D727" s="2" t="str">
        <f t="shared" si="10"/>
        <v>Error?</v>
      </c>
    </row>
    <row r="728" spans="1:4" x14ac:dyDescent="0.2">
      <c r="A728" s="5">
        <v>667</v>
      </c>
      <c r="B728" s="138">
        <f>'Expenditures 15-22'!C44</f>
        <v>218617</v>
      </c>
      <c r="D728" s="2" t="str">
        <f t="shared" si="10"/>
        <v>Error?</v>
      </c>
    </row>
    <row r="729" spans="1:4" x14ac:dyDescent="0.2">
      <c r="A729" s="5">
        <v>668</v>
      </c>
      <c r="B729" s="138">
        <f>'Expenditures 15-22'!C45</f>
        <v>97183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315800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231639</v>
      </c>
      <c r="D733" s="2" t="str">
        <f t="shared" si="10"/>
        <v>Error?</v>
      </c>
    </row>
    <row r="734" spans="1:4" x14ac:dyDescent="0.2">
      <c r="A734" s="5">
        <v>673</v>
      </c>
      <c r="B734" s="138">
        <f>'Expenditures 15-22'!C53</f>
        <v>231639</v>
      </c>
      <c r="C734" s="2" t="s">
        <v>594</v>
      </c>
      <c r="D734" s="2" t="str">
        <f t="shared" si="10"/>
        <v>Error?</v>
      </c>
    </row>
    <row r="735" spans="1:4" x14ac:dyDescent="0.2">
      <c r="A735" s="5">
        <v>674</v>
      </c>
      <c r="B735" s="138">
        <f>'Expenditures 15-22'!C55</f>
        <v>394230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394230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102072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73849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175921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110805</v>
      </c>
      <c r="D751" s="2" t="str">
        <f t="shared" si="10"/>
        <v>Error?</v>
      </c>
    </row>
    <row r="752" spans="1:4" x14ac:dyDescent="0.2">
      <c r="A752" s="10">
        <v>691</v>
      </c>
      <c r="D752" s="2" t="str">
        <f t="shared" si="10"/>
        <v>OK</v>
      </c>
    </row>
    <row r="753" spans="1:4" x14ac:dyDescent="0.2">
      <c r="A753" s="5">
        <v>692</v>
      </c>
      <c r="B753" s="138">
        <f>'Expenditures 15-22'!C72</f>
        <v>110805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1694937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7767177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538300</v>
      </c>
      <c r="D763" s="2" t="str">
        <f t="shared" si="10"/>
        <v>Error?</v>
      </c>
    </row>
    <row r="764" spans="1:4" x14ac:dyDescent="0.2">
      <c r="A764" s="5">
        <v>703</v>
      </c>
      <c r="B764" s="138">
        <f>'Expenditures 15-22'!D16</f>
        <v>21414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20648</v>
      </c>
      <c r="D776" s="2" t="str">
        <f t="shared" si="11"/>
        <v>Error?</v>
      </c>
    </row>
    <row r="777" spans="1:4" x14ac:dyDescent="0.2">
      <c r="A777" s="5">
        <v>716</v>
      </c>
      <c r="B777" s="138">
        <f>'Expenditures 15-22'!D15</f>
        <v>1129</v>
      </c>
      <c r="D777" s="2" t="str">
        <f t="shared" si="11"/>
        <v>Error?</v>
      </c>
    </row>
    <row r="778" spans="1:4" x14ac:dyDescent="0.2">
      <c r="A778" s="5">
        <v>717</v>
      </c>
      <c r="B778" s="138">
        <f>'Expenditures 15-22'!D33</f>
        <v>749502</v>
      </c>
      <c r="C778" s="2" t="s">
        <v>594</v>
      </c>
      <c r="D778" s="2" t="str">
        <f t="shared" si="11"/>
        <v>Error?</v>
      </c>
    </row>
    <row r="779" spans="1:4" x14ac:dyDescent="0.2">
      <c r="A779" s="5">
        <v>718</v>
      </c>
      <c r="B779" s="138">
        <f>'Expenditures 15-22'!D36</f>
        <v>39729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9599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21212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70540</v>
      </c>
      <c r="C785" s="2" t="s">
        <v>594</v>
      </c>
      <c r="D785" s="2" t="str">
        <f t="shared" si="11"/>
        <v>Error?</v>
      </c>
    </row>
    <row r="786" spans="1:4" x14ac:dyDescent="0.2">
      <c r="A786" s="5">
        <v>725</v>
      </c>
      <c r="B786" s="138">
        <f>'Expenditures 15-22'!D44</f>
        <v>43518</v>
      </c>
      <c r="D786" s="2" t="str">
        <f t="shared" si="11"/>
        <v>Error?</v>
      </c>
    </row>
    <row r="787" spans="1:4" x14ac:dyDescent="0.2">
      <c r="A787" s="5">
        <v>726</v>
      </c>
      <c r="B787" s="138">
        <f>'Expenditures 15-22'!D45</f>
        <v>9928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53446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58487</v>
      </c>
      <c r="D791" s="2" t="str">
        <f t="shared" si="11"/>
        <v>Error?</v>
      </c>
    </row>
    <row r="792" spans="1:4" x14ac:dyDescent="0.2">
      <c r="A792" s="5">
        <v>731</v>
      </c>
      <c r="B792" s="138">
        <f>'Expenditures 15-22'!D53</f>
        <v>58487</v>
      </c>
      <c r="C792" s="2" t="s">
        <v>594</v>
      </c>
      <c r="D792" s="2" t="str">
        <f t="shared" si="11"/>
        <v>Error?</v>
      </c>
    </row>
    <row r="793" spans="1:4" x14ac:dyDescent="0.2">
      <c r="A793" s="5">
        <v>732</v>
      </c>
      <c r="B793" s="138">
        <f>'Expenditures 15-22'!D55</f>
        <v>105030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105030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37789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38128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18911</v>
      </c>
      <c r="D809" s="2" t="str">
        <f t="shared" si="11"/>
        <v>Error?</v>
      </c>
    </row>
    <row r="810" spans="1:4" x14ac:dyDescent="0.2">
      <c r="A810" s="10">
        <v>749</v>
      </c>
      <c r="D810" s="2" t="str">
        <f t="shared" si="11"/>
        <v>OK</v>
      </c>
    </row>
    <row r="811" spans="1:4" x14ac:dyDescent="0.2">
      <c r="A811" s="5">
        <v>750</v>
      </c>
      <c r="B811" s="138">
        <f>'Expenditures 15-22'!D72</f>
        <v>18911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344542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1094044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86787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8407</v>
      </c>
      <c r="D834" s="2" t="str">
        <f t="shared" si="12"/>
        <v>Error?</v>
      </c>
    </row>
    <row r="835" spans="1:4" x14ac:dyDescent="0.2">
      <c r="A835" s="5">
        <v>774</v>
      </c>
      <c r="B835" s="138">
        <f>'Expenditures 15-22'!E15</f>
        <v>1550</v>
      </c>
      <c r="D835" s="2" t="str">
        <f t="shared" si="12"/>
        <v>Error?</v>
      </c>
    </row>
    <row r="836" spans="1:4" x14ac:dyDescent="0.2">
      <c r="A836" s="5">
        <v>775</v>
      </c>
      <c r="B836" s="138">
        <f>'Expenditures 15-22'!E33</f>
        <v>509712</v>
      </c>
      <c r="C836" s="2" t="s">
        <v>594</v>
      </c>
      <c r="D836" s="2" t="str">
        <f t="shared" si="12"/>
        <v>Error?</v>
      </c>
    </row>
    <row r="837" spans="1:4" x14ac:dyDescent="0.2">
      <c r="A837" s="5">
        <v>776</v>
      </c>
      <c r="B837" s="138">
        <f>'Expenditures 15-22'!E36</f>
        <v>190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744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3498</v>
      </c>
      <c r="C843" s="2" t="s">
        <v>594</v>
      </c>
      <c r="D843" s="2" t="str">
        <f t="shared" si="12"/>
        <v>Error?</v>
      </c>
    </row>
    <row r="844" spans="1:4" x14ac:dyDescent="0.2">
      <c r="A844" s="5">
        <v>783</v>
      </c>
      <c r="B844" s="138">
        <f>'Expenditures 15-22'!E44</f>
        <v>81294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81294</v>
      </c>
      <c r="C847" s="2" t="s">
        <v>594</v>
      </c>
      <c r="D847" s="2" t="str">
        <f t="shared" si="12"/>
        <v>Error?</v>
      </c>
    </row>
    <row r="848" spans="1:4" x14ac:dyDescent="0.2">
      <c r="A848" s="5">
        <v>787</v>
      </c>
      <c r="B848" s="138">
        <f>'Expenditures 15-22'!E49</f>
        <v>77047</v>
      </c>
      <c r="D848" s="2" t="str">
        <f t="shared" si="12"/>
        <v>Error?</v>
      </c>
    </row>
    <row r="849" spans="1:4" x14ac:dyDescent="0.2">
      <c r="A849" s="5">
        <v>788</v>
      </c>
      <c r="B849" s="138">
        <f>'Expenditures 15-22'!E50</f>
        <v>4412</v>
      </c>
      <c r="D849" s="2" t="str">
        <f t="shared" si="12"/>
        <v>Error?</v>
      </c>
    </row>
    <row r="850" spans="1:4" x14ac:dyDescent="0.2">
      <c r="A850" s="5">
        <v>789</v>
      </c>
      <c r="B850" s="138">
        <f>'Expenditures 15-22'!E53</f>
        <v>81459</v>
      </c>
      <c r="C850" s="2" t="s">
        <v>594</v>
      </c>
      <c r="D850" s="2" t="str">
        <f t="shared" si="12"/>
        <v>Error?</v>
      </c>
    </row>
    <row r="851" spans="1:4" x14ac:dyDescent="0.2">
      <c r="A851" s="5">
        <v>790</v>
      </c>
      <c r="B851" s="138">
        <f>'Expenditures 15-22'!E55</f>
        <v>1129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1129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29492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29492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64864</v>
      </c>
      <c r="D867" s="2" t="str">
        <f t="shared" si="12"/>
        <v>Error?</v>
      </c>
    </row>
    <row r="868" spans="1:4" x14ac:dyDescent="0.2">
      <c r="A868" s="10">
        <v>807</v>
      </c>
      <c r="D868" s="2" t="str">
        <f t="shared" si="12"/>
        <v>OK</v>
      </c>
    </row>
    <row r="869" spans="1:4" x14ac:dyDescent="0.2">
      <c r="A869" s="5">
        <v>808</v>
      </c>
      <c r="B869" s="138">
        <f>'Expenditures 15-22'!E72</f>
        <v>64864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261736</v>
      </c>
      <c r="C871" s="2" t="s">
        <v>594</v>
      </c>
      <c r="D871" s="2" t="str">
        <f t="shared" si="12"/>
        <v>Error?</v>
      </c>
    </row>
    <row r="872" spans="1:4" x14ac:dyDescent="0.2">
      <c r="A872" s="5">
        <v>811</v>
      </c>
      <c r="B872" s="138">
        <f>'Expenditures 15-22'!E75</f>
        <v>10336</v>
      </c>
      <c r="D872" s="2" t="str">
        <f t="shared" si="12"/>
        <v>Error?</v>
      </c>
    </row>
    <row r="873" spans="1:4" x14ac:dyDescent="0.2">
      <c r="A873" s="5">
        <v>812</v>
      </c>
      <c r="B873" s="138">
        <f>'Expenditures 15-22'!E114</f>
        <v>781784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234267</v>
      </c>
      <c r="D879" s="2" t="str">
        <f t="shared" si="12"/>
        <v>Error?</v>
      </c>
    </row>
    <row r="880" spans="1:4" x14ac:dyDescent="0.2">
      <c r="A880" s="5">
        <v>819</v>
      </c>
      <c r="B880" s="138">
        <f>'Expenditures 15-22'!F16</f>
        <v>53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7370</v>
      </c>
      <c r="D892" s="2" t="str">
        <f t="shared" si="12"/>
        <v>Error?</v>
      </c>
    </row>
    <row r="893" spans="1:4" x14ac:dyDescent="0.2">
      <c r="A893" s="5">
        <v>832</v>
      </c>
      <c r="B893" s="138">
        <f>'Expenditures 15-22'!F15</f>
        <v>2567</v>
      </c>
      <c r="D893" s="2" t="str">
        <f t="shared" si="12"/>
        <v>Error?</v>
      </c>
    </row>
    <row r="894" spans="1:4" x14ac:dyDescent="0.2">
      <c r="A894" s="5">
        <v>833</v>
      </c>
      <c r="B894" s="138">
        <f>'Expenditures 15-22'!F33</f>
        <v>264102</v>
      </c>
      <c r="C894" s="2" t="s">
        <v>594</v>
      </c>
      <c r="D894" s="2" t="str">
        <f t="shared" si="12"/>
        <v>Error?</v>
      </c>
    </row>
    <row r="895" spans="1:4" x14ac:dyDescent="0.2">
      <c r="A895" s="5">
        <v>834</v>
      </c>
      <c r="B895" s="138">
        <f>'Expenditures 15-22'!F36</f>
        <v>457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1265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1849</v>
      </c>
      <c r="C901" s="2" t="s">
        <v>594</v>
      </c>
      <c r="D901" s="2" t="str">
        <f t="shared" si="13"/>
        <v>Error?</v>
      </c>
    </row>
    <row r="902" spans="1:4" x14ac:dyDescent="0.2">
      <c r="A902" s="5">
        <v>841</v>
      </c>
      <c r="B902" s="138">
        <f>'Expenditures 15-22'!F44</f>
        <v>74126</v>
      </c>
      <c r="D902" s="2" t="str">
        <f t="shared" si="13"/>
        <v>Error?</v>
      </c>
    </row>
    <row r="903" spans="1:4" x14ac:dyDescent="0.2">
      <c r="A903" s="5">
        <v>842</v>
      </c>
      <c r="B903" s="138">
        <f>'Expenditures 15-22'!F45</f>
        <v>19981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94107</v>
      </c>
      <c r="C905" s="2" t="s">
        <v>594</v>
      </c>
      <c r="D905" s="2" t="str">
        <f t="shared" si="13"/>
        <v>Error?</v>
      </c>
    </row>
    <row r="906" spans="1:4" x14ac:dyDescent="0.2">
      <c r="A906" s="5">
        <v>845</v>
      </c>
      <c r="B906" s="138">
        <f>'Expenditures 15-22'!F49</f>
        <v>1330</v>
      </c>
      <c r="D906" s="2" t="str">
        <f t="shared" si="13"/>
        <v>Error?</v>
      </c>
    </row>
    <row r="907" spans="1:4" x14ac:dyDescent="0.2">
      <c r="A907" s="5">
        <v>846</v>
      </c>
      <c r="B907" s="138">
        <f>'Expenditures 15-22'!F50</f>
        <v>3908</v>
      </c>
      <c r="D907" s="2" t="str">
        <f t="shared" si="13"/>
        <v>Error?</v>
      </c>
    </row>
    <row r="908" spans="1:4" x14ac:dyDescent="0.2">
      <c r="A908" s="5">
        <v>847</v>
      </c>
      <c r="B908" s="138">
        <f>'Expenditures 15-22'!F53</f>
        <v>5238</v>
      </c>
      <c r="C908" s="2" t="s">
        <v>594</v>
      </c>
      <c r="D908" s="2" t="str">
        <f t="shared" si="13"/>
        <v>Error?</v>
      </c>
    </row>
    <row r="909" spans="1:4" x14ac:dyDescent="0.2">
      <c r="A909" s="5">
        <v>848</v>
      </c>
      <c r="B909" s="138">
        <f>'Expenditures 15-22'!F55</f>
        <v>5519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5519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77516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80175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14030</v>
      </c>
      <c r="D925" s="2" t="str">
        <f t="shared" si="13"/>
        <v>Error?</v>
      </c>
    </row>
    <row r="926" spans="1:4" x14ac:dyDescent="0.2">
      <c r="A926" s="10">
        <v>865</v>
      </c>
      <c r="D926" s="2" t="str">
        <f t="shared" si="13"/>
        <v>OK</v>
      </c>
    </row>
    <row r="927" spans="1:4" x14ac:dyDescent="0.2">
      <c r="A927" s="5">
        <v>866</v>
      </c>
      <c r="B927" s="138">
        <f>'Expenditures 15-22'!F72</f>
        <v>14030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200918</v>
      </c>
      <c r="C929" s="2" t="s">
        <v>594</v>
      </c>
      <c r="D929" s="2" t="str">
        <f t="shared" si="13"/>
        <v>Error?</v>
      </c>
    </row>
    <row r="930" spans="1:4" x14ac:dyDescent="0.2">
      <c r="A930" s="5">
        <v>869</v>
      </c>
      <c r="B930" s="138">
        <f>'Expenditures 15-22'!F75</f>
        <v>46450</v>
      </c>
      <c r="D930" s="2" t="str">
        <f t="shared" si="13"/>
        <v>Error?</v>
      </c>
    </row>
    <row r="931" spans="1:4" x14ac:dyDescent="0.2">
      <c r="A931" s="5">
        <v>870</v>
      </c>
      <c r="B931" s="138">
        <f>'Expenditures 15-22'!F114</f>
        <v>511470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97973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189</v>
      </c>
      <c r="C1021" s="2" t="s">
        <v>594</v>
      </c>
      <c r="D1021" s="2" t="str">
        <f t="shared" si="14"/>
        <v>Error?</v>
      </c>
    </row>
    <row r="1022" spans="1:4" x14ac:dyDescent="0.2">
      <c r="A1022" s="5">
        <v>961</v>
      </c>
      <c r="B1022" s="138">
        <f>'Expenditures 15-22'!H49</f>
        <v>11783</v>
      </c>
      <c r="D1022" s="2" t="str">
        <f t="shared" si="14"/>
        <v>Error?</v>
      </c>
    </row>
    <row r="1023" spans="1:4" x14ac:dyDescent="0.2">
      <c r="A1023" s="5">
        <v>962</v>
      </c>
      <c r="B1023" s="138">
        <f>'Expenditures 15-22'!H50</f>
        <v>7497</v>
      </c>
      <c r="D1023" s="2" t="str">
        <f t="shared" ref="D1023:D1086" si="15">IF(ISBLANK(B1023),"OK",IF(A1023-B1023=0,"OK","Error?"))</f>
        <v>Error?</v>
      </c>
    </row>
    <row r="1024" spans="1:4" x14ac:dyDescent="0.2">
      <c r="A1024" s="5">
        <v>963</v>
      </c>
      <c r="B1024" s="138">
        <f>'Expenditures 15-22'!H53</f>
        <v>19280</v>
      </c>
      <c r="C1024" s="2" t="s">
        <v>594</v>
      </c>
      <c r="D1024" s="2" t="str">
        <f t="shared" si="15"/>
        <v>Error?</v>
      </c>
    </row>
    <row r="1025" spans="1:4" x14ac:dyDescent="0.2">
      <c r="A1025" s="5">
        <v>964</v>
      </c>
      <c r="B1025" s="138">
        <f>'Expenditures 15-22'!H55</f>
        <v>945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945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1113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1113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21527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53629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173129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5244810</v>
      </c>
      <c r="C1093" s="2" t="s">
        <v>594</v>
      </c>
      <c r="D1093" s="2" t="str">
        <f t="shared" si="16"/>
        <v>Error?</v>
      </c>
    </row>
    <row r="1094" spans="1:4" x14ac:dyDescent="0.2">
      <c r="A1094" s="5">
        <v>1033</v>
      </c>
      <c r="B1094" s="138">
        <f>'Expenditures 15-22'!K16</f>
        <v>190816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242671</v>
      </c>
      <c r="C1106" s="2" t="s">
        <v>594</v>
      </c>
      <c r="D1106" s="2" t="str">
        <f t="shared" si="16"/>
        <v>Error?</v>
      </c>
    </row>
    <row r="1107" spans="1:4" x14ac:dyDescent="0.2">
      <c r="A1107" s="5">
        <v>1046</v>
      </c>
      <c r="B1107" s="138">
        <f>'Expenditures 15-22'!K15</f>
        <v>93859</v>
      </c>
      <c r="C1107" s="2" t="s">
        <v>594</v>
      </c>
      <c r="D1107" s="2" t="str">
        <f t="shared" si="16"/>
        <v>Error?</v>
      </c>
    </row>
    <row r="1108" spans="1:4" x14ac:dyDescent="0.2">
      <c r="A1108" s="5">
        <v>1047</v>
      </c>
      <c r="B1108" s="138">
        <f>'Expenditures 15-22'!K33</f>
        <v>7854523</v>
      </c>
      <c r="C1108" s="2" t="s">
        <v>594</v>
      </c>
      <c r="D1108" s="2" t="str">
        <f t="shared" si="16"/>
        <v>Error?</v>
      </c>
    </row>
    <row r="1109" spans="1:4" x14ac:dyDescent="0.2">
      <c r="A1109" s="5">
        <v>1048</v>
      </c>
      <c r="B1109" s="138">
        <f>'Expenditures 15-22'!K36</f>
        <v>218822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77283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246324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542429</v>
      </c>
      <c r="C1115" s="2" t="s">
        <v>594</v>
      </c>
      <c r="D1115" s="2" t="str">
        <f t="shared" si="16"/>
        <v>Error?</v>
      </c>
    </row>
    <row r="1116" spans="1:4" x14ac:dyDescent="0.2">
      <c r="A1116" s="5">
        <v>1055</v>
      </c>
      <c r="B1116" s="138">
        <f>'Expenditures 15-22'!K44</f>
        <v>417744</v>
      </c>
      <c r="C1116" s="2" t="s">
        <v>594</v>
      </c>
      <c r="D1116" s="2" t="str">
        <f t="shared" si="16"/>
        <v>Error?</v>
      </c>
    </row>
    <row r="1117" spans="1:4" x14ac:dyDescent="0.2">
      <c r="A1117" s="5">
        <v>1056</v>
      </c>
      <c r="B1117" s="138">
        <f>'Expenditures 15-22'!K45</f>
        <v>127092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544836</v>
      </c>
      <c r="C1119" s="2" t="s">
        <v>594</v>
      </c>
      <c r="D1119" s="2" t="str">
        <f t="shared" si="16"/>
        <v>Error?</v>
      </c>
    </row>
    <row r="1120" spans="1:4" x14ac:dyDescent="0.2">
      <c r="A1120" s="5">
        <v>1059</v>
      </c>
      <c r="B1120" s="138">
        <f>'Expenditures 15-22'!K49</f>
        <v>90160</v>
      </c>
      <c r="C1120" s="2" t="s">
        <v>594</v>
      </c>
      <c r="D1120" s="2" t="str">
        <f t="shared" si="16"/>
        <v>Error?</v>
      </c>
    </row>
    <row r="1121" spans="1:4" x14ac:dyDescent="0.2">
      <c r="A1121" s="5">
        <v>1060</v>
      </c>
      <c r="B1121" s="138">
        <f>'Expenditures 15-22'!K50</f>
        <v>305943</v>
      </c>
      <c r="C1121" s="2" t="s">
        <v>594</v>
      </c>
      <c r="D1121" s="2" t="str">
        <f t="shared" si="16"/>
        <v>Error?</v>
      </c>
    </row>
    <row r="1122" spans="1:4" x14ac:dyDescent="0.2">
      <c r="A1122" s="5">
        <v>1061</v>
      </c>
      <c r="B1122" s="138">
        <f>'Expenditures 15-22'!K53</f>
        <v>396103</v>
      </c>
      <c r="C1122" s="2" t="s">
        <v>594</v>
      </c>
      <c r="D1122" s="2" t="str">
        <f t="shared" si="16"/>
        <v>Error?</v>
      </c>
    </row>
    <row r="1123" spans="1:4" x14ac:dyDescent="0.2">
      <c r="A1123" s="5">
        <v>1062</v>
      </c>
      <c r="B1123" s="138">
        <f>'Expenditures 15-22'!K55</f>
        <v>506853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506853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173125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151704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324829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271385</v>
      </c>
      <c r="C1139" s="2" t="s">
        <v>594</v>
      </c>
      <c r="D1139" s="2" t="str">
        <f t="shared" si="16"/>
        <v>Error?</v>
      </c>
    </row>
    <row r="1140" spans="1:4" x14ac:dyDescent="0.2">
      <c r="A1140" s="10">
        <v>1079</v>
      </c>
      <c r="D1140" s="2" t="str">
        <f t="shared" si="16"/>
        <v>OK</v>
      </c>
    </row>
    <row r="1141" spans="1:4" x14ac:dyDescent="0.2">
      <c r="A1141" s="5">
        <v>1080</v>
      </c>
      <c r="B1141" s="138">
        <f>'Expenditures 15-22'!K72</f>
        <v>271385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2586435</v>
      </c>
      <c r="C1143" s="2" t="s">
        <v>594</v>
      </c>
      <c r="D1143" s="2" t="str">
        <f t="shared" si="16"/>
        <v>Error?</v>
      </c>
    </row>
    <row r="1144" spans="1:4" x14ac:dyDescent="0.2">
      <c r="A1144" s="5">
        <v>1083</v>
      </c>
      <c r="B1144" s="138">
        <f>'Expenditures 15-22'!K75</f>
        <v>56786</v>
      </c>
      <c r="C1144" s="2" t="s">
        <v>594</v>
      </c>
      <c r="D1144" s="2" t="str">
        <f t="shared" si="16"/>
        <v>Error?</v>
      </c>
    </row>
    <row r="1145" spans="1:4" x14ac:dyDescent="0.2">
      <c r="A1145" s="5">
        <v>1084</v>
      </c>
      <c r="B1145" s="138">
        <f>'Expenditures 15-22'!K102</f>
        <v>53629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10551373</v>
      </c>
      <c r="C1152" s="2" t="s">
        <v>594</v>
      </c>
      <c r="D1152" s="2" t="str">
        <f t="shared" si="17"/>
        <v>Error?</v>
      </c>
    </row>
    <row r="1153" spans="1:4" x14ac:dyDescent="0.2">
      <c r="A1153" s="5">
        <v>1092</v>
      </c>
      <c r="B1153" s="138">
        <f>'Expenditures 15-22'!K115</f>
        <v>348274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445721</v>
      </c>
      <c r="D1221" s="2" t="str">
        <f t="shared" si="18"/>
        <v>Error?</v>
      </c>
    </row>
    <row r="1222" spans="1:4" x14ac:dyDescent="0.2">
      <c r="A1222" s="10">
        <v>1161</v>
      </c>
      <c r="D1222" s="2" t="str">
        <f t="shared" si="18"/>
        <v>OK</v>
      </c>
    </row>
    <row r="1223" spans="1:4" x14ac:dyDescent="0.2">
      <c r="A1223" s="5">
        <v>1162</v>
      </c>
      <c r="B1223" s="138">
        <f>'Expenditures 15-22'!C127</f>
        <v>445721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445721</v>
      </c>
      <c r="C1225" s="2" t="s">
        <v>594</v>
      </c>
      <c r="D1225" s="2" t="str">
        <f t="shared" si="18"/>
        <v>Error?</v>
      </c>
    </row>
    <row r="1226" spans="1:4" x14ac:dyDescent="0.2">
      <c r="A1226" s="5">
        <v>1165</v>
      </c>
      <c r="B1226" s="138">
        <f>'Expenditures 15-22'!C151</f>
        <v>445721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82044</v>
      </c>
      <c r="D1229" s="2" t="str">
        <f t="shared" si="18"/>
        <v>Error?</v>
      </c>
    </row>
    <row r="1230" spans="1:4" x14ac:dyDescent="0.2">
      <c r="A1230" s="10">
        <v>1169</v>
      </c>
      <c r="D1230" s="2" t="str">
        <f t="shared" si="18"/>
        <v>OK</v>
      </c>
    </row>
    <row r="1231" spans="1:4" x14ac:dyDescent="0.2">
      <c r="A1231" s="5">
        <v>1170</v>
      </c>
      <c r="B1231" s="138">
        <f>'Expenditures 15-22'!D127</f>
        <v>82044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82044</v>
      </c>
      <c r="C1233" s="2" t="s">
        <v>594</v>
      </c>
      <c r="D1233" s="2" t="str">
        <f t="shared" si="18"/>
        <v>Error?</v>
      </c>
    </row>
    <row r="1234" spans="1:4" x14ac:dyDescent="0.2">
      <c r="A1234" s="5">
        <v>1173</v>
      </c>
      <c r="B1234" s="138">
        <f>'Expenditures 15-22'!D151</f>
        <v>82044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345472</v>
      </c>
      <c r="D1237" s="2" t="str">
        <f t="shared" si="18"/>
        <v>Error?</v>
      </c>
    </row>
    <row r="1238" spans="1:4" x14ac:dyDescent="0.2">
      <c r="A1238" s="10">
        <v>1177</v>
      </c>
      <c r="D1238" s="2" t="str">
        <f t="shared" si="18"/>
        <v>OK</v>
      </c>
    </row>
    <row r="1239" spans="1:4" x14ac:dyDescent="0.2">
      <c r="A1239" s="5">
        <v>1178</v>
      </c>
      <c r="B1239" s="138">
        <f>'Expenditures 15-22'!E127</f>
        <v>345472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345472</v>
      </c>
      <c r="C1241" s="2" t="s">
        <v>594</v>
      </c>
      <c r="D1241" s="2" t="str">
        <f t="shared" si="18"/>
        <v>Error?</v>
      </c>
    </row>
    <row r="1242" spans="1:4" x14ac:dyDescent="0.2">
      <c r="A1242" s="5">
        <v>1181</v>
      </c>
      <c r="B1242" s="138">
        <f>'Expenditures 15-22'!E151</f>
        <v>345472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282651</v>
      </c>
      <c r="D1245" s="2" t="str">
        <f t="shared" si="18"/>
        <v>Error?</v>
      </c>
    </row>
    <row r="1246" spans="1:4" x14ac:dyDescent="0.2">
      <c r="A1246" s="10">
        <v>1185</v>
      </c>
      <c r="D1246" s="2" t="str">
        <f t="shared" si="18"/>
        <v>OK</v>
      </c>
    </row>
    <row r="1247" spans="1:4" x14ac:dyDescent="0.2">
      <c r="A1247" s="5">
        <v>1186</v>
      </c>
      <c r="B1247" s="138">
        <f>'Expenditures 15-22'!F127</f>
        <v>282651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282651</v>
      </c>
      <c r="C1249" s="2" t="s">
        <v>594</v>
      </c>
      <c r="D1249" s="2" t="str">
        <f t="shared" si="18"/>
        <v>Error?</v>
      </c>
    </row>
    <row r="1250" spans="1:4" x14ac:dyDescent="0.2">
      <c r="A1250" s="5">
        <v>1189</v>
      </c>
      <c r="B1250" s="138">
        <f>'Expenditures 15-22'!F151</f>
        <v>282651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546340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546340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546340</v>
      </c>
      <c r="C1258" s="2" t="s">
        <v>594</v>
      </c>
      <c r="D1258" s="2" t="str">
        <f t="shared" si="18"/>
        <v>Error?</v>
      </c>
    </row>
    <row r="1259" spans="1:4" x14ac:dyDescent="0.2">
      <c r="A1259" s="5">
        <v>1198</v>
      </c>
      <c r="B1259" s="138">
        <f>'Expenditures 15-22'!G151</f>
        <v>546340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1713227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1713227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1713227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1713227</v>
      </c>
      <c r="C1288" s="2" t="s">
        <v>594</v>
      </c>
      <c r="D1288" s="2" t="str">
        <f t="shared" si="19"/>
        <v>Error?</v>
      </c>
    </row>
    <row r="1289" spans="1:4" x14ac:dyDescent="0.2">
      <c r="A1289" s="5">
        <v>1228</v>
      </c>
      <c r="B1289" s="138">
        <f>'Expenditures 15-22'!K152</f>
        <v>31456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63313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570000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633813</v>
      </c>
      <c r="C1317" s="2" t="s">
        <v>594</v>
      </c>
      <c r="D1317" s="2" t="str">
        <f t="shared" si="19"/>
        <v>Error?</v>
      </c>
    </row>
    <row r="1318" spans="1:4" x14ac:dyDescent="0.2">
      <c r="A1318" s="5">
        <v>1257</v>
      </c>
      <c r="B1318" s="138">
        <f>'Expenditures 15-22'!H174</f>
        <v>633813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63313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570000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633813</v>
      </c>
      <c r="C1331" s="2" t="s">
        <v>594</v>
      </c>
      <c r="D1331" s="2" t="str">
        <f t="shared" si="19"/>
        <v>Error?</v>
      </c>
    </row>
    <row r="1332" spans="1:4" x14ac:dyDescent="0.2">
      <c r="A1332" s="5">
        <v>1271</v>
      </c>
      <c r="B1332" s="138">
        <f>'Expenditures 15-22'!K174</f>
        <v>633813</v>
      </c>
      <c r="C1332" s="2" t="s">
        <v>594</v>
      </c>
      <c r="D1332" s="2" t="str">
        <f t="shared" si="19"/>
        <v>Error?</v>
      </c>
    </row>
    <row r="1333" spans="1:4" x14ac:dyDescent="0.2">
      <c r="A1333" s="5">
        <v>1272</v>
      </c>
      <c r="B1333" s="138">
        <f>'Expenditures 15-22'!K175</f>
        <v>-5170</v>
      </c>
      <c r="C1333" s="2" t="s">
        <v>594</v>
      </c>
      <c r="D1333" s="2" t="str">
        <f t="shared" si="19"/>
        <v>Error?</v>
      </c>
    </row>
    <row r="1334" spans="1:4" x14ac:dyDescent="0.2">
      <c r="A1334" s="10">
        <v>1273</v>
      </c>
      <c r="D1334" s="2" t="str">
        <f t="shared" si="19"/>
        <v>OK</v>
      </c>
    </row>
    <row r="1335" spans="1:4" x14ac:dyDescent="0.2">
      <c r="A1335" s="5">
        <v>1274</v>
      </c>
      <c r="B1335" s="138">
        <f>'Expenditures 15-22'!C182</f>
        <v>42438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42438</v>
      </c>
      <c r="C1339" s="2" t="s">
        <v>594</v>
      </c>
      <c r="D1339" s="2" t="str">
        <f t="shared" si="19"/>
        <v>Error?</v>
      </c>
    </row>
    <row r="1340" spans="1:4" x14ac:dyDescent="0.2">
      <c r="A1340" s="5">
        <v>1279</v>
      </c>
      <c r="B1340" s="138">
        <f>'Expenditures 15-22'!C210</f>
        <v>42438</v>
      </c>
      <c r="C1340" s="2" t="s">
        <v>594</v>
      </c>
      <c r="D1340" s="2" t="str">
        <f t="shared" si="19"/>
        <v>Error?</v>
      </c>
    </row>
    <row r="1341" spans="1:4" x14ac:dyDescent="0.2">
      <c r="A1341" s="5">
        <v>1280</v>
      </c>
      <c r="B1341" s="138">
        <f>'Expenditures 15-22'!D182</f>
        <v>13217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13217</v>
      </c>
      <c r="C1345" s="2" t="s">
        <v>594</v>
      </c>
      <c r="D1345" s="2" t="str">
        <f t="shared" si="20"/>
        <v>Error?</v>
      </c>
    </row>
    <row r="1346" spans="1:4" x14ac:dyDescent="0.2">
      <c r="A1346" s="5">
        <v>1285</v>
      </c>
      <c r="B1346" s="138">
        <f>'Expenditures 15-22'!D210</f>
        <v>13217</v>
      </c>
      <c r="C1346" s="2" t="s">
        <v>594</v>
      </c>
      <c r="D1346" s="2" t="str">
        <f t="shared" si="20"/>
        <v>Error?</v>
      </c>
    </row>
    <row r="1347" spans="1:4" x14ac:dyDescent="0.2">
      <c r="A1347" s="5">
        <v>1286</v>
      </c>
      <c r="B1347" s="138">
        <f>'Expenditures 15-22'!E182</f>
        <v>32821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32821</v>
      </c>
      <c r="C1351" s="2" t="s">
        <v>594</v>
      </c>
      <c r="D1351" s="2" t="str">
        <f t="shared" si="20"/>
        <v>Error?</v>
      </c>
    </row>
    <row r="1352" spans="1:4" x14ac:dyDescent="0.2">
      <c r="A1352" s="5">
        <v>1291</v>
      </c>
      <c r="B1352" s="138">
        <f>'Expenditures 15-22'!E196</f>
        <v>33677</v>
      </c>
      <c r="C1352" s="2" t="s">
        <v>594</v>
      </c>
      <c r="D1352" s="2" t="str">
        <f t="shared" si="20"/>
        <v>Error?</v>
      </c>
    </row>
    <row r="1353" spans="1:4" x14ac:dyDescent="0.2">
      <c r="A1353" s="5">
        <v>1292</v>
      </c>
      <c r="B1353" s="138">
        <f>'Expenditures 15-22'!E210</f>
        <v>66498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88476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88476</v>
      </c>
      <c r="C1381" s="2" t="s">
        <v>594</v>
      </c>
      <c r="D1381" s="2" t="str">
        <f t="shared" si="20"/>
        <v>Error?</v>
      </c>
    </row>
    <row r="1382" spans="1:4" x14ac:dyDescent="0.2">
      <c r="A1382" s="5">
        <v>1321</v>
      </c>
      <c r="B1382" s="138">
        <f>'Expenditures 15-22'!K196</f>
        <v>33677</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122153</v>
      </c>
      <c r="C1388" s="2" t="s">
        <v>594</v>
      </c>
      <c r="D1388" s="2" t="str">
        <f t="shared" si="20"/>
        <v>Error?</v>
      </c>
    </row>
    <row r="1389" spans="1:4" x14ac:dyDescent="0.2">
      <c r="A1389" s="5">
        <v>1328</v>
      </c>
      <c r="B1389" s="138">
        <f>'Expenditures 15-22'!K211</f>
        <v>82937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2332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3093</v>
      </c>
      <c r="D1408" s="2" t="str">
        <f t="shared" si="21"/>
        <v>Error?</v>
      </c>
    </row>
    <row r="1409" spans="1:4" x14ac:dyDescent="0.2">
      <c r="A1409" s="5">
        <v>1348</v>
      </c>
      <c r="B1409" s="138">
        <f>'Expenditures 15-22'!D224</f>
        <v>2367</v>
      </c>
      <c r="D1409" s="2" t="str">
        <f t="shared" si="21"/>
        <v>Error?</v>
      </c>
    </row>
    <row r="1410" spans="1:4" x14ac:dyDescent="0.2">
      <c r="A1410" s="5">
        <v>1349</v>
      </c>
      <c r="B1410" s="138">
        <f>'Expenditures 15-22'!D229</f>
        <v>170392</v>
      </c>
      <c r="C1410" s="2" t="s">
        <v>594</v>
      </c>
      <c r="D1410" s="2" t="str">
        <f t="shared" si="21"/>
        <v>Error?</v>
      </c>
    </row>
    <row r="1411" spans="1:4" x14ac:dyDescent="0.2">
      <c r="A1411" s="5">
        <v>1350</v>
      </c>
      <c r="B1411" s="138">
        <f>'Expenditures 15-22'!D232</f>
        <v>2341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3046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3078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8465</v>
      </c>
      <c r="C1417" s="2" t="s">
        <v>594</v>
      </c>
      <c r="D1417" s="2" t="str">
        <f t="shared" si="21"/>
        <v>Error?</v>
      </c>
    </row>
    <row r="1418" spans="1:4" x14ac:dyDescent="0.2">
      <c r="A1418" s="5">
        <v>1357</v>
      </c>
      <c r="B1418" s="138">
        <f>'Expenditures 15-22'!D240</f>
        <v>3178</v>
      </c>
      <c r="D1418" s="2" t="str">
        <f t="shared" si="21"/>
        <v>Error?</v>
      </c>
    </row>
    <row r="1419" spans="1:4" x14ac:dyDescent="0.2">
      <c r="A1419" s="5">
        <v>1358</v>
      </c>
      <c r="B1419" s="138">
        <f>'Expenditures 15-22'!D241</f>
        <v>4987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8165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11268</v>
      </c>
      <c r="D1423" s="2" t="str">
        <f t="shared" si="21"/>
        <v>Error?</v>
      </c>
    </row>
    <row r="1424" spans="1:4" x14ac:dyDescent="0.2">
      <c r="A1424" s="5">
        <v>1363</v>
      </c>
      <c r="B1424" s="138">
        <f>'Expenditures 15-22'!D257</f>
        <v>16888</v>
      </c>
      <c r="C1424" s="2" t="s">
        <v>594</v>
      </c>
      <c r="D1424" s="2" t="str">
        <f t="shared" si="21"/>
        <v>Error?</v>
      </c>
    </row>
    <row r="1425" spans="1:4" x14ac:dyDescent="0.2">
      <c r="A1425" s="5">
        <v>1364</v>
      </c>
      <c r="B1425" s="138">
        <f>'Expenditures 15-22'!D259</f>
        <v>28767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28767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5360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62550</v>
      </c>
      <c r="D1431" s="2" t="str">
        <f t="shared" si="21"/>
        <v>Error?</v>
      </c>
    </row>
    <row r="1432" spans="1:4" x14ac:dyDescent="0.2">
      <c r="A1432" s="5">
        <v>1371</v>
      </c>
      <c r="B1432" s="138">
        <f>'Expenditures 15-22'!D267</f>
        <v>1839</v>
      </c>
      <c r="D1432" s="2" t="str">
        <f t="shared" si="21"/>
        <v>Error?</v>
      </c>
    </row>
    <row r="1433" spans="1:4" x14ac:dyDescent="0.2">
      <c r="A1433" s="5">
        <v>1372</v>
      </c>
      <c r="B1433" s="138">
        <f>'Expenditures 15-22'!D268</f>
        <v>4148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73897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9051</v>
      </c>
      <c r="D1442" s="2" t="str">
        <f t="shared" si="21"/>
        <v>Error?</v>
      </c>
    </row>
    <row r="1443" spans="1:4" x14ac:dyDescent="0.2">
      <c r="A1443" s="10">
        <v>1382</v>
      </c>
      <c r="D1443" s="2" t="str">
        <f t="shared" si="21"/>
        <v>OK</v>
      </c>
    </row>
    <row r="1444" spans="1:4" x14ac:dyDescent="0.2">
      <c r="A1444" s="5">
        <v>1383</v>
      </c>
      <c r="B1444" s="138">
        <f>'Expenditures 15-22'!D277</f>
        <v>9051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145233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315625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2332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3093</v>
      </c>
      <c r="C1472" s="2" t="s">
        <v>594</v>
      </c>
      <c r="D1472" s="2" t="str">
        <f t="shared" si="22"/>
        <v>Error?</v>
      </c>
    </row>
    <row r="1473" spans="1:4" x14ac:dyDescent="0.2">
      <c r="A1473" s="5">
        <v>1412</v>
      </c>
      <c r="B1473" s="138">
        <f>'Expenditures 15-22'!K224</f>
        <v>2367</v>
      </c>
      <c r="C1473" s="2" t="s">
        <v>594</v>
      </c>
      <c r="D1473" s="2" t="str">
        <f t="shared" si="22"/>
        <v>Error?</v>
      </c>
    </row>
    <row r="1474" spans="1:4" x14ac:dyDescent="0.2">
      <c r="A1474" s="5">
        <v>1413</v>
      </c>
      <c r="B1474" s="138">
        <f>'Expenditures 15-22'!K229</f>
        <v>170392</v>
      </c>
      <c r="C1474" s="2" t="s">
        <v>594</v>
      </c>
      <c r="D1474" s="2" t="str">
        <f t="shared" si="22"/>
        <v>Error?</v>
      </c>
    </row>
    <row r="1475" spans="1:4" x14ac:dyDescent="0.2">
      <c r="A1475" s="5">
        <v>1414</v>
      </c>
      <c r="B1475" s="138">
        <f>'Expenditures 15-22'!K232</f>
        <v>2341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3046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3078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8465</v>
      </c>
      <c r="C1481" s="2" t="s">
        <v>594</v>
      </c>
      <c r="D1481" s="2" t="str">
        <f t="shared" si="22"/>
        <v>Error?</v>
      </c>
    </row>
    <row r="1482" spans="1:4" x14ac:dyDescent="0.2">
      <c r="A1482" s="5">
        <v>1421</v>
      </c>
      <c r="B1482" s="138">
        <f>'Expenditures 15-22'!K240</f>
        <v>3178</v>
      </c>
      <c r="C1482" s="2" t="s">
        <v>594</v>
      </c>
      <c r="D1482" s="2" t="str">
        <f t="shared" si="22"/>
        <v>Error?</v>
      </c>
    </row>
    <row r="1483" spans="1:4" x14ac:dyDescent="0.2">
      <c r="A1483" s="5">
        <v>1422</v>
      </c>
      <c r="B1483" s="138">
        <f>'Expenditures 15-22'!K241</f>
        <v>4987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8165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11268</v>
      </c>
      <c r="C1487" s="2" t="s">
        <v>594</v>
      </c>
      <c r="D1487" s="2" t="str">
        <f t="shared" si="22"/>
        <v>Error?</v>
      </c>
    </row>
    <row r="1488" spans="1:4" x14ac:dyDescent="0.2">
      <c r="A1488" s="5">
        <v>1427</v>
      </c>
      <c r="B1488" s="138">
        <f>'Expenditures 15-22'!K257</f>
        <v>16888</v>
      </c>
      <c r="C1488" s="2" t="s">
        <v>594</v>
      </c>
      <c r="D1488" s="2" t="str">
        <f t="shared" si="22"/>
        <v>Error?</v>
      </c>
    </row>
    <row r="1489" spans="1:4" x14ac:dyDescent="0.2">
      <c r="A1489" s="5">
        <v>1428</v>
      </c>
      <c r="B1489" s="138">
        <f>'Expenditures 15-22'!K259</f>
        <v>28767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28767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5360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62550</v>
      </c>
      <c r="C1495" s="2" t="s">
        <v>594</v>
      </c>
      <c r="D1495" s="2" t="str">
        <f t="shared" si="22"/>
        <v>Error?</v>
      </c>
    </row>
    <row r="1496" spans="1:4" x14ac:dyDescent="0.2">
      <c r="A1496" s="5">
        <v>1435</v>
      </c>
      <c r="B1496" s="138">
        <f>'Expenditures 15-22'!K267</f>
        <v>1839</v>
      </c>
      <c r="C1496" s="2" t="s">
        <v>594</v>
      </c>
      <c r="D1496" s="2" t="str">
        <f t="shared" si="22"/>
        <v>Error?</v>
      </c>
    </row>
    <row r="1497" spans="1:4" x14ac:dyDescent="0.2">
      <c r="A1497" s="5">
        <v>1436</v>
      </c>
      <c r="B1497" s="138">
        <f>'Expenditures 15-22'!K268</f>
        <v>4148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73897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9051</v>
      </c>
      <c r="C1506" s="2" t="s">
        <v>594</v>
      </c>
      <c r="D1506" s="2" t="str">
        <f t="shared" si="22"/>
        <v>Error?</v>
      </c>
    </row>
    <row r="1507" spans="1:4" x14ac:dyDescent="0.2">
      <c r="A1507" s="10">
        <v>1446</v>
      </c>
      <c r="D1507" s="2" t="str">
        <f t="shared" si="22"/>
        <v>OK</v>
      </c>
    </row>
    <row r="1508" spans="1:4" x14ac:dyDescent="0.2">
      <c r="A1508" s="5">
        <v>1447</v>
      </c>
      <c r="B1508" s="138">
        <f>'Expenditures 15-22'!K277</f>
        <v>9051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145233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315625</v>
      </c>
      <c r="C1517" s="2" t="s">
        <v>594</v>
      </c>
      <c r="D1517" s="2" t="str">
        <f t="shared" si="22"/>
        <v>Error?</v>
      </c>
    </row>
    <row r="1518" spans="1:4" x14ac:dyDescent="0.2">
      <c r="A1518" s="5">
        <v>1457</v>
      </c>
      <c r="B1518" s="138">
        <f>'Expenditures 15-22'!K296</f>
        <v>-14925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8208204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8756478</v>
      </c>
      <c r="C1630" s="2" t="s">
        <v>594</v>
      </c>
      <c r="D1630" s="2" t="str">
        <f t="shared" si="24"/>
        <v>Error?</v>
      </c>
    </row>
    <row r="1631" spans="1:4" x14ac:dyDescent="0.2">
      <c r="A1631" s="5">
        <v>1570</v>
      </c>
      <c r="B1631" s="138">
        <f>'Acct Summary 7-8'!D79</f>
        <v>480172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511628</v>
      </c>
      <c r="C1644" s="2" t="s">
        <v>594</v>
      </c>
      <c r="D1644" s="2" t="str">
        <f t="shared" si="24"/>
        <v>Error?</v>
      </c>
    </row>
    <row r="1645" spans="1:4" x14ac:dyDescent="0.2">
      <c r="A1645" s="5">
        <v>1584</v>
      </c>
      <c r="B1645" s="138">
        <f>'Acct Summary 7-8'!E79</f>
        <v>269508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264338</v>
      </c>
      <c r="C1658" s="2" t="s">
        <v>594</v>
      </c>
      <c r="D1658" s="2" t="str">
        <f t="shared" si="24"/>
        <v>Error?</v>
      </c>
    </row>
    <row r="1659" spans="1:4" x14ac:dyDescent="0.2">
      <c r="A1659" s="5">
        <v>1598</v>
      </c>
      <c r="B1659" s="138">
        <f>'Acct Summary 7-8'!F79</f>
        <v>521004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603941</v>
      </c>
      <c r="C1672" s="2" t="s">
        <v>594</v>
      </c>
      <c r="D1672" s="2" t="str">
        <f t="shared" si="25"/>
        <v>Error?</v>
      </c>
    </row>
    <row r="1673" spans="1:4" x14ac:dyDescent="0.2">
      <c r="A1673" s="5">
        <v>1612</v>
      </c>
      <c r="B1673" s="138">
        <f>'Acct Summary 7-8'!G79</f>
        <v>395525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380600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9342317</v>
      </c>
      <c r="C1744" s="2" t="s">
        <v>594</v>
      </c>
      <c r="D1744" s="2" t="str">
        <f t="shared" si="26"/>
        <v>Error?</v>
      </c>
    </row>
    <row r="1745" spans="1:5" x14ac:dyDescent="0.2">
      <c r="A1745" s="5">
        <v>1684</v>
      </c>
      <c r="B1745" s="138">
        <f>'Tax Sched 23'!B5</f>
        <v>1733811</v>
      </c>
      <c r="C1745" s="2" t="s">
        <v>594</v>
      </c>
      <c r="D1745" s="2" t="str">
        <f t="shared" si="26"/>
        <v>Error?</v>
      </c>
    </row>
    <row r="1746" spans="1:5" x14ac:dyDescent="0.2">
      <c r="A1746" s="5">
        <v>1685</v>
      </c>
      <c r="B1746" s="138">
        <f>'Tax Sched 23'!B6</f>
        <v>623227</v>
      </c>
      <c r="C1746" s="2" t="s">
        <v>594</v>
      </c>
      <c r="D1746" s="2" t="str">
        <f t="shared" si="26"/>
        <v>Error?</v>
      </c>
    </row>
    <row r="1747" spans="1:5" x14ac:dyDescent="0.2">
      <c r="A1747" s="5">
        <v>1686</v>
      </c>
      <c r="B1747" s="138">
        <f>'Tax Sched 23'!B7</f>
        <v>112802</v>
      </c>
      <c r="C1747" s="2" t="s">
        <v>594</v>
      </c>
      <c r="D1747" s="2" t="str">
        <f t="shared" si="26"/>
        <v>Error?</v>
      </c>
    </row>
    <row r="1748" spans="1:5" x14ac:dyDescent="0.2">
      <c r="A1748" s="5">
        <v>1687</v>
      </c>
      <c r="B1748" s="138">
        <f>'Tax Sched 23'!B8</f>
        <v>72391</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173168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258476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12537075</v>
      </c>
      <c r="C1759" s="2" t="s">
        <v>594</v>
      </c>
      <c r="D1759" s="2" t="str">
        <f t="shared" si="26"/>
        <v>Error?</v>
      </c>
    </row>
    <row r="1760" spans="1:5" x14ac:dyDescent="0.2">
      <c r="A1760" s="5">
        <v>1699</v>
      </c>
      <c r="B1760" s="138">
        <f>'Tax Sched 23'!D4</f>
        <v>4449651</v>
      </c>
      <c r="C1760" s="2" t="s">
        <v>594</v>
      </c>
      <c r="D1760" s="2" t="str">
        <f t="shared" si="26"/>
        <v>Error?</v>
      </c>
    </row>
    <row r="1761" spans="1:5" x14ac:dyDescent="0.2">
      <c r="A1761" s="5">
        <v>1700</v>
      </c>
      <c r="B1761" s="138">
        <f>'Tax Sched 23'!D5</f>
        <v>725162</v>
      </c>
      <c r="C1761" s="2" t="s">
        <v>594</v>
      </c>
      <c r="D1761" s="2" t="str">
        <f t="shared" si="26"/>
        <v>Error?</v>
      </c>
    </row>
    <row r="1762" spans="1:5" s="8" customFormat="1" x14ac:dyDescent="0.2">
      <c r="A1762" s="5">
        <v>1701</v>
      </c>
      <c r="B1762" s="138">
        <f>'Tax Sched 23'!D6</f>
        <v>280892</v>
      </c>
      <c r="C1762" s="2" t="s">
        <v>594</v>
      </c>
      <c r="D1762" s="2" t="str">
        <f t="shared" si="26"/>
        <v>Error?</v>
      </c>
      <c r="E1762" s="9"/>
    </row>
    <row r="1763" spans="1:5" x14ac:dyDescent="0.2">
      <c r="A1763" s="5">
        <v>1702</v>
      </c>
      <c r="B1763" s="138">
        <f>'Tax Sched 23'!D7</f>
        <v>53011</v>
      </c>
      <c r="C1763" s="2" t="s">
        <v>594</v>
      </c>
      <c r="D1763" s="2" t="str">
        <f t="shared" si="26"/>
        <v>Error?</v>
      </c>
    </row>
    <row r="1764" spans="1:5" x14ac:dyDescent="0.2">
      <c r="A1764" s="5">
        <v>1703</v>
      </c>
      <c r="B1764" s="138">
        <f>'Tax Sched 23'!D8</f>
        <v>30039</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173168</v>
      </c>
      <c r="C1768" s="2" t="s">
        <v>594</v>
      </c>
      <c r="D1768" s="2" t="str">
        <f t="shared" si="26"/>
        <v>Error?</v>
      </c>
    </row>
    <row r="1769" spans="1:5" x14ac:dyDescent="0.2">
      <c r="A1769" s="5">
        <v>1708</v>
      </c>
      <c r="B1769" s="138">
        <f>'Tax Sched 23'!D12</f>
        <v>-100778</v>
      </c>
      <c r="C1769" s="2" t="s">
        <v>594</v>
      </c>
      <c r="D1769" s="2" t="str">
        <f t="shared" si="26"/>
        <v>Error?</v>
      </c>
    </row>
    <row r="1770" spans="1:5" x14ac:dyDescent="0.2">
      <c r="A1770" s="5">
        <v>1709</v>
      </c>
      <c r="B1770" s="138">
        <f>'Tax Sched 23'!D14</f>
        <v>94006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5811435</v>
      </c>
      <c r="C1775" s="2" t="s">
        <v>594</v>
      </c>
      <c r="D1775" s="2" t="str">
        <f t="shared" si="26"/>
        <v>Error?</v>
      </c>
    </row>
    <row r="1776" spans="1:5" x14ac:dyDescent="0.2">
      <c r="A1776" s="5">
        <v>1715</v>
      </c>
      <c r="B1776" s="138">
        <f>'Tax Sched 23'!C4</f>
        <v>4892666</v>
      </c>
      <c r="D1776" s="2" t="str">
        <f t="shared" si="26"/>
        <v>Error?</v>
      </c>
    </row>
    <row r="1777" spans="1:4" x14ac:dyDescent="0.2">
      <c r="A1777" s="5">
        <v>1716</v>
      </c>
      <c r="B1777" s="138">
        <f>'Tax Sched 23'!C5</f>
        <v>1008649</v>
      </c>
      <c r="D1777" s="2" t="str">
        <f t="shared" si="26"/>
        <v>Error?</v>
      </c>
    </row>
    <row r="1778" spans="1:4" x14ac:dyDescent="0.2">
      <c r="A1778" s="5">
        <v>1717</v>
      </c>
      <c r="B1778" s="138">
        <f>'Tax Sched 23'!C6</f>
        <v>342335</v>
      </c>
      <c r="D1778" s="2" t="str">
        <f t="shared" si="26"/>
        <v>Error?</v>
      </c>
    </row>
    <row r="1779" spans="1:4" x14ac:dyDescent="0.2">
      <c r="A1779" s="5">
        <v>1718</v>
      </c>
      <c r="B1779" s="138">
        <f>'Tax Sched 23'!C7</f>
        <v>59791</v>
      </c>
      <c r="D1779" s="2" t="str">
        <f t="shared" si="26"/>
        <v>Error?</v>
      </c>
    </row>
    <row r="1780" spans="1:4" x14ac:dyDescent="0.2">
      <c r="A1780" s="5">
        <v>1719</v>
      </c>
      <c r="B1780" s="138">
        <f>'Tax Sched 23'!C8</f>
        <v>42352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100778</v>
      </c>
      <c r="D1785" s="2" t="str">
        <f t="shared" si="26"/>
        <v>Error?</v>
      </c>
    </row>
    <row r="1786" spans="1:4" x14ac:dyDescent="0.2">
      <c r="A1786" s="5">
        <v>1725</v>
      </c>
      <c r="B1786" s="138">
        <f>'Tax Sched 23'!C14</f>
        <v>164470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6725640</v>
      </c>
      <c r="C1791" s="2" t="s">
        <v>594</v>
      </c>
      <c r="D1791" s="2" t="str">
        <f t="shared" ref="D1791:D1854" si="27">IF(ISBLANK(B1791),"OK",IF(A1791-B1791=0,"OK","Error?"))</f>
        <v>Error?</v>
      </c>
    </row>
    <row r="1792" spans="1:4" x14ac:dyDescent="0.2">
      <c r="A1792" s="5">
        <v>1731</v>
      </c>
      <c r="B1792" s="138">
        <f>'Tax Sched 23'!F4</f>
        <v>4483310</v>
      </c>
      <c r="C1792" s="2" t="s">
        <v>594</v>
      </c>
      <c r="D1792" s="2" t="str">
        <f t="shared" si="27"/>
        <v>Error?</v>
      </c>
    </row>
    <row r="1793" spans="1:4" x14ac:dyDescent="0.2">
      <c r="A1793" s="5">
        <v>1732</v>
      </c>
      <c r="B1793" s="138">
        <f>'Tax Sched 23'!F5</f>
        <v>924258</v>
      </c>
      <c r="C1793" s="2" t="s">
        <v>594</v>
      </c>
      <c r="D1793" s="2" t="str">
        <f t="shared" si="27"/>
        <v>Error?</v>
      </c>
    </row>
    <row r="1794" spans="1:4" x14ac:dyDescent="0.2">
      <c r="A1794" s="5">
        <v>1733</v>
      </c>
      <c r="B1794" s="138">
        <f>'Tax Sched 23'!F6</f>
        <v>313692</v>
      </c>
      <c r="C1794" s="2" t="s">
        <v>594</v>
      </c>
      <c r="D1794" s="2" t="str">
        <f t="shared" si="27"/>
        <v>Error?</v>
      </c>
    </row>
    <row r="1795" spans="1:4" x14ac:dyDescent="0.2">
      <c r="A1795" s="5">
        <v>1734</v>
      </c>
      <c r="B1795" s="138">
        <f>'Tax Sched 23'!F7</f>
        <v>54788</v>
      </c>
      <c r="C1795" s="2" t="s">
        <v>594</v>
      </c>
      <c r="D1795" s="2" t="str">
        <f t="shared" si="27"/>
        <v>Error?</v>
      </c>
    </row>
    <row r="1796" spans="1:4" x14ac:dyDescent="0.2">
      <c r="A1796" s="5">
        <v>1735</v>
      </c>
      <c r="B1796" s="138">
        <f>'Tax Sched 23'!F8</f>
        <v>38808</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92347</v>
      </c>
      <c r="C1801" s="2" t="s">
        <v>594</v>
      </c>
      <c r="D1801" s="2" t="str">
        <f t="shared" si="27"/>
        <v>Error?</v>
      </c>
    </row>
    <row r="1802" spans="1:4" x14ac:dyDescent="0.2">
      <c r="A1802" s="5">
        <v>1741</v>
      </c>
      <c r="B1802" s="138">
        <f>'Tax Sched 23'!F14</f>
        <v>150710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6162923</v>
      </c>
      <c r="C1807" s="2" t="s">
        <v>594</v>
      </c>
      <c r="D1807" s="2" t="str">
        <f t="shared" si="27"/>
        <v>Error?</v>
      </c>
    </row>
    <row r="1808" spans="1:4" x14ac:dyDescent="0.2">
      <c r="A1808" s="5">
        <v>1747</v>
      </c>
      <c r="B1808" s="138">
        <f>'Tax Sched 23'!E4</f>
        <v>9375976</v>
      </c>
      <c r="D1808" s="2" t="str">
        <f t="shared" si="27"/>
        <v>Error?</v>
      </c>
    </row>
    <row r="1809" spans="1:4" x14ac:dyDescent="0.2">
      <c r="A1809" s="5">
        <v>1748</v>
      </c>
      <c r="B1809" s="138">
        <f>'Tax Sched 23'!E5</f>
        <v>1932907</v>
      </c>
      <c r="D1809" s="2" t="str">
        <f t="shared" si="27"/>
        <v>Error?</v>
      </c>
    </row>
    <row r="1810" spans="1:4" x14ac:dyDescent="0.2">
      <c r="A1810" s="5">
        <v>1749</v>
      </c>
      <c r="B1810" s="138">
        <f>'Tax Sched 23'!E6</f>
        <v>656027</v>
      </c>
      <c r="D1810" s="2" t="str">
        <f t="shared" si="27"/>
        <v>Error?</v>
      </c>
    </row>
    <row r="1811" spans="1:4" x14ac:dyDescent="0.2">
      <c r="A1811" s="5">
        <v>1750</v>
      </c>
      <c r="B1811" s="138">
        <f>'Tax Sched 23'!E7</f>
        <v>114579</v>
      </c>
      <c r="D1811" s="2" t="str">
        <f t="shared" si="27"/>
        <v>Error?</v>
      </c>
    </row>
    <row r="1812" spans="1:4" x14ac:dyDescent="0.2">
      <c r="A1812" s="5">
        <v>1751</v>
      </c>
      <c r="B1812" s="138">
        <f>'Tax Sched 23'!E8</f>
        <v>81160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193125</v>
      </c>
      <c r="D1817" s="2" t="str">
        <f t="shared" si="27"/>
        <v>Error?</v>
      </c>
    </row>
    <row r="1818" spans="1:4" x14ac:dyDescent="0.2">
      <c r="A1818" s="5">
        <v>1757</v>
      </c>
      <c r="B1818" s="138">
        <f>'Tax Sched 23'!E14</f>
        <v>315180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12888563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684156</v>
      </c>
      <c r="D2008" s="2" t="str">
        <f t="shared" si="30"/>
        <v>Error?</v>
      </c>
    </row>
    <row r="2009" spans="1:4" x14ac:dyDescent="0.2">
      <c r="A2009" s="5">
        <v>1948</v>
      </c>
      <c r="B2009" s="138">
        <f>'Cap Outlay Deprec 26'!C8</f>
        <v>21449075</v>
      </c>
      <c r="D2009" s="2" t="str">
        <f t="shared" si="30"/>
        <v>Error?</v>
      </c>
    </row>
    <row r="2010" spans="1:4" x14ac:dyDescent="0.2">
      <c r="A2010" s="5">
        <v>1949</v>
      </c>
      <c r="B2010" s="138">
        <f>'Cap Outlay Deprec 26'!C10</f>
        <v>1574088</v>
      </c>
      <c r="D2010" s="2" t="str">
        <f t="shared" si="30"/>
        <v>Error?</v>
      </c>
    </row>
    <row r="2011" spans="1:4" x14ac:dyDescent="0.2">
      <c r="A2011" s="5">
        <v>1950</v>
      </c>
      <c r="B2011" s="138">
        <f>'Cap Outlay Deprec 26'!C12</f>
        <v>3768902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27476221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187982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7989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317120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684156</v>
      </c>
      <c r="C2026" s="2" t="s">
        <v>594</v>
      </c>
      <c r="D2026" s="2" t="str">
        <f t="shared" si="30"/>
        <v>Error?</v>
      </c>
    </row>
    <row r="2027" spans="1:4" x14ac:dyDescent="0.2">
      <c r="A2027" s="5">
        <v>1966</v>
      </c>
      <c r="B2027" s="138">
        <f>'Cap Outlay Deprec 26'!F8</f>
        <v>21637057</v>
      </c>
      <c r="C2027" s="2" t="s">
        <v>594</v>
      </c>
      <c r="D2027" s="2" t="str">
        <f t="shared" si="30"/>
        <v>Error?</v>
      </c>
    </row>
    <row r="2028" spans="1:4" x14ac:dyDescent="0.2">
      <c r="A2028" s="5">
        <v>1967</v>
      </c>
      <c r="B2028" s="138">
        <f>'Cap Outlay Deprec 26'!F10</f>
        <v>1574088</v>
      </c>
      <c r="C2028" s="2" t="s">
        <v>594</v>
      </c>
      <c r="D2028" s="2" t="str">
        <f t="shared" si="30"/>
        <v>Error?</v>
      </c>
    </row>
    <row r="2029" spans="1:4" x14ac:dyDescent="0.2">
      <c r="A2029" s="5">
        <v>1968</v>
      </c>
      <c r="B2029" s="138">
        <f>'Cap Outlay Deprec 26'!F12</f>
        <v>3776891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27793341</v>
      </c>
      <c r="C2031" s="2" t="s">
        <v>594</v>
      </c>
      <c r="D2031" s="2" t="str">
        <f t="shared" si="30"/>
        <v>Error?</v>
      </c>
    </row>
    <row r="2032" spans="1:4" x14ac:dyDescent="0.2">
      <c r="A2032" s="10">
        <v>1971</v>
      </c>
      <c r="D2032" s="2" t="str">
        <f t="shared" si="30"/>
        <v>OK</v>
      </c>
    </row>
    <row r="2033" spans="1:4" x14ac:dyDescent="0.2">
      <c r="A2033" s="5">
        <v>1972</v>
      </c>
      <c r="B2033" s="138">
        <f>'Cap Outlay Deprec 26'!H8</f>
        <v>9985587</v>
      </c>
      <c r="D2033" s="2" t="str">
        <f t="shared" si="30"/>
        <v>Error?</v>
      </c>
    </row>
    <row r="2034" spans="1:4" x14ac:dyDescent="0.2">
      <c r="A2034" s="5">
        <v>1973</v>
      </c>
      <c r="B2034" s="138">
        <f>'Cap Outlay Deprec 26'!H10</f>
        <v>1032250</v>
      </c>
      <c r="D2034" s="2" t="str">
        <f t="shared" si="30"/>
        <v>Error?</v>
      </c>
    </row>
    <row r="2035" spans="1:4" x14ac:dyDescent="0.2">
      <c r="A2035" s="5">
        <v>1974</v>
      </c>
      <c r="B2035" s="138">
        <f>'Cap Outlay Deprec 26'!H12</f>
        <v>2734992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13752829</v>
      </c>
      <c r="C2037" s="2" t="s">
        <v>594</v>
      </c>
      <c r="D2037" s="2" t="str">
        <f t="shared" si="30"/>
        <v>Error?</v>
      </c>
    </row>
    <row r="2038" spans="1:4" x14ac:dyDescent="0.2">
      <c r="A2038" s="10">
        <v>1977</v>
      </c>
      <c r="D2038" s="2" t="str">
        <f t="shared" si="30"/>
        <v>OK</v>
      </c>
    </row>
    <row r="2039" spans="1:4" x14ac:dyDescent="0.2">
      <c r="A2039" s="5">
        <v>1978</v>
      </c>
      <c r="B2039" s="138">
        <f>'Cap Outlay Deprec 26'!I8</f>
        <v>515991</v>
      </c>
      <c r="D2039" s="2" t="str">
        <f t="shared" si="30"/>
        <v>Error?</v>
      </c>
    </row>
    <row r="2040" spans="1:4" x14ac:dyDescent="0.2">
      <c r="A2040" s="5">
        <v>1979</v>
      </c>
      <c r="B2040" s="138">
        <f>'Cap Outlay Deprec 26'!I10</f>
        <v>57211</v>
      </c>
      <c r="D2040" s="2" t="str">
        <f t="shared" si="30"/>
        <v>Error?</v>
      </c>
    </row>
    <row r="2041" spans="1:4" x14ac:dyDescent="0.2">
      <c r="A2041" s="5">
        <v>1980</v>
      </c>
      <c r="B2041" s="138">
        <f>'Cap Outlay Deprec 26'!I12</f>
        <v>418929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992131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10501578</v>
      </c>
      <c r="C2051" s="2" t="s">
        <v>594</v>
      </c>
      <c r="D2051" s="2" t="str">
        <f t="shared" si="31"/>
        <v>Error?</v>
      </c>
    </row>
    <row r="2052" spans="1:4" x14ac:dyDescent="0.2">
      <c r="A2052" s="5">
        <v>1991</v>
      </c>
      <c r="B2052" s="138">
        <f>'Cap Outlay Deprec 26'!K10</f>
        <v>1089461</v>
      </c>
      <c r="C2052" s="2" t="s">
        <v>594</v>
      </c>
      <c r="D2052" s="2" t="str">
        <f t="shared" si="31"/>
        <v>Error?</v>
      </c>
    </row>
    <row r="2053" spans="1:4" x14ac:dyDescent="0.2">
      <c r="A2053" s="5">
        <v>1992</v>
      </c>
      <c r="B2053" s="138">
        <f>'Cap Outlay Deprec 26'!K12</f>
        <v>3153921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14744960</v>
      </c>
      <c r="C2055" s="2" t="s">
        <v>594</v>
      </c>
      <c r="D2055" s="2" t="str">
        <f t="shared" si="31"/>
        <v>Error?</v>
      </c>
    </row>
    <row r="2056" spans="1:4" x14ac:dyDescent="0.2">
      <c r="A2056" s="5">
        <v>1995</v>
      </c>
      <c r="B2056" s="138">
        <f>'Cap Outlay Deprec 26'!L5</f>
        <v>684156</v>
      </c>
      <c r="C2056" s="2" t="s">
        <v>594</v>
      </c>
      <c r="D2056" s="2" t="str">
        <f t="shared" si="31"/>
        <v>Error?</v>
      </c>
    </row>
    <row r="2057" spans="1:4" x14ac:dyDescent="0.2">
      <c r="A2057" s="5">
        <v>1996</v>
      </c>
      <c r="B2057" s="138">
        <f>'Cap Outlay Deprec 26'!L8</f>
        <v>11135479</v>
      </c>
      <c r="C2057" s="2" t="s">
        <v>594</v>
      </c>
      <c r="D2057" s="2" t="str">
        <f t="shared" si="31"/>
        <v>Error?</v>
      </c>
    </row>
    <row r="2058" spans="1:4" x14ac:dyDescent="0.2">
      <c r="A2058" s="5">
        <v>1997</v>
      </c>
      <c r="B2058" s="138">
        <f>'Cap Outlay Deprec 26'!L10</f>
        <v>484627</v>
      </c>
      <c r="C2058" s="2" t="s">
        <v>594</v>
      </c>
      <c r="D2058" s="2" t="str">
        <f t="shared" si="31"/>
        <v>Error?</v>
      </c>
    </row>
    <row r="2059" spans="1:4" x14ac:dyDescent="0.2">
      <c r="A2059" s="5">
        <v>1998</v>
      </c>
      <c r="B2059" s="138">
        <f>'Cap Outlay Deprec 26'!L12</f>
        <v>622970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13048381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53629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511628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603941</v>
      </c>
      <c r="D2475" s="2" t="str">
        <f t="shared" si="37"/>
        <v>Error?</v>
      </c>
    </row>
    <row r="2476" spans="1:4" x14ac:dyDescent="0.2">
      <c r="A2476" s="10">
        <v>2415</v>
      </c>
      <c r="D2476" s="2" t="str">
        <f t="shared" si="37"/>
        <v>OK</v>
      </c>
    </row>
    <row r="2477" spans="1:4" x14ac:dyDescent="0.2">
      <c r="A2477" s="5">
        <v>2416</v>
      </c>
      <c r="B2477" s="138">
        <f>'Assets-Liab 5-6'!G38</f>
        <v>380600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264338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10224168</v>
      </c>
      <c r="C2551" s="2" t="s">
        <v>594</v>
      </c>
      <c r="D2551" s="2" t="str">
        <f t="shared" si="38"/>
        <v>Error?</v>
      </c>
    </row>
    <row r="2552" spans="1:4" x14ac:dyDescent="0.2">
      <c r="A2552" s="10">
        <v>2491</v>
      </c>
      <c r="D2552" s="2" t="str">
        <f t="shared" si="38"/>
        <v>OK</v>
      </c>
    </row>
    <row r="2553" spans="1:4" x14ac:dyDescent="0.2">
      <c r="A2553" s="5">
        <v>2492</v>
      </c>
      <c r="B2553" s="138">
        <f>'Acct Summary 7-8'!C6</f>
        <v>595290</v>
      </c>
      <c r="C2553" s="2" t="s">
        <v>594</v>
      </c>
      <c r="D2553" s="2" t="str">
        <f t="shared" si="38"/>
        <v>Error?</v>
      </c>
    </row>
    <row r="2554" spans="1:4" x14ac:dyDescent="0.2">
      <c r="A2554" s="5">
        <v>2493</v>
      </c>
      <c r="B2554" s="138">
        <f>'Acct Summary 7-8'!C7</f>
        <v>80189</v>
      </c>
      <c r="C2554" s="2" t="s">
        <v>594</v>
      </c>
      <c r="D2554" s="2" t="str">
        <f t="shared" si="38"/>
        <v>Error?</v>
      </c>
    </row>
    <row r="2555" spans="1:4" x14ac:dyDescent="0.2">
      <c r="A2555" s="5">
        <v>2494</v>
      </c>
      <c r="B2555" s="138">
        <f>'Acct Summary 7-8'!C8</f>
        <v>10899647</v>
      </c>
      <c r="C2555" s="2" t="s">
        <v>594</v>
      </c>
      <c r="D2555" s="2" t="str">
        <f t="shared" si="38"/>
        <v>Error?</v>
      </c>
    </row>
    <row r="2556" spans="1:4" x14ac:dyDescent="0.2">
      <c r="A2556" s="5">
        <v>2495</v>
      </c>
      <c r="B2556" s="138">
        <f>'Acct Summary 7-8'!C12</f>
        <v>7854523</v>
      </c>
      <c r="C2556" s="2" t="s">
        <v>594</v>
      </c>
      <c r="D2556" s="2" t="str">
        <f t="shared" si="38"/>
        <v>Error?</v>
      </c>
    </row>
    <row r="2557" spans="1:4" x14ac:dyDescent="0.2">
      <c r="A2557" s="5">
        <v>2496</v>
      </c>
      <c r="B2557" s="138">
        <f>'Acct Summary 7-8'!C13</f>
        <v>2586435</v>
      </c>
      <c r="C2557" s="2" t="s">
        <v>594</v>
      </c>
      <c r="D2557" s="2" t="str">
        <f t="shared" si="38"/>
        <v>Error?</v>
      </c>
    </row>
    <row r="2558" spans="1:4" x14ac:dyDescent="0.2">
      <c r="A2558" s="5">
        <v>2497</v>
      </c>
      <c r="B2558" s="138">
        <f>'Acct Summary 7-8'!C14</f>
        <v>56786</v>
      </c>
      <c r="C2558" s="2" t="s">
        <v>594</v>
      </c>
      <c r="D2558" s="2" t="str">
        <f t="shared" si="38"/>
        <v>Error?</v>
      </c>
    </row>
    <row r="2559" spans="1:4" x14ac:dyDescent="0.2">
      <c r="A2559" s="5">
        <v>2498</v>
      </c>
      <c r="B2559" s="138">
        <f>'Acct Summary 7-8'!C15</f>
        <v>53629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10551373</v>
      </c>
      <c r="C2561" s="2" t="s">
        <v>594</v>
      </c>
      <c r="D2561" s="2" t="str">
        <f t="shared" si="39"/>
        <v>Error?</v>
      </c>
    </row>
    <row r="2562" spans="1:4" x14ac:dyDescent="0.2">
      <c r="A2562" s="5">
        <v>2501</v>
      </c>
      <c r="B2562" s="138">
        <f>'Acct Summary 7-8'!C20</f>
        <v>348274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1744683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1744683</v>
      </c>
      <c r="C2568" s="2" t="s">
        <v>594</v>
      </c>
      <c r="D2568" s="2" t="str">
        <f t="shared" si="39"/>
        <v>Error?</v>
      </c>
    </row>
    <row r="2569" spans="1:4" x14ac:dyDescent="0.2">
      <c r="A2569" s="5">
        <v>2508</v>
      </c>
      <c r="B2569" s="138">
        <f>'Acct Summary 7-8'!D13</f>
        <v>1713227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1713227</v>
      </c>
      <c r="C2573" s="2" t="s">
        <v>594</v>
      </c>
      <c r="D2573" s="2" t="str">
        <f t="shared" si="39"/>
        <v>Error?</v>
      </c>
    </row>
    <row r="2574" spans="1:4" x14ac:dyDescent="0.2">
      <c r="A2574" s="5">
        <v>2513</v>
      </c>
      <c r="B2574" s="138">
        <f>'Acct Summary 7-8'!D20</f>
        <v>31456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120449</v>
      </c>
      <c r="C2591" s="2" t="s">
        <v>594</v>
      </c>
      <c r="D2591" s="2" t="str">
        <f t="shared" si="39"/>
        <v>Error?</v>
      </c>
    </row>
    <row r="2592" spans="1:4" x14ac:dyDescent="0.2">
      <c r="A2592" s="10">
        <v>2531</v>
      </c>
      <c r="D2592" s="2" t="str">
        <f t="shared" si="39"/>
        <v>OK</v>
      </c>
    </row>
    <row r="2593" spans="1:4" x14ac:dyDescent="0.2">
      <c r="A2593" s="5">
        <v>2532</v>
      </c>
      <c r="B2593" s="138">
        <f>'Acct Summary 7-8'!F6</f>
        <v>84641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205090</v>
      </c>
      <c r="C2595" s="2" t="s">
        <v>594</v>
      </c>
      <c r="D2595" s="2" t="str">
        <f t="shared" si="39"/>
        <v>Error?</v>
      </c>
    </row>
    <row r="2596" spans="1:4" x14ac:dyDescent="0.2">
      <c r="A2596" s="5">
        <v>2535</v>
      </c>
      <c r="B2596" s="138">
        <f>'Acct Summary 7-8'!F13</f>
        <v>88476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33677</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122153</v>
      </c>
      <c r="C2600" s="2" t="s">
        <v>594</v>
      </c>
      <c r="D2600" s="2" t="str">
        <f t="shared" si="39"/>
        <v>Error?</v>
      </c>
    </row>
    <row r="2601" spans="1:4" x14ac:dyDescent="0.2">
      <c r="A2601" s="5">
        <v>2540</v>
      </c>
      <c r="B2601" s="138">
        <f>'Acct Summary 7-8'!F20</f>
        <v>82937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300700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300700</v>
      </c>
      <c r="C2606" s="2" t="s">
        <v>594</v>
      </c>
      <c r="D2606" s="2" t="str">
        <f t="shared" si="39"/>
        <v>Error?</v>
      </c>
    </row>
    <row r="2607" spans="1:4" x14ac:dyDescent="0.2">
      <c r="A2607" s="5">
        <v>2546</v>
      </c>
      <c r="B2607" s="138">
        <f>'Acct Summary 7-8'!G12</f>
        <v>170392</v>
      </c>
      <c r="C2607" s="2" t="s">
        <v>594</v>
      </c>
      <c r="D2607" s="2" t="str">
        <f t="shared" si="39"/>
        <v>Error?</v>
      </c>
    </row>
    <row r="2608" spans="1:4" x14ac:dyDescent="0.2">
      <c r="A2608" s="5">
        <v>2547</v>
      </c>
      <c r="B2608" s="138">
        <f>'Acct Summary 7-8'!G13</f>
        <v>145233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315625</v>
      </c>
      <c r="C2612" s="2" t="s">
        <v>594</v>
      </c>
      <c r="D2612" s="2" t="str">
        <f t="shared" si="39"/>
        <v>Error?</v>
      </c>
    </row>
    <row r="2613" spans="1:4" x14ac:dyDescent="0.2">
      <c r="A2613" s="5">
        <v>2552</v>
      </c>
      <c r="B2613" s="138">
        <f>'Acct Summary 7-8'!G20</f>
        <v>-14925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628643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628643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633813</v>
      </c>
      <c r="C2634" s="2" t="s">
        <v>594</v>
      </c>
      <c r="D2634" s="2" t="str">
        <f t="shared" si="40"/>
        <v>Error?</v>
      </c>
    </row>
    <row r="2635" spans="1:4" x14ac:dyDescent="0.2">
      <c r="A2635" s="5">
        <v>2574</v>
      </c>
      <c r="B2635" s="138">
        <f>'Acct Summary 7-8'!E17</f>
        <v>633813</v>
      </c>
      <c r="C2635" s="2" t="s">
        <v>594</v>
      </c>
      <c r="D2635" s="2" t="str">
        <f t="shared" si="40"/>
        <v>Error?</v>
      </c>
    </row>
    <row r="2636" spans="1:4" x14ac:dyDescent="0.2">
      <c r="A2636" s="5">
        <v>2575</v>
      </c>
      <c r="B2636" s="138">
        <f>'Acct Summary 7-8'!E20</f>
        <v>-5170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33677</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33677</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121149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1300669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24027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1300669</v>
      </c>
      <c r="D2912" s="2" t="str">
        <f t="shared" si="44"/>
        <v>Error?</v>
      </c>
    </row>
    <row r="2913" spans="1:4" x14ac:dyDescent="0.2">
      <c r="A2913" s="5">
        <v>2852</v>
      </c>
      <c r="B2913" s="138">
        <f>'Assets-Liab 5-6'!I41</f>
        <v>1300669</v>
      </c>
      <c r="C2913" s="2" t="s">
        <v>594</v>
      </c>
      <c r="D2913" s="2" t="str">
        <f t="shared" si="44"/>
        <v>Error?</v>
      </c>
    </row>
    <row r="2914" spans="1:4" x14ac:dyDescent="0.2">
      <c r="A2914" s="5">
        <v>2853</v>
      </c>
      <c r="B2914" s="138">
        <f>'Assets-Liab 5-6'!L33</f>
        <v>24027</v>
      </c>
      <c r="D2914" s="2" t="str">
        <f t="shared" si="44"/>
        <v>Error?</v>
      </c>
    </row>
    <row r="2915" spans="1:4" x14ac:dyDescent="0.2">
      <c r="A2915" s="10">
        <v>2854</v>
      </c>
      <c r="D2915" s="2" t="str">
        <f t="shared" si="44"/>
        <v>OK</v>
      </c>
    </row>
    <row r="2916" spans="1:4" x14ac:dyDescent="0.2">
      <c r="A2916" s="5">
        <v>2855</v>
      </c>
      <c r="B2916" s="138">
        <f>'Assets-Liab 5-6'!L34</f>
        <v>24027</v>
      </c>
      <c r="C2916" s="2" t="s">
        <v>594</v>
      </c>
      <c r="D2916" s="2" t="str">
        <f t="shared" si="44"/>
        <v>Error?</v>
      </c>
    </row>
    <row r="2917" spans="1:4" x14ac:dyDescent="0.2">
      <c r="A2917" s="5">
        <v>2856</v>
      </c>
      <c r="B2917" s="138">
        <f>'Assets-Liab 5-6'!L41</f>
        <v>24027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33677</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33677</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14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20623</v>
      </c>
      <c r="C3225" s="2" t="s">
        <v>594</v>
      </c>
      <c r="D3225" s="2" t="str">
        <f t="shared" si="49"/>
        <v>Error?</v>
      </c>
    </row>
    <row r="3226" spans="1:4" x14ac:dyDescent="0.2">
      <c r="A3226" s="5">
        <v>3165</v>
      </c>
      <c r="B3226" s="138">
        <f>'Acct Summary 7-8'!I8</f>
        <v>20623</v>
      </c>
      <c r="C3226" s="2" t="s">
        <v>594</v>
      </c>
      <c r="D3226" s="2" t="str">
        <f t="shared" si="49"/>
        <v>Error?</v>
      </c>
    </row>
    <row r="3227" spans="1:4" x14ac:dyDescent="0.2">
      <c r="A3227" s="5">
        <v>3166</v>
      </c>
      <c r="B3227" s="138">
        <f>'Acct Summary 7-8'!I20</f>
        <v>20623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200000</v>
      </c>
      <c r="C3232" s="2" t="s">
        <v>594</v>
      </c>
      <c r="D3232" s="2" t="str">
        <f t="shared" si="49"/>
        <v>Error?</v>
      </c>
    </row>
    <row r="3233" spans="1:4" x14ac:dyDescent="0.2">
      <c r="A3233" s="5">
        <v>3172</v>
      </c>
      <c r="B3233" s="138">
        <f>'Acct Summary 7-8'!C78</f>
        <v>548274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31456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82937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-14925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-5170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200000</v>
      </c>
      <c r="C3318" s="2" t="s">
        <v>594</v>
      </c>
      <c r="D3318" s="2" t="str">
        <f t="shared" si="50"/>
        <v>Error?</v>
      </c>
    </row>
    <row r="3319" spans="1:4" x14ac:dyDescent="0.2">
      <c r="A3319" s="5">
        <v>3258</v>
      </c>
      <c r="B3319" s="138">
        <f>'Acct Summary 7-8'!I77</f>
        <v>-200000</v>
      </c>
      <c r="C3319" s="2" t="s">
        <v>594</v>
      </c>
      <c r="D3319" s="2" t="str">
        <f t="shared" si="50"/>
        <v>Error?</v>
      </c>
    </row>
    <row r="3320" spans="1:4" x14ac:dyDescent="0.2">
      <c r="A3320" s="5">
        <v>3259</v>
      </c>
      <c r="B3320" s="138">
        <f>'Acct Summary 7-8'!I78</f>
        <v>-179377</v>
      </c>
      <c r="C3320" s="2" t="s">
        <v>594</v>
      </c>
      <c r="D3320" s="2" t="str">
        <f t="shared" si="50"/>
        <v>Error?</v>
      </c>
    </row>
    <row r="3321" spans="1:4" x14ac:dyDescent="0.2">
      <c r="A3321" s="5">
        <v>3260</v>
      </c>
      <c r="B3321" s="138">
        <f>'Acct Summary 7-8'!I79</f>
        <v>1480046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1300669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1239860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157924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387113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1801473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78249</v>
      </c>
      <c r="D3387" s="2" t="str">
        <f t="shared" si="51"/>
        <v>Error?</v>
      </c>
    </row>
    <row r="3388" spans="1:4" x14ac:dyDescent="0.2">
      <c r="A3388" s="5">
        <v>3327</v>
      </c>
      <c r="B3388" s="138">
        <f>'Expenditures 15-22'!D217</f>
        <v>74554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78249</v>
      </c>
      <c r="C3390" s="2" t="s">
        <v>594</v>
      </c>
      <c r="D3390" s="2" t="str">
        <f t="shared" si="51"/>
        <v>Error?</v>
      </c>
    </row>
    <row r="3391" spans="1:4" x14ac:dyDescent="0.2">
      <c r="A3391" s="5">
        <v>3330</v>
      </c>
      <c r="B3391" s="138">
        <f>'Expenditures 15-22'!K217</f>
        <v>74554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8798517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650258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264338</v>
      </c>
      <c r="D3417" s="2" t="str">
        <f t="shared" si="52"/>
        <v>Error?</v>
      </c>
    </row>
    <row r="3418" spans="1:4" x14ac:dyDescent="0.2">
      <c r="A3418" s="10">
        <v>3357</v>
      </c>
      <c r="D3418" s="2" t="str">
        <f t="shared" si="52"/>
        <v>OK</v>
      </c>
    </row>
    <row r="3419" spans="1:4" x14ac:dyDescent="0.2">
      <c r="A3419" s="5">
        <v>3358</v>
      </c>
      <c r="B3419" s="138">
        <f>'Assets-Liab 5-6'!F4</f>
        <v>582871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380600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1300669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24027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220883</v>
      </c>
      <c r="C3446" s="2" t="s">
        <v>594</v>
      </c>
      <c r="D3446" s="2" t="str">
        <f t="shared" si="52"/>
        <v>Error?</v>
      </c>
    </row>
    <row r="3447" spans="1:4" x14ac:dyDescent="0.2">
      <c r="A3447" s="5">
        <v>3386</v>
      </c>
      <c r="B3447" s="138">
        <f>'Tax Sched 23'!D16</f>
        <v>106284</v>
      </c>
      <c r="C3447" s="2" t="s">
        <v>594</v>
      </c>
      <c r="D3447" s="2" t="str">
        <f t="shared" si="52"/>
        <v>Error?</v>
      </c>
    </row>
    <row r="3448" spans="1:4" x14ac:dyDescent="0.2">
      <c r="A3448" s="5">
        <v>3387</v>
      </c>
      <c r="B3448" s="138">
        <f>'Tax Sched 23'!C16</f>
        <v>114599</v>
      </c>
      <c r="D3448" s="2" t="str">
        <f t="shared" si="52"/>
        <v>Error?</v>
      </c>
    </row>
    <row r="3449" spans="1:4" x14ac:dyDescent="0.2">
      <c r="A3449" s="5">
        <v>3388</v>
      </c>
      <c r="B3449" s="138">
        <f>'Tax Sched 23'!F16</f>
        <v>105010</v>
      </c>
      <c r="C3449" s="2" t="s">
        <v>594</v>
      </c>
      <c r="D3449" s="2" t="str">
        <f t="shared" si="52"/>
        <v>Error?</v>
      </c>
    </row>
    <row r="3450" spans="1:4" x14ac:dyDescent="0.2">
      <c r="A3450" s="5">
        <v>3389</v>
      </c>
      <c r="B3450" s="138">
        <f>'Tax Sched 23'!E16</f>
        <v>219609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121149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121149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121149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65183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65183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65183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65183</v>
      </c>
      <c r="C3568" s="2" t="s">
        <v>594</v>
      </c>
      <c r="D3568" s="2" t="str">
        <f t="shared" si="54"/>
        <v>Error?</v>
      </c>
    </row>
    <row r="3569" spans="1:4" x14ac:dyDescent="0.2">
      <c r="A3569" s="5">
        <v>3508</v>
      </c>
      <c r="B3569" s="138">
        <f>'Acct Summary 7-8'!K4</f>
        <v>896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896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896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896</v>
      </c>
      <c r="C3588" s="2" t="s">
        <v>594</v>
      </c>
      <c r="D3588" s="2" t="str">
        <f t="shared" si="55"/>
        <v>Error?</v>
      </c>
    </row>
    <row r="3589" spans="1:4" x14ac:dyDescent="0.2">
      <c r="A3589" s="5">
        <v>3528</v>
      </c>
      <c r="B3589" s="138">
        <f>'Acct Summary 7-8'!K79</f>
        <v>64287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65183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896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5149482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16049129</v>
      </c>
      <c r="C4122" s="2" t="s">
        <v>594</v>
      </c>
      <c r="D4122" s="2" t="str">
        <f t="shared" si="63"/>
        <v>Error?</v>
      </c>
    </row>
    <row r="4123" spans="1:4" x14ac:dyDescent="0.2">
      <c r="A4123" s="5">
        <v>4062</v>
      </c>
      <c r="B4123" s="138">
        <f>'Acct Summary 7-8'!D10</f>
        <v>1744683</v>
      </c>
      <c r="C4123" s="2" t="s">
        <v>594</v>
      </c>
      <c r="D4123" s="2" t="str">
        <f t="shared" si="63"/>
        <v>Error?</v>
      </c>
    </row>
    <row r="4124" spans="1:4" x14ac:dyDescent="0.2">
      <c r="A4124" s="5">
        <v>4063</v>
      </c>
      <c r="B4124" s="138">
        <f>'Acct Summary 7-8'!E10</f>
        <v>628643</v>
      </c>
      <c r="C4124" s="2" t="s">
        <v>594</v>
      </c>
      <c r="D4124" s="2" t="str">
        <f t="shared" si="63"/>
        <v>Error?</v>
      </c>
    </row>
    <row r="4125" spans="1:4" x14ac:dyDescent="0.2">
      <c r="A4125" s="5">
        <v>4064</v>
      </c>
      <c r="B4125" s="138">
        <f>'Acct Summary 7-8'!F10</f>
        <v>205090</v>
      </c>
      <c r="C4125" s="2" t="s">
        <v>594</v>
      </c>
      <c r="D4125" s="2" t="str">
        <f t="shared" si="63"/>
        <v>Error?</v>
      </c>
    </row>
    <row r="4126" spans="1:4" x14ac:dyDescent="0.2">
      <c r="A4126" s="5">
        <v>4065</v>
      </c>
      <c r="B4126" s="138">
        <f>'Acct Summary 7-8'!G10</f>
        <v>300700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20623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896</v>
      </c>
      <c r="C4130" s="2" t="s">
        <v>594</v>
      </c>
      <c r="D4130" s="2" t="str">
        <f t="shared" si="63"/>
        <v>Error?</v>
      </c>
    </row>
    <row r="4131" spans="1:4" x14ac:dyDescent="0.2">
      <c r="A4131" s="5">
        <v>4070</v>
      </c>
      <c r="B4131" s="138">
        <f>'Acct Summary 7-8'!C18</f>
        <v>5149482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15700855</v>
      </c>
      <c r="C4136" s="2" t="s">
        <v>594</v>
      </c>
      <c r="D4136" s="2" t="str">
        <f t="shared" si="63"/>
        <v>Error?</v>
      </c>
    </row>
    <row r="4137" spans="1:4" x14ac:dyDescent="0.2">
      <c r="A4137" s="5">
        <v>4076</v>
      </c>
      <c r="B4137" s="138">
        <f>'Acct Summary 7-8'!D19</f>
        <v>1713227</v>
      </c>
      <c r="C4137" s="2" t="s">
        <v>594</v>
      </c>
      <c r="D4137" s="2" t="str">
        <f t="shared" si="63"/>
        <v>Error?</v>
      </c>
    </row>
    <row r="4138" spans="1:4" x14ac:dyDescent="0.2">
      <c r="A4138" s="5">
        <v>4077</v>
      </c>
      <c r="B4138" s="138">
        <f>'Acct Summary 7-8'!E19</f>
        <v>633813</v>
      </c>
      <c r="C4138" s="2" t="s">
        <v>594</v>
      </c>
      <c r="D4138" s="2" t="str">
        <f t="shared" si="63"/>
        <v>Error?</v>
      </c>
    </row>
    <row r="4139" spans="1:4" x14ac:dyDescent="0.2">
      <c r="A4139" s="5">
        <v>4078</v>
      </c>
      <c r="B4139" s="138">
        <f>'Acct Summary 7-8'!F19</f>
        <v>122153</v>
      </c>
      <c r="C4139" s="2" t="s">
        <v>594</v>
      </c>
      <c r="D4139" s="2" t="str">
        <f t="shared" si="63"/>
        <v>Error?</v>
      </c>
    </row>
    <row r="4140" spans="1:4" x14ac:dyDescent="0.2">
      <c r="A4140" s="5">
        <v>4079</v>
      </c>
      <c r="B4140" s="138">
        <f>'Acct Summary 7-8'!G19</f>
        <v>315625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1230000</v>
      </c>
      <c r="C4171" s="2" t="s">
        <v>594</v>
      </c>
      <c r="D4171" s="2" t="str">
        <f t="shared" si="64"/>
        <v>Error?</v>
      </c>
    </row>
    <row r="4172" spans="1:4" x14ac:dyDescent="0.2">
      <c r="A4172" s="5">
        <v>4111</v>
      </c>
      <c r="B4172" s="138">
        <f>'Short-Term Long-Term Debt 24'!J49</f>
        <v>965662</v>
      </c>
      <c r="C4172" s="2" t="s">
        <v>594</v>
      </c>
      <c r="D4172" s="2" t="str">
        <f t="shared" si="64"/>
        <v>Error?</v>
      </c>
    </row>
    <row r="4173" spans="1:4" x14ac:dyDescent="0.2">
      <c r="A4173" s="5">
        <v>4112</v>
      </c>
      <c r="B4173" s="138">
        <f>'Short-Term Long-Term Debt 24'!H49</f>
        <v>570000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2176.9</v>
      </c>
      <c r="C4265" s="2" t="s">
        <v>594</v>
      </c>
      <c r="D4265" s="2" t="str">
        <f t="shared" si="65"/>
        <v>Error?</v>
      </c>
      <c r="E4265" s="128"/>
    </row>
    <row r="4266" spans="1:5" x14ac:dyDescent="0.2">
      <c r="A4266" s="12">
        <v>4205</v>
      </c>
      <c r="B4266" s="138">
        <f>('FP Info 3'!F10)*100000</f>
        <v>448.79999999999995</v>
      </c>
      <c r="C4266" s="2" t="s">
        <v>594</v>
      </c>
      <c r="D4266" s="2" t="str">
        <f t="shared" si="65"/>
        <v>Error?</v>
      </c>
      <c r="E4266" s="128"/>
    </row>
    <row r="4267" spans="1:5" x14ac:dyDescent="0.2">
      <c r="A4267" s="12">
        <v>4206</v>
      </c>
      <c r="B4267" s="138">
        <f>('FP Info 3'!H10)*100000</f>
        <v>26.6</v>
      </c>
      <c r="C4267" s="2" t="s">
        <v>594</v>
      </c>
      <c r="D4267" s="2" t="str">
        <f t="shared" si="65"/>
        <v>Error?</v>
      </c>
      <c r="E4267" s="128"/>
    </row>
    <row r="4268" spans="1:5" x14ac:dyDescent="0.2">
      <c r="A4268" s="12">
        <v>4207</v>
      </c>
      <c r="B4268" s="138">
        <f>('FP Info 3'!J10)*100000</f>
        <v>2652</v>
      </c>
      <c r="C4268" s="2" t="s">
        <v>594</v>
      </c>
      <c r="D4268" s="2" t="str">
        <f t="shared" si="65"/>
        <v>Error?</v>
      </c>
    </row>
    <row r="4269" spans="1:5" x14ac:dyDescent="0.2">
      <c r="A4269" s="12">
        <v>4208</v>
      </c>
      <c r="B4269" s="138">
        <f>'FP Info 3'!J16</f>
        <v>11172716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21069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430706028</v>
      </c>
      <c r="D4995" s="2" t="str">
        <f t="shared" si="77"/>
        <v>Error?</v>
      </c>
    </row>
    <row r="4996" spans="1:4" x14ac:dyDescent="0.2">
      <c r="A4996" s="12">
        <v>4935</v>
      </c>
      <c r="B4996" s="138">
        <f>'FP Info 3'!H31</f>
        <v>29718715.932000004</v>
      </c>
      <c r="D4996" s="2" t="str">
        <f t="shared" si="77"/>
        <v>Error?</v>
      </c>
    </row>
    <row r="4997" spans="1:4" x14ac:dyDescent="0.2">
      <c r="A4997" s="12">
        <v>4936</v>
      </c>
      <c r="B4997" s="138">
        <f>'FP Info 3'!H37</f>
        <v>1230000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9342317</v>
      </c>
      <c r="D5061" s="2" t="str">
        <f t="shared" si="78"/>
        <v>Error?</v>
      </c>
    </row>
    <row r="5062" spans="1:4" x14ac:dyDescent="0.2">
      <c r="A5062" s="10">
        <v>5001</v>
      </c>
      <c r="D5062" s="2" t="str">
        <f t="shared" si="78"/>
        <v>OK</v>
      </c>
    </row>
    <row r="5063" spans="1:4" x14ac:dyDescent="0.2">
      <c r="A5063" s="5">
        <v>5002</v>
      </c>
      <c r="B5063" s="138">
        <f>'Revenues 9-14'!C7</f>
        <v>258476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9600793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57716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57716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46889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46889</v>
      </c>
      <c r="C5087" s="2" t="s">
        <v>594</v>
      </c>
      <c r="D5087" s="2" t="str">
        <f t="shared" si="78"/>
        <v>Error?</v>
      </c>
    </row>
    <row r="5088" spans="1:4" x14ac:dyDescent="0.2">
      <c r="A5088" s="5">
        <v>5027</v>
      </c>
      <c r="B5088" s="138">
        <f>'Revenues 9-14'!C65</f>
        <v>141314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141314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6607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5037</v>
      </c>
      <c r="D5101" s="2" t="str">
        <f t="shared" si="78"/>
        <v>Error?</v>
      </c>
    </row>
    <row r="5102" spans="1:4" x14ac:dyDescent="0.2">
      <c r="A5102" s="5">
        <v>5041</v>
      </c>
      <c r="B5102" s="138">
        <f>'Revenues 9-14'!C82</f>
        <v>5289</v>
      </c>
      <c r="C5102" s="2" t="s">
        <v>594</v>
      </c>
      <c r="D5102" s="2" t="str">
        <f t="shared" si="78"/>
        <v>Error?</v>
      </c>
    </row>
    <row r="5103" spans="1:4" x14ac:dyDescent="0.2">
      <c r="A5103" s="5">
        <v>5042</v>
      </c>
      <c r="B5103" s="138">
        <f>'Revenues 9-14'!C84</f>
        <v>70591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70591</v>
      </c>
      <c r="C5112" s="2" t="s">
        <v>594</v>
      </c>
      <c r="D5112" s="2" t="str">
        <f t="shared" si="78"/>
        <v>Error?</v>
      </c>
    </row>
    <row r="5113" spans="1:4" x14ac:dyDescent="0.2">
      <c r="A5113" s="5">
        <v>5052</v>
      </c>
      <c r="B5113" s="138">
        <f>'Revenues 9-14'!C95</f>
        <v>83139</v>
      </c>
      <c r="D5113" s="2" t="str">
        <f t="shared" si="78"/>
        <v>Error?</v>
      </c>
    </row>
    <row r="5114" spans="1:4" x14ac:dyDescent="0.2">
      <c r="A5114" s="5">
        <v>5053</v>
      </c>
      <c r="B5114" s="138">
        <f>'Revenues 9-14'!C96</f>
        <v>39761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172069</v>
      </c>
      <c r="D5119" s="2" t="str">
        <f t="shared" ref="D5119:D5182" si="79">IF(ISBLANK(B5119),"OK",IF(A5119-B5119=0,"OK","Error?"))</f>
        <v>Error?</v>
      </c>
    </row>
    <row r="5120" spans="1:4" x14ac:dyDescent="0.2">
      <c r="A5120" s="5">
        <v>5059</v>
      </c>
      <c r="B5120" s="138">
        <f>'Revenues 9-14'!C108</f>
        <v>294969</v>
      </c>
      <c r="C5120" s="2" t="s">
        <v>594</v>
      </c>
      <c r="D5120" s="2" t="str">
        <f t="shared" si="79"/>
        <v>Error?</v>
      </c>
    </row>
    <row r="5121" spans="1:4" x14ac:dyDescent="0.2">
      <c r="A5121" s="5">
        <v>5060</v>
      </c>
      <c r="B5121" s="138">
        <f>'Revenues 9-14'!C109</f>
        <v>10224168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568149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568149</v>
      </c>
      <c r="C5132" s="2" t="s">
        <v>594</v>
      </c>
      <c r="D5132" s="2" t="str">
        <f t="shared" si="79"/>
        <v>Error?</v>
      </c>
    </row>
    <row r="5133" spans="1:4" x14ac:dyDescent="0.2">
      <c r="A5133" s="5">
        <v>5072</v>
      </c>
      <c r="B5133" s="138">
        <f>'Revenues 9-14'!C124</f>
        <v>25641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25641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27141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595290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9917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9917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1154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25343</v>
      </c>
      <c r="D5278" s="2" t="str">
        <f t="shared" si="81"/>
        <v>Error?</v>
      </c>
    </row>
    <row r="5279" spans="1:4" x14ac:dyDescent="0.2">
      <c r="A5279" s="5">
        <v>5218</v>
      </c>
      <c r="B5279" s="138">
        <f>'Revenues 9-14'!C221</f>
        <v>22706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49203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80189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80189</v>
      </c>
      <c r="C5326" s="2" t="s">
        <v>594</v>
      </c>
      <c r="D5326" s="2" t="str">
        <f t="shared" si="82"/>
        <v>Error?</v>
      </c>
    </row>
    <row r="5327" spans="1:4" x14ac:dyDescent="0.2">
      <c r="A5327" s="5">
        <v>5266</v>
      </c>
      <c r="B5327" s="138">
        <f>'Revenues 9-14'!C275</f>
        <v>10899647</v>
      </c>
      <c r="C5327" s="2" t="s">
        <v>594</v>
      </c>
      <c r="D5327" s="2" t="str">
        <f t="shared" si="82"/>
        <v>Error?</v>
      </c>
    </row>
    <row r="5328" spans="1:4" x14ac:dyDescent="0.2">
      <c r="A5328" s="5">
        <v>5267</v>
      </c>
      <c r="B5328" s="138">
        <f>'Revenues 9-14'!D5</f>
        <v>1733811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1733811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10872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10872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1744683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1744683</v>
      </c>
      <c r="C5508" s="2" t="s">
        <v>594</v>
      </c>
      <c r="D5508" s="2" t="str">
        <f t="shared" si="85"/>
        <v>Error?</v>
      </c>
    </row>
    <row r="5509" spans="1:4" x14ac:dyDescent="0.2">
      <c r="A5509" s="5">
        <v>5448</v>
      </c>
      <c r="B5509" s="138">
        <f>'Revenues 9-14'!E5</f>
        <v>623227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623227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5416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5416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628643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628643</v>
      </c>
      <c r="C5552" s="2" t="s">
        <v>594</v>
      </c>
      <c r="D5552" s="2" t="str">
        <f t="shared" si="85"/>
        <v>Error?</v>
      </c>
    </row>
    <row r="5553" spans="1:4" x14ac:dyDescent="0.2">
      <c r="A5553" s="5">
        <v>5492</v>
      </c>
      <c r="B5553" s="138">
        <f>'Revenues 9-14'!F5</f>
        <v>112802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112802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7647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7647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120449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247</v>
      </c>
      <c r="D5615" s="2" t="str">
        <f t="shared" si="86"/>
        <v>Error?</v>
      </c>
    </row>
    <row r="5616" spans="1:4" x14ac:dyDescent="0.2">
      <c r="A5616" s="10">
        <v>5555</v>
      </c>
      <c r="D5616" s="2" t="str">
        <f t="shared" si="86"/>
        <v>OK</v>
      </c>
    </row>
    <row r="5617" spans="1:4" x14ac:dyDescent="0.2">
      <c r="A5617" s="5">
        <v>5556</v>
      </c>
      <c r="B5617" s="138">
        <f>'Revenues 9-14'!F152</f>
        <v>84394</v>
      </c>
      <c r="D5617" s="2" t="str">
        <f t="shared" si="86"/>
        <v>Error?</v>
      </c>
    </row>
    <row r="5618" spans="1:4" x14ac:dyDescent="0.2">
      <c r="A5618" s="5">
        <v>5557</v>
      </c>
      <c r="B5618" s="138">
        <f>'Revenues 9-14'!F154</f>
        <v>84641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84641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84641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205090</v>
      </c>
      <c r="C5720" s="2" t="s">
        <v>594</v>
      </c>
      <c r="D5720" s="2" t="str">
        <f t="shared" si="88"/>
        <v>Error?</v>
      </c>
    </row>
    <row r="5721" spans="1:4" x14ac:dyDescent="0.2">
      <c r="A5721" s="5">
        <v>5660</v>
      </c>
      <c r="B5721" s="138">
        <f>'Revenues 9-14'!G5</f>
        <v>72391</v>
      </c>
      <c r="D5721" s="2" t="str">
        <f t="shared" si="88"/>
        <v>Error?</v>
      </c>
    </row>
    <row r="5722" spans="1:4" x14ac:dyDescent="0.2">
      <c r="A5722" s="5">
        <v>5661</v>
      </c>
      <c r="B5722" s="138">
        <f>'Revenues 9-14'!G7</f>
        <v>0</v>
      </c>
      <c r="D5722" s="2" t="str">
        <f t="shared" si="88"/>
        <v>Error?</v>
      </c>
    </row>
    <row r="5723" spans="1:4" x14ac:dyDescent="0.2">
      <c r="A5723" s="5">
        <v>5662</v>
      </c>
      <c r="B5723" s="138">
        <f>'Revenues 9-14'!G8</f>
        <v>220883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293274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594</v>
      </c>
      <c r="D5730" s="2" t="str">
        <f t="shared" si="88"/>
        <v>Error?</v>
      </c>
    </row>
    <row r="5731" spans="1:4" x14ac:dyDescent="0.2">
      <c r="A5731" s="5">
        <v>5670</v>
      </c>
      <c r="B5731" s="138">
        <f>'Revenues 9-14'!G65</f>
        <v>5926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5926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300700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20623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20623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20623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896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896</v>
      </c>
      <c r="C6023" s="2" t="s">
        <v>594</v>
      </c>
      <c r="D6023" s="2" t="str">
        <f t="shared" si="93"/>
        <v>Error?</v>
      </c>
    </row>
    <row r="6024" spans="1:5" x14ac:dyDescent="0.2">
      <c r="A6024" s="5">
        <v>5963</v>
      </c>
      <c r="B6024" s="138">
        <f>'Revenues 9-14'!G109</f>
        <v>300700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20623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896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6607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831.69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32787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21185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48420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97219</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215526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127181</v>
      </c>
      <c r="D6142" s="2" t="str">
        <f t="shared" si="94"/>
        <v>Error?</v>
      </c>
      <c r="E6142" s="2" t="s">
        <v>199</v>
      </c>
    </row>
    <row r="6143" spans="1:5" x14ac:dyDescent="0.2">
      <c r="A6143">
        <v>6082</v>
      </c>
      <c r="B6143" s="138">
        <f>'Assets-Liab 5-6'!D27</f>
        <v>138630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115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472</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96916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97388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118138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215526</v>
      </c>
      <c r="D6216" s="2" t="str">
        <f t="shared" si="96"/>
        <v>Error?</v>
      </c>
      <c r="E6216" s="2" t="s">
        <v>199</v>
      </c>
    </row>
    <row r="6217" spans="1:5" x14ac:dyDescent="0.2">
      <c r="A6217">
        <v>6156</v>
      </c>
      <c r="B6217" s="138">
        <f>'Assets-Liab 5-6'!J4</f>
        <v>21391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96916</v>
      </c>
      <c r="D6219" s="2" t="str">
        <f t="shared" si="96"/>
        <v>Error?</v>
      </c>
      <c r="E6219" s="2" t="s">
        <v>199</v>
      </c>
    </row>
    <row r="6220" spans="1:5" x14ac:dyDescent="0.2">
      <c r="A6220">
        <v>6159</v>
      </c>
      <c r="B6220" s="138">
        <f>'Acct Summary 7-8'!J4</f>
        <v>174723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174723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174723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212436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212436</v>
      </c>
      <c r="D6229" s="2" t="str">
        <f t="shared" si="96"/>
        <v>Error?</v>
      </c>
      <c r="E6229" s="2" t="s">
        <v>199</v>
      </c>
    </row>
    <row r="6230" spans="1:5" x14ac:dyDescent="0.2">
      <c r="A6230">
        <v>6169</v>
      </c>
      <c r="B6230" s="138">
        <f>'Acct Summary 7-8'!J20</f>
        <v>-37713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-37713</v>
      </c>
      <c r="D6263" s="2" t="str">
        <f t="shared" si="96"/>
        <v>Error?</v>
      </c>
      <c r="E6263" s="2" t="s">
        <v>199</v>
      </c>
    </row>
    <row r="6264" spans="1:5" x14ac:dyDescent="0.2">
      <c r="A6264">
        <v>6203</v>
      </c>
      <c r="B6264" s="138">
        <f>'Acct Summary 7-8'!J79</f>
        <v>155851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118138</v>
      </c>
      <c r="D6266" s="2" t="str">
        <f t="shared" si="96"/>
        <v>Error?</v>
      </c>
      <c r="E6266" s="2" t="s">
        <v>199</v>
      </c>
    </row>
    <row r="6267" spans="1:5" x14ac:dyDescent="0.2">
      <c r="A6267">
        <v>6206</v>
      </c>
      <c r="B6267" s="138">
        <f>'Acct Summary 7-8'!C82</f>
        <v>548274</v>
      </c>
      <c r="D6267" s="2" t="str">
        <f t="shared" si="96"/>
        <v>Error?</v>
      </c>
      <c r="E6267" s="2" t="s">
        <v>199</v>
      </c>
    </row>
    <row r="6268" spans="1:5" x14ac:dyDescent="0.2">
      <c r="A6268">
        <v>6207</v>
      </c>
      <c r="B6268" s="138">
        <f>'Acct Summary 7-8'!D82</f>
        <v>31456</v>
      </c>
      <c r="D6268" s="2" t="str">
        <f t="shared" si="96"/>
        <v>Error?</v>
      </c>
      <c r="E6268" s="2" t="s">
        <v>199</v>
      </c>
    </row>
    <row r="6269" spans="1:5" x14ac:dyDescent="0.2">
      <c r="A6269">
        <v>6208</v>
      </c>
      <c r="B6269" s="138">
        <f>'Acct Summary 7-8'!E82</f>
        <v>-5170</v>
      </c>
      <c r="D6269" s="2" t="str">
        <f t="shared" si="96"/>
        <v>Error?</v>
      </c>
      <c r="E6269" s="2" t="s">
        <v>199</v>
      </c>
    </row>
    <row r="6270" spans="1:5" x14ac:dyDescent="0.2">
      <c r="A6270">
        <v>6209</v>
      </c>
      <c r="B6270" s="138">
        <f>'Acct Summary 7-8'!F82</f>
        <v>82937</v>
      </c>
      <c r="D6270" s="2" t="str">
        <f t="shared" si="96"/>
        <v>Error?</v>
      </c>
      <c r="E6270" s="2" t="s">
        <v>199</v>
      </c>
    </row>
    <row r="6271" spans="1:5" x14ac:dyDescent="0.2">
      <c r="A6271">
        <v>6210</v>
      </c>
      <c r="B6271" s="138">
        <f>'Acct Summary 7-8'!G82</f>
        <v>-14925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-179377</v>
      </c>
      <c r="D6273" s="2" t="str">
        <f t="shared" si="97"/>
        <v>Error?</v>
      </c>
      <c r="E6273" s="2" t="s">
        <v>199</v>
      </c>
    </row>
    <row r="6274" spans="1:5" x14ac:dyDescent="0.2">
      <c r="A6274">
        <v>6213</v>
      </c>
      <c r="B6274" s="138">
        <f>'Acct Summary 7-8'!J82</f>
        <v>-37713</v>
      </c>
      <c r="D6274" s="2" t="str">
        <f t="shared" si="97"/>
        <v>Error?</v>
      </c>
      <c r="E6274" s="2" t="s">
        <v>199</v>
      </c>
    </row>
    <row r="6275" spans="1:5" x14ac:dyDescent="0.2">
      <c r="A6275">
        <v>6214</v>
      </c>
      <c r="B6275" s="138">
        <f>'Acct Summary 7-8'!K82</f>
        <v>896</v>
      </c>
      <c r="D6275" s="2" t="str">
        <f t="shared" si="97"/>
        <v>Error?</v>
      </c>
      <c r="E6275" s="2" t="s">
        <v>199</v>
      </c>
    </row>
    <row r="6276" spans="1:5" x14ac:dyDescent="0.2">
      <c r="A6276">
        <v>6215</v>
      </c>
      <c r="B6276" s="138">
        <f>'Acct Summary 7-8'!C83</f>
        <v>6.2613530234416168E-2</v>
      </c>
      <c r="D6276" s="2" t="str">
        <f t="shared" si="97"/>
        <v>Error?</v>
      </c>
      <c r="E6276" s="2" t="s">
        <v>199</v>
      </c>
    </row>
    <row r="6277" spans="1:5" x14ac:dyDescent="0.2">
      <c r="A6277">
        <v>6216</v>
      </c>
      <c r="B6277" s="138">
        <f>'Acct Summary 7-8'!D83</f>
        <v>6.1482170639605337E-2</v>
      </c>
      <c r="D6277" s="2" t="str">
        <f t="shared" si="97"/>
        <v>Error?</v>
      </c>
      <c r="E6277" s="2" t="s">
        <v>199</v>
      </c>
    </row>
    <row r="6278" spans="1:5" x14ac:dyDescent="0.2">
      <c r="A6278">
        <v>6217</v>
      </c>
      <c r="B6278" s="138">
        <f>'Acct Summary 7-8'!E83</f>
        <v>-1.9558292791804432E-2</v>
      </c>
      <c r="D6278" s="2" t="str">
        <f t="shared" si="97"/>
        <v>Error?</v>
      </c>
      <c r="E6278" s="2" t="s">
        <v>199</v>
      </c>
    </row>
    <row r="6279" spans="1:5" x14ac:dyDescent="0.2">
      <c r="A6279">
        <v>6218</v>
      </c>
      <c r="B6279" s="138">
        <f>'Acct Summary 7-8'!F83</f>
        <v>0.13732632823404936</v>
      </c>
      <c r="D6279" s="2" t="str">
        <f t="shared" si="97"/>
        <v>Error?</v>
      </c>
      <c r="E6279" s="2" t="s">
        <v>199</v>
      </c>
    </row>
    <row r="6280" spans="1:5" x14ac:dyDescent="0.2">
      <c r="A6280">
        <v>6219</v>
      </c>
      <c r="B6280" s="138">
        <f>'Acct Summary 7-8'!G83</f>
        <v>-3.921439831844456E-2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-0.13791133639688499</v>
      </c>
      <c r="D6282" s="2" t="str">
        <f t="shared" si="97"/>
        <v>Error?</v>
      </c>
      <c r="E6282" s="2" t="s">
        <v>199</v>
      </c>
    </row>
    <row r="6283" spans="1:5" x14ac:dyDescent="0.2">
      <c r="A6283">
        <v>6222</v>
      </c>
      <c r="B6283" s="138">
        <f>'Acct Summary 7-8'!J83</f>
        <v>-0.31922836005349675</v>
      </c>
      <c r="D6283" s="2" t="str">
        <f t="shared" si="97"/>
        <v>Error?</v>
      </c>
      <c r="E6283" s="2" t="s">
        <v>199</v>
      </c>
    </row>
    <row r="6284" spans="1:5" x14ac:dyDescent="0.2">
      <c r="A6284">
        <v>6223</v>
      </c>
      <c r="B6284" s="138">
        <f>'Acct Summary 7-8'!K83</f>
        <v>1.3745915346025804E-2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173168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173168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174723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133254</v>
      </c>
      <c r="D6844" s="2" t="str">
        <f t="shared" si="105"/>
        <v>Error?</v>
      </c>
    </row>
    <row r="6845" spans="1:4" x14ac:dyDescent="0.2">
      <c r="A6845">
        <v>6784</v>
      </c>
      <c r="B6845" s="138">
        <f>'Expenditures 15-22'!J5</f>
        <v>21266</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86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257</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183617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6131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97263</v>
      </c>
      <c r="D6880" s="2" t="str">
        <f t="shared" si="106"/>
        <v>Error?</v>
      </c>
    </row>
    <row r="6881" spans="1:4" x14ac:dyDescent="0.2">
      <c r="A6881">
        <v>6820</v>
      </c>
      <c r="B6881" s="138">
        <f>'Expenditures 15-22'!K22</f>
        <v>97263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139728</v>
      </c>
      <c r="D6902" s="2" t="str">
        <f t="shared" si="106"/>
        <v>Error?</v>
      </c>
    </row>
    <row r="6903" spans="1:4" x14ac:dyDescent="0.2">
      <c r="A6903">
        <v>6842</v>
      </c>
      <c r="B6903" s="138">
        <f>'Expenditures 15-22'!J33</f>
        <v>21266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62775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62775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62775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53629</v>
      </c>
      <c r="D6983" s="2" t="str">
        <f t="shared" si="108"/>
        <v>Error?</v>
      </c>
    </row>
    <row r="6984" spans="1:4" x14ac:dyDescent="0.2">
      <c r="A6984">
        <v>6923</v>
      </c>
      <c r="B6984" s="138">
        <f>'Expenditures 15-22'!K86</f>
        <v>53629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53629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202503</v>
      </c>
      <c r="D7020" s="2" t="str">
        <f t="shared" si="108"/>
        <v>Error?</v>
      </c>
    </row>
    <row r="7021" spans="1:4" x14ac:dyDescent="0.2">
      <c r="A7021">
        <v>6960</v>
      </c>
      <c r="B7021" s="138">
        <f>'Expenditures 15-22'!J114</f>
        <v>21266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10999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10999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10999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212436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10999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174723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9797</v>
      </c>
      <c r="D7075" s="2" t="str">
        <f t="shared" si="109"/>
        <v>Error?</v>
      </c>
    </row>
    <row r="7076" spans="1:4" x14ac:dyDescent="0.2">
      <c r="A7076">
        <v>7015</v>
      </c>
      <c r="B7076" s="138">
        <f>'Expenditures 15-22'!K218</f>
        <v>9797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5620</v>
      </c>
      <c r="D7093" s="2" t="str">
        <f t="shared" si="109"/>
        <v>Error?</v>
      </c>
    </row>
    <row r="7094" spans="1:4" x14ac:dyDescent="0.2">
      <c r="A7094">
        <v>7033</v>
      </c>
      <c r="B7094" s="138">
        <f>'Expenditures 15-22'!K254</f>
        <v>5620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106886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106886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527</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527</v>
      </c>
      <c r="D7171" s="2" t="str">
        <f t="shared" si="111"/>
        <v>Error?</v>
      </c>
    </row>
    <row r="7172" spans="1:4" x14ac:dyDescent="0.2">
      <c r="A7172">
        <v>7111</v>
      </c>
      <c r="B7172" s="138">
        <f>'Expenditures 15-22'!C325</f>
        <v>78195</v>
      </c>
      <c r="D7172" s="2" t="str">
        <f t="shared" si="111"/>
        <v>Error?</v>
      </c>
    </row>
    <row r="7173" spans="1:4" x14ac:dyDescent="0.2">
      <c r="A7173">
        <v>7112</v>
      </c>
      <c r="B7173" s="138">
        <f>'Expenditures 15-22'!D325</f>
        <v>8050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86245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18778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18778</v>
      </c>
      <c r="D7198" s="2" t="str">
        <f t="shared" si="111"/>
        <v>Error?</v>
      </c>
    </row>
    <row r="7199" spans="1:4" x14ac:dyDescent="0.2">
      <c r="A7199">
        <v>7138</v>
      </c>
      <c r="B7199" s="138">
        <f>'Expenditures 15-22'!C330</f>
        <v>78195</v>
      </c>
      <c r="D7199" s="2" t="str">
        <f t="shared" si="111"/>
        <v>Error?</v>
      </c>
    </row>
    <row r="7200" spans="1:4" x14ac:dyDescent="0.2">
      <c r="A7200">
        <v>7139</v>
      </c>
      <c r="B7200" s="138">
        <f>'Expenditures 15-22'!D330</f>
        <v>8050</v>
      </c>
      <c r="D7200" s="2" t="str">
        <f t="shared" si="111"/>
        <v>Error?</v>
      </c>
    </row>
    <row r="7201" spans="1:4" x14ac:dyDescent="0.2">
      <c r="A7201">
        <v>7140</v>
      </c>
      <c r="B7201" s="138">
        <f>'Expenditures 15-22'!E330</f>
        <v>126191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212436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78195</v>
      </c>
      <c r="D7216" s="2" t="str">
        <f t="shared" si="111"/>
        <v>Error?</v>
      </c>
    </row>
    <row r="7217" spans="1:4" x14ac:dyDescent="0.2">
      <c r="A7217">
        <v>7156</v>
      </c>
      <c r="B7217" s="138">
        <f>'Expenditures 15-22'!D342</f>
        <v>8050</v>
      </c>
      <c r="D7217" s="2" t="str">
        <f t="shared" si="111"/>
        <v>Error?</v>
      </c>
    </row>
    <row r="7218" spans="1:4" x14ac:dyDescent="0.2">
      <c r="A7218">
        <v>7157</v>
      </c>
      <c r="B7218" s="138">
        <f>'Expenditures 15-22'!E342</f>
        <v>126191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212436</v>
      </c>
      <c r="D7224" s="2" t="str">
        <f t="shared" si="111"/>
        <v>Error?</v>
      </c>
    </row>
    <row r="7225" spans="1:4" x14ac:dyDescent="0.2">
      <c r="A7225">
        <v>7164</v>
      </c>
      <c r="B7225" s="138">
        <f>'Expenditures 15-22'!K343</f>
        <v>-37713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144077</v>
      </c>
      <c r="D7251" s="2" t="str">
        <f t="shared" si="112"/>
        <v>Error?</v>
      </c>
    </row>
    <row r="7252" spans="1:4" x14ac:dyDescent="0.2">
      <c r="A7252">
        <f t="shared" si="113"/>
        <v>7191</v>
      </c>
      <c r="B7252" s="138">
        <f>'Expenditures 15-22'!D9</f>
        <v>10073</v>
      </c>
      <c r="D7252" s="2" t="str">
        <f t="shared" si="112"/>
        <v>Error?</v>
      </c>
    </row>
    <row r="7253" spans="1:4" x14ac:dyDescent="0.2">
      <c r="A7253">
        <f t="shared" si="113"/>
        <v>7192</v>
      </c>
      <c r="B7253" s="138">
        <f>'Expenditures 15-22'!E9</f>
        <v>25855</v>
      </c>
      <c r="D7253" s="2" t="str">
        <f t="shared" si="112"/>
        <v>Error?</v>
      </c>
    </row>
    <row r="7254" spans="1:4" x14ac:dyDescent="0.2">
      <c r="A7254">
        <f t="shared" si="113"/>
        <v>7193</v>
      </c>
      <c r="B7254" s="138">
        <f>'Expenditures 15-22'!F9</f>
        <v>3355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213502</v>
      </c>
      <c r="D7624" s="2" t="str">
        <f t="shared" si="124"/>
        <v>Error?</v>
      </c>
      <c r="E7624" s="2" t="s">
        <v>19</v>
      </c>
    </row>
    <row r="7625" spans="1:5" x14ac:dyDescent="0.2">
      <c r="A7625">
        <f t="shared" si="123"/>
        <v>7564</v>
      </c>
      <c r="B7625" s="138">
        <f>'Cap Outlay Deprec 26'!I17</f>
        <v>21350.2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1013481.2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110282</v>
      </c>
      <c r="D7759" s="2" t="str">
        <f t="shared" si="127"/>
        <v>Error?</v>
      </c>
      <c r="E7759" s="4" t="s">
        <v>1400</v>
      </c>
    </row>
    <row r="7760" spans="1:6" x14ac:dyDescent="0.2">
      <c r="A7760">
        <v>7699</v>
      </c>
      <c r="B7760" s="138">
        <f>'Aud Quest 2'!J90</f>
        <v>110282</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2108938</v>
      </c>
      <c r="D7797" s="2" t="str">
        <f t="shared" si="127"/>
        <v>Error?</v>
      </c>
      <c r="E7797" s="4" t="s">
        <v>2020</v>
      </c>
    </row>
    <row r="7798" spans="1:5" x14ac:dyDescent="0.2">
      <c r="A7798">
        <v>7737</v>
      </c>
      <c r="B7798" s="138">
        <f>'Contracts Paid in CY 29'!F141</f>
        <v>300000</v>
      </c>
      <c r="D7798" s="2" t="str">
        <f t="shared" si="127"/>
        <v>Error?</v>
      </c>
      <c r="E7798" s="4" t="s">
        <v>2020</v>
      </c>
    </row>
    <row r="7799" spans="1:5" x14ac:dyDescent="0.2">
      <c r="A7799">
        <v>7738</v>
      </c>
      <c r="B7799" s="138">
        <f>'Contracts Paid in CY 29'!G141</f>
        <v>1069016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6" t="s">
        <v>1253</v>
      </c>
      <c r="B2" s="2396"/>
      <c r="C2" s="2396"/>
      <c r="D2" s="2396"/>
      <c r="E2" s="2396"/>
      <c r="F2" s="2396"/>
      <c r="G2" s="2396"/>
      <c r="H2" s="2396"/>
      <c r="I2" s="2396"/>
      <c r="J2" s="2396"/>
      <c r="K2" s="2396"/>
      <c r="L2" s="2396"/>
    </row>
    <row r="3" spans="1:29" ht="13.5" customHeight="1" x14ac:dyDescent="0.2">
      <c r="A3" s="2427" t="s">
        <v>1252</v>
      </c>
      <c r="B3" s="2427"/>
      <c r="C3" s="2427"/>
      <c r="D3" s="2427"/>
      <c r="E3" s="2427"/>
      <c r="F3" s="2427"/>
      <c r="G3" s="2427"/>
      <c r="H3" s="2427"/>
      <c r="I3" s="2427"/>
      <c r="J3" s="2427"/>
      <c r="K3" s="2427"/>
      <c r="L3" s="2427"/>
    </row>
    <row r="4" spans="1:29" ht="13.5" customHeight="1" x14ac:dyDescent="0.2">
      <c r="A4" s="2396" t="s">
        <v>1799</v>
      </c>
      <c r="B4" s="2417"/>
      <c r="C4" s="2417"/>
      <c r="D4" s="2417"/>
      <c r="E4" s="2417"/>
      <c r="F4" s="2417"/>
      <c r="G4" s="2417"/>
      <c r="H4" s="2417"/>
      <c r="I4" s="2417"/>
      <c r="J4" s="2417"/>
      <c r="K4" s="2417"/>
      <c r="L4" s="241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8" t="str">
        <f>COVER!A17</f>
        <v>Lagrange Highlands SD 106</v>
      </c>
      <c r="B7" s="2419"/>
      <c r="C7" s="2419"/>
      <c r="D7" s="2420"/>
      <c r="E7" s="2421">
        <f>COVER!A13</f>
        <v>6016106002</v>
      </c>
      <c r="F7" s="2422"/>
      <c r="G7" s="2428" t="str">
        <f>COVER!T23</f>
        <v>065-033233</v>
      </c>
      <c r="H7" s="2429"/>
      <c r="I7" s="2429"/>
      <c r="J7" s="2429"/>
      <c r="K7" s="2429"/>
      <c r="L7" s="243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1"/>
      <c r="B9" s="2432"/>
      <c r="C9" s="2432"/>
      <c r="D9" s="2432"/>
      <c r="E9" s="2432"/>
      <c r="F9" s="2433"/>
      <c r="G9" s="2402" t="str">
        <f>COVER!T13</f>
        <v>Lauterbach &amp; Amen, LLP.</v>
      </c>
      <c r="H9" s="2434"/>
      <c r="I9" s="2434"/>
      <c r="J9" s="2434"/>
      <c r="K9" s="2434"/>
      <c r="L9" s="2435"/>
    </row>
    <row r="10" spans="1:29" ht="13.5" customHeight="1" x14ac:dyDescent="0.2">
      <c r="A10" s="2408" t="str">
        <f>COVER!A38</f>
        <v>Patricia Viniard</v>
      </c>
      <c r="B10" s="2409"/>
      <c r="C10" s="2409"/>
      <c r="D10" s="2409"/>
      <c r="E10" s="2409"/>
      <c r="F10" s="2410"/>
      <c r="G10" s="2402" t="str">
        <f>COVER!T17</f>
        <v>668 N. River Road</v>
      </c>
      <c r="H10" s="2403"/>
      <c r="I10" s="2403"/>
      <c r="J10" s="2403"/>
      <c r="K10" s="2403"/>
      <c r="L10" s="2404"/>
    </row>
    <row r="11" spans="1:29" ht="13.5" customHeight="1" x14ac:dyDescent="0.2">
      <c r="A11" s="1185" t="s">
        <v>1599</v>
      </c>
      <c r="B11" s="1186"/>
      <c r="C11" s="1187"/>
      <c r="D11" s="1192"/>
      <c r="E11" s="1187"/>
      <c r="F11" s="1191"/>
      <c r="G11" s="2402" t="str">
        <f>COVER!T19</f>
        <v xml:space="preserve">Naperville </v>
      </c>
      <c r="H11" s="2403"/>
      <c r="I11" s="2403"/>
      <c r="J11" s="2403"/>
      <c r="K11" s="2403"/>
      <c r="L11" s="2404"/>
    </row>
    <row r="12" spans="1:29" ht="13.5" customHeight="1" x14ac:dyDescent="0.2">
      <c r="A12" s="2411" t="s">
        <v>1598</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1600</v>
      </c>
      <c r="H13" s="2398"/>
      <c r="I13" s="2414" t="str">
        <f>COVER!T25</f>
        <v>mberan@lauterbachamen.com</v>
      </c>
      <c r="J13" s="2415"/>
      <c r="K13" s="2415"/>
      <c r="L13" s="2416"/>
    </row>
    <row r="14" spans="1:29" ht="13.5" customHeight="1" x14ac:dyDescent="0.2">
      <c r="A14" s="2402" t="str">
        <f>COVER!A19</f>
        <v>1750 Plainfield Road</v>
      </c>
      <c r="B14" s="2403"/>
      <c r="C14" s="2403"/>
      <c r="D14" s="2403"/>
      <c r="E14" s="2403"/>
      <c r="F14" s="2404"/>
      <c r="G14" s="1196" t="s">
        <v>1247</v>
      </c>
      <c r="H14" s="1194"/>
      <c r="I14" s="1194"/>
      <c r="J14" s="1194"/>
      <c r="K14" s="1194"/>
      <c r="L14" s="1195"/>
    </row>
    <row r="15" spans="1:29" ht="13.5" customHeight="1" x14ac:dyDescent="0.2">
      <c r="A15" s="2402" t="str">
        <f>COVER!A21</f>
        <v>LaGrange Highlands</v>
      </c>
      <c r="B15" s="2403"/>
      <c r="C15" s="2403"/>
      <c r="D15" s="2403"/>
      <c r="E15" s="2403"/>
      <c r="F15" s="2404"/>
      <c r="G15" s="2399" t="str">
        <f>COVER!T15</f>
        <v>Matt Beran</v>
      </c>
      <c r="H15" s="2400"/>
      <c r="I15" s="2400"/>
      <c r="J15" s="2400"/>
      <c r="K15" s="2400"/>
      <c r="L15" s="2401"/>
    </row>
    <row r="16" spans="1:29" ht="12.2" customHeight="1" x14ac:dyDescent="0.2">
      <c r="A16" s="2424">
        <f>COVER!A25</f>
        <v>60525</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6" t="s">
        <v>1246</v>
      </c>
      <c r="H17" s="1194"/>
      <c r="I17" s="1194"/>
      <c r="J17" s="1194"/>
      <c r="K17" s="1198" t="s">
        <v>1245</v>
      </c>
      <c r="L17" s="1191"/>
      <c r="M17" s="1184"/>
    </row>
    <row r="18" spans="1:13" ht="12.2" customHeight="1" x14ac:dyDescent="0.2">
      <c r="A18" s="2408"/>
      <c r="B18" s="2409"/>
      <c r="C18" s="2409"/>
      <c r="D18" s="2409"/>
      <c r="E18" s="2409"/>
      <c r="F18" s="2410"/>
      <c r="G18" s="2418">
        <f>COVER!T21</f>
        <v>6303931483</v>
      </c>
      <c r="H18" s="2419"/>
      <c r="I18" s="2419"/>
      <c r="J18" s="2419"/>
      <c r="K18" s="2418">
        <f>COVER!X21</f>
        <v>6303932516</v>
      </c>
      <c r="L18" s="242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Lagrange Highlands SD 106</v>
      </c>
      <c r="B1" s="2417"/>
      <c r="C1" s="2417"/>
      <c r="D1" s="2417"/>
    </row>
    <row r="2" spans="1:11" s="1215" customFormat="1" ht="12.75" x14ac:dyDescent="0.2">
      <c r="A2" s="2441">
        <f>'Single Audit Cover'!E7</f>
        <v>6016106002</v>
      </c>
      <c r="B2" s="2442"/>
      <c r="C2" s="2442"/>
      <c r="D2" s="2442"/>
    </row>
    <row r="3" spans="1:11" s="1215" customFormat="1" ht="12.75" x14ac:dyDescent="0.2">
      <c r="A3" s="2440" t="s">
        <v>1593</v>
      </c>
      <c r="B3" s="2417"/>
      <c r="C3" s="2417"/>
      <c r="D3" s="241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Lagrange Highlands SD 106</v>
      </c>
      <c r="B1" s="2444"/>
      <c r="C1" s="2444"/>
      <c r="D1" s="2444"/>
      <c r="E1" s="2444"/>
    </row>
    <row r="2" spans="1:5" x14ac:dyDescent="0.2">
      <c r="A2" s="2445">
        <f>'Single Audit Cover'!E7</f>
        <v>6016106002</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80189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80189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80189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0</v>
      </c>
    </row>
    <row r="49" spans="2:4" x14ac:dyDescent="0.2">
      <c r="B49" s="1272" t="s">
        <v>1288</v>
      </c>
      <c r="C49" s="1272"/>
      <c r="D49" s="1273">
        <f>D32-D47</f>
        <v>80189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Lagrange Highlands SD 106</v>
      </c>
      <c r="B1" s="2457"/>
      <c r="C1" s="2457"/>
      <c r="D1" s="2457"/>
      <c r="E1" s="2457"/>
      <c r="F1" s="2457"/>
    </row>
    <row r="2" spans="1:7" ht="13.5" customHeight="1" x14ac:dyDescent="0.2">
      <c r="A2" s="2458">
        <f>'Single Audit Cover'!E7</f>
        <v>6016106002</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1831</v>
      </c>
      <c r="C6" s="317"/>
      <c r="D6" s="317"/>
    </row>
    <row r="7" spans="1:7" ht="60.95" customHeight="1" x14ac:dyDescent="0.2">
      <c r="A7" s="2456" t="s">
        <v>1832</v>
      </c>
      <c r="B7" s="2456"/>
      <c r="C7" s="2456"/>
      <c r="D7" s="2456"/>
      <c r="E7" s="2456"/>
      <c r="F7" s="245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6" t="s">
        <v>1834</v>
      </c>
      <c r="B13" s="2456"/>
      <c r="C13" s="2456"/>
      <c r="D13" s="2456"/>
      <c r="E13" s="2456"/>
      <c r="F13" s="2456"/>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c r="C17" s="1285"/>
      <c r="D17" s="2449"/>
      <c r="E17" s="2449"/>
      <c r="F17" s="2449"/>
    </row>
    <row r="18" spans="1:6" ht="20.65" customHeight="1" x14ac:dyDescent="0.2">
      <c r="A18" s="1283"/>
      <c r="B18" s="1284"/>
      <c r="C18" s="1285"/>
      <c r="D18" s="2449"/>
      <c r="E18" s="2449"/>
      <c r="F18" s="2449"/>
    </row>
    <row r="19" spans="1:6" ht="20.65" customHeight="1" x14ac:dyDescent="0.2">
      <c r="A19" s="1283"/>
      <c r="B19" s="1284"/>
      <c r="C19" s="1285"/>
      <c r="D19" s="2449"/>
      <c r="E19" s="2449"/>
      <c r="F19" s="2449"/>
    </row>
    <row r="20" spans="1:6" ht="20.65" customHeight="1" x14ac:dyDescent="0.2">
      <c r="A20" s="1283"/>
      <c r="B20" s="1284"/>
      <c r="C20" s="1285"/>
      <c r="D20" s="2449"/>
      <c r="E20" s="2449"/>
      <c r="F20" s="2449"/>
    </row>
    <row r="21" spans="1:6" ht="20.65" customHeight="1" x14ac:dyDescent="0.2">
      <c r="A21" s="1283"/>
      <c r="B21" s="1284"/>
      <c r="C21" s="1285"/>
      <c r="D21" s="2449"/>
      <c r="E21" s="2449"/>
      <c r="F21" s="2449"/>
    </row>
    <row r="22" spans="1:6" ht="20.65" customHeight="1" x14ac:dyDescent="0.2">
      <c r="A22" s="1283"/>
      <c r="B22" s="1284"/>
      <c r="C22" s="1285"/>
      <c r="D22" s="2449"/>
      <c r="E22" s="2449"/>
      <c r="F22" s="2449"/>
    </row>
    <row r="23" spans="1:6" ht="20.65" customHeight="1" x14ac:dyDescent="0.2">
      <c r="A23" s="1283"/>
      <c r="B23" s="1284"/>
      <c r="C23" s="1285"/>
      <c r="D23" s="2449"/>
      <c r="E23" s="2449"/>
      <c r="F23" s="2449"/>
    </row>
    <row r="24" spans="1:6" ht="20.65" customHeight="1" x14ac:dyDescent="0.2">
      <c r="A24" s="1283"/>
      <c r="B24" s="1284"/>
      <c r="C24" s="1285"/>
      <c r="D24" s="2449"/>
      <c r="E24" s="2449"/>
      <c r="F24" s="2449"/>
    </row>
    <row r="25" spans="1:6" ht="20.65" customHeight="1" x14ac:dyDescent="0.2">
      <c r="A25" s="1283"/>
      <c r="B25" s="1284"/>
      <c r="C25" s="1285"/>
      <c r="D25" s="2449"/>
      <c r="E25" s="2449"/>
      <c r="F25" s="2449"/>
    </row>
    <row r="26" spans="1:6" ht="20.65" customHeight="1" x14ac:dyDescent="0.2">
      <c r="A26" s="1283"/>
      <c r="B26" s="1284"/>
      <c r="C26" s="1285"/>
      <c r="D26" s="2449"/>
      <c r="E26" s="2449"/>
      <c r="F26" s="2449"/>
    </row>
    <row r="27" spans="1:6" ht="20.65" customHeight="1" x14ac:dyDescent="0.2">
      <c r="A27" s="1283"/>
      <c r="B27" s="1284"/>
      <c r="C27" s="1285"/>
      <c r="D27" s="2449"/>
      <c r="E27" s="2449"/>
      <c r="F27" s="2449"/>
    </row>
    <row r="28" spans="1:6" ht="20.65" customHeight="1" x14ac:dyDescent="0.2">
      <c r="A28" s="1283"/>
      <c r="B28" s="1284"/>
      <c r="C28" s="1285"/>
      <c r="D28" s="2449"/>
      <c r="E28" s="2449"/>
      <c r="F28" s="2449"/>
    </row>
    <row r="29" spans="1:6" ht="20.65" customHeight="1" x14ac:dyDescent="0.2">
      <c r="A29" s="1283"/>
      <c r="B29" s="1284"/>
      <c r="C29" s="1285"/>
      <c r="D29" s="2449"/>
      <c r="E29" s="2449"/>
      <c r="F29" s="2449"/>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0" t="s">
        <v>1835</v>
      </c>
      <c r="B32" s="2450"/>
      <c r="C32" s="2450"/>
      <c r="D32" s="2450"/>
      <c r="E32" s="2450"/>
      <c r="F32" s="245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1">
        <f>+C33+C34</f>
        <v>0</v>
      </c>
      <c r="F34" s="245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3" t="s">
        <v>1672</v>
      </c>
      <c r="C49" s="2453"/>
      <c r="D49" s="2453"/>
      <c r="E49" s="1399"/>
    </row>
    <row r="50" spans="1:5" s="1300" customFormat="1" ht="3.75" customHeight="1" x14ac:dyDescent="0.2">
      <c r="A50" s="1299"/>
      <c r="B50" s="1870"/>
      <c r="C50" s="1870"/>
      <c r="D50" s="1870"/>
      <c r="E50" s="1399"/>
    </row>
    <row r="51" spans="1:5" s="1300" customFormat="1" ht="20.25" customHeight="1" x14ac:dyDescent="0.2">
      <c r="A51" s="1301">
        <v>6</v>
      </c>
      <c r="B51" s="2448" t="s">
        <v>1632</v>
      </c>
      <c r="C51" s="2448"/>
      <c r="D51" s="2448"/>
    </row>
    <row r="52" spans="1:5" ht="14.25" customHeight="1" x14ac:dyDescent="0.2">
      <c r="A52" s="1301"/>
      <c r="B52" s="2448"/>
      <c r="C52" s="2448"/>
      <c r="D52" s="244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7" t="str">
        <f>'Single Audit Cover'!A7</f>
        <v>Lagrange Highlands SD 106</v>
      </c>
      <c r="C1" s="2461"/>
      <c r="D1" s="2461"/>
      <c r="E1" s="2461"/>
      <c r="F1" s="2461"/>
      <c r="G1" s="2461"/>
      <c r="H1" s="2461"/>
      <c r="I1" s="2461"/>
      <c r="J1" s="2461"/>
      <c r="K1" s="2461"/>
      <c r="L1" s="2461"/>
      <c r="M1" s="2461"/>
    </row>
    <row r="2" spans="2:14" ht="15" x14ac:dyDescent="0.2">
      <c r="B2" s="2458">
        <f>'Single Audit Cover'!E7</f>
        <v>6016106002</v>
      </c>
      <c r="C2" s="2458"/>
      <c r="D2" s="2458"/>
      <c r="E2" s="2458"/>
      <c r="F2" s="2458"/>
      <c r="G2" s="2458"/>
      <c r="H2" s="2458"/>
      <c r="I2" s="2458"/>
      <c r="J2" s="2458"/>
      <c r="K2" s="2458"/>
      <c r="L2" s="2458"/>
      <c r="M2" s="2458"/>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247</v>
      </c>
      <c r="G88" s="276">
        <v>84394</v>
      </c>
      <c r="H88" s="276">
        <v>25641</v>
      </c>
      <c r="I88" s="276"/>
      <c r="J88" s="277">
        <f>SUM(E88:I88)</f>
        <v>110282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110282</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Lagrange Highlands SD 106</v>
      </c>
      <c r="C1" s="2476"/>
      <c r="D1" s="2476"/>
      <c r="E1" s="2476"/>
      <c r="F1" s="2476"/>
      <c r="G1" s="2476"/>
      <c r="H1" s="2476"/>
      <c r="I1" s="2476"/>
      <c r="J1" s="1422"/>
    </row>
    <row r="2" spans="2:10" s="317" customFormat="1" ht="12.75" customHeight="1" x14ac:dyDescent="0.2">
      <c r="B2" s="2477">
        <f>'Single Audit Cover'!E7</f>
        <v>6016106002</v>
      </c>
      <c r="C2" s="2478"/>
      <c r="D2" s="2478"/>
      <c r="E2" s="2478"/>
      <c r="F2" s="2478"/>
      <c r="G2" s="2478"/>
      <c r="H2" s="2478"/>
      <c r="I2" s="2478"/>
      <c r="J2" s="1422"/>
    </row>
    <row r="3" spans="2:10" s="317" customFormat="1" ht="12.75" customHeight="1" x14ac:dyDescent="0.2">
      <c r="B3" s="2479" t="s">
        <v>1347</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1346</v>
      </c>
      <c r="C7" s="2480"/>
      <c r="D7" s="2480"/>
      <c r="E7" s="2480"/>
      <c r="F7" s="2480"/>
      <c r="G7" s="2480"/>
      <c r="H7" s="2480"/>
      <c r="I7" s="248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1"/>
      <c r="D11" s="248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2"/>
      <c r="E29" s="2482"/>
      <c r="F29" s="2482"/>
      <c r="G29" s="2482"/>
      <c r="H29" s="2482"/>
      <c r="I29" s="248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3" t="s">
        <v>1854</v>
      </c>
      <c r="D37" s="2484"/>
      <c r="E37" s="2484"/>
      <c r="F37" s="2485"/>
      <c r="G37" s="2483" t="s">
        <v>1674</v>
      </c>
      <c r="H37" s="2484"/>
      <c r="I37" s="2485"/>
    </row>
    <row r="38" spans="2:9" ht="16.5" customHeight="1" x14ac:dyDescent="0.2">
      <c r="B38" s="1444"/>
      <c r="C38" s="2471"/>
      <c r="D38" s="2472"/>
      <c r="E38" s="2472"/>
      <c r="F38" s="2473"/>
      <c r="G38" s="2486"/>
      <c r="H38" s="2487"/>
      <c r="I38" s="2488"/>
    </row>
    <row r="39" spans="2:9" ht="16.5" customHeight="1" x14ac:dyDescent="0.2">
      <c r="B39" s="1444"/>
      <c r="C39" s="2471"/>
      <c r="D39" s="2472"/>
      <c r="E39" s="2472"/>
      <c r="F39" s="2473"/>
      <c r="G39" s="2474"/>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64" t="s">
        <v>1675</v>
      </c>
      <c r="D43" s="2465"/>
      <c r="E43" s="2465"/>
      <c r="F43" s="2466"/>
      <c r="G43" s="2467">
        <f>SUM(G38:I42)</f>
        <v>0</v>
      </c>
      <c r="H43" s="2467"/>
      <c r="I43" s="2467"/>
    </row>
    <row r="44" spans="2:9" ht="12.75" customHeight="1" x14ac:dyDescent="0.2"/>
    <row r="45" spans="2:9" ht="12.75" customHeight="1" x14ac:dyDescent="0.2">
      <c r="B45" s="1435" t="s">
        <v>1952</v>
      </c>
      <c r="D45" s="2468">
        <v>0</v>
      </c>
      <c r="E45" s="246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0"/>
      <c r="F49" s="2470"/>
      <c r="G49" s="247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Lagrange Highlands SD 106</v>
      </c>
      <c r="C1" s="2475"/>
      <c r="D1" s="2475"/>
      <c r="E1" s="2475"/>
      <c r="F1" s="2475"/>
      <c r="G1" s="2475"/>
      <c r="H1" s="2475"/>
      <c r="I1" s="2475"/>
      <c r="J1" s="2475"/>
      <c r="K1" s="2475"/>
      <c r="L1" s="1374"/>
      <c r="M1" s="1374"/>
    </row>
    <row r="2" spans="1:13" ht="12" customHeight="1" x14ac:dyDescent="0.2">
      <c r="B2" s="2477">
        <f>'Single Audit Cover'!E7</f>
        <v>6016106002</v>
      </c>
      <c r="C2" s="2477"/>
      <c r="D2" s="2477"/>
      <c r="E2" s="2477"/>
      <c r="F2" s="2477"/>
      <c r="G2" s="2477"/>
      <c r="H2" s="2477"/>
      <c r="I2" s="2477"/>
      <c r="J2" s="2477"/>
      <c r="K2" s="2477"/>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Lagrange Highlands SD 106</v>
      </c>
      <c r="C1" s="2498"/>
      <c r="D1" s="2498"/>
      <c r="E1" s="2498"/>
      <c r="F1" s="2498"/>
      <c r="G1" s="2498"/>
      <c r="H1" s="2498"/>
      <c r="I1" s="2498"/>
      <c r="J1" s="2498"/>
      <c r="K1" s="2498"/>
      <c r="L1" s="1465"/>
    </row>
    <row r="2" spans="1:12" ht="12.75" customHeight="1" x14ac:dyDescent="0.2">
      <c r="B2" s="2499">
        <f>'Single Audit Cover'!E7</f>
        <v>6016106002</v>
      </c>
      <c r="C2" s="2499"/>
      <c r="D2" s="2499"/>
      <c r="E2" s="2499"/>
      <c r="F2" s="2499"/>
      <c r="G2" s="2499"/>
      <c r="H2" s="2499"/>
      <c r="I2" s="2499"/>
      <c r="J2" s="2499"/>
      <c r="K2" s="2499"/>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5"/>
      <c r="E14" s="2495"/>
      <c r="F14" s="2495"/>
      <c r="H14" s="1475" t="s">
        <v>1370</v>
      </c>
      <c r="I14" s="2496"/>
      <c r="J14" s="2496"/>
      <c r="K14" s="249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6"/>
      <c r="E16" s="2496"/>
      <c r="F16" s="2496"/>
      <c r="G16" s="2496"/>
      <c r="H16" s="2496"/>
      <c r="I16" s="2496"/>
      <c r="J16" s="2496"/>
      <c r="K16" s="2496"/>
      <c r="L16" s="322"/>
    </row>
    <row r="17" spans="2:12" ht="13.5" customHeight="1" x14ac:dyDescent="0.2">
      <c r="B17" s="1387" t="s">
        <v>1368</v>
      </c>
      <c r="C17" s="1387"/>
      <c r="D17" s="2497"/>
      <c r="E17" s="2497"/>
      <c r="F17" s="2497"/>
      <c r="G17" s="2497"/>
      <c r="H17" s="2497"/>
      <c r="I17" s="2497"/>
      <c r="J17" s="2497"/>
      <c r="K17" s="249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Lagrange Highlands SD 106</v>
      </c>
      <c r="C1" s="2475"/>
      <c r="D1" s="2475"/>
      <c r="E1" s="1491"/>
    </row>
    <row r="2" spans="2:5" s="1282" customFormat="1" ht="12.75" customHeight="1" x14ac:dyDescent="0.2">
      <c r="B2" s="2477">
        <f>'Single Audit Cover'!E7</f>
        <v>6016106002</v>
      </c>
      <c r="C2" s="2477"/>
      <c r="D2" s="2477"/>
      <c r="E2" s="1492"/>
    </row>
    <row r="3" spans="2:5" ht="12.75" customHeight="1" x14ac:dyDescent="0.2">
      <c r="B3" s="2491" t="s">
        <v>1869</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430706028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2.1769E-2</v>
      </c>
      <c r="E10" s="356" t="s">
        <v>1062</v>
      </c>
      <c r="F10" s="355">
        <v>4.4879999999999998E-3</v>
      </c>
      <c r="G10" s="356" t="s">
        <v>1062</v>
      </c>
      <c r="H10" s="355">
        <v>2.6600000000000001E-4</v>
      </c>
      <c r="I10" s="356" t="s">
        <v>1063</v>
      </c>
      <c r="J10" s="1754">
        <f>ROUND(D10+F10+H10,5)</f>
        <v>2.6519999999999998E-2</v>
      </c>
      <c r="K10" s="222"/>
      <c r="L10" s="355">
        <v>0</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12870043</v>
      </c>
      <c r="E16" s="356"/>
      <c r="F16" s="1755">
        <f>SUM('Acct Summary 7-8'!C17,'Acct Summary 7-8'!D17,'Acct Summary 7-8'!F17)</f>
        <v>12386753</v>
      </c>
      <c r="G16" s="356"/>
      <c r="H16" s="1755">
        <f>SUM(D16-F16)</f>
        <v>483290</v>
      </c>
      <c r="I16" s="222"/>
      <c r="J16" s="1755">
        <f>SUM('Acct Summary 7-8'!C81,'Acct Summary 7-8'!D81,'Acct Summary 7-8'!F81,'Acct Summary 7-8'!I81)</f>
        <v>11172716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29718715.932000004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Lagrange Highlands SD 106</v>
      </c>
      <c r="E7" s="391"/>
      <c r="G7" s="252"/>
      <c r="H7" s="387"/>
      <c r="I7" s="387"/>
      <c r="J7" s="387"/>
      <c r="K7" s="387"/>
      <c r="L7" s="329"/>
      <c r="M7" s="329"/>
      <c r="N7" s="329"/>
      <c r="O7" s="329"/>
      <c r="P7" s="329"/>
    </row>
    <row r="8" spans="1:18" ht="12.75" x14ac:dyDescent="0.2">
      <c r="A8" s="329"/>
      <c r="B8" s="329"/>
      <c r="C8" s="389" t="s">
        <v>1187</v>
      </c>
      <c r="D8" s="392">
        <f>COVER!A13</f>
        <v>6016106002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11172716</v>
      </c>
      <c r="I12" s="404"/>
      <c r="J12" s="404"/>
      <c r="K12" s="405">
        <f>TRUNC((H12/H13*100000),5)/100000</f>
        <v>0.86811800080000001</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12870043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12386753</v>
      </c>
      <c r="I17" s="404"/>
      <c r="J17" s="416"/>
      <c r="K17" s="405">
        <f>TRUNC((H17/H18*100000),5)/100000</f>
        <v>0.96244845490000008</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12870043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11332315</v>
      </c>
      <c r="I24" s="422"/>
      <c r="J24" s="422"/>
      <c r="K24" s="423">
        <f>TRUNC(((H24/H25*100000)/100000),2)</f>
        <v>329.35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34407.647219999999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9708975.2831800003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1230000</v>
      </c>
      <c r="I32" s="420"/>
      <c r="J32" s="420"/>
      <c r="K32" s="423">
        <f>TRUNC(100-((((H32/H33*100))*100)/100),2)</f>
        <v>95.86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29718715.932000004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3" activePane="bottomLeft" state="frozen"/>
      <selection activeCell="A47" sqref="A47"/>
      <selection pane="bottomLeft" activeCell="I38" sqref="I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8798517</v>
      </c>
      <c r="D4" s="466">
        <v>650258</v>
      </c>
      <c r="E4" s="466">
        <v>264338</v>
      </c>
      <c r="F4" s="466">
        <v>582871</v>
      </c>
      <c r="G4" s="466">
        <v>380600</v>
      </c>
      <c r="H4" s="466"/>
      <c r="I4" s="466">
        <v>1300669</v>
      </c>
      <c r="J4" s="467">
        <v>21391</v>
      </c>
      <c r="K4" s="466">
        <v>65183</v>
      </c>
      <c r="L4" s="466">
        <v>24027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4497316</v>
      </c>
      <c r="D6" s="466">
        <v>918818</v>
      </c>
      <c r="E6" s="466">
        <v>334430</v>
      </c>
      <c r="F6" s="466">
        <v>52982</v>
      </c>
      <c r="G6" s="471">
        <v>139204</v>
      </c>
      <c r="H6" s="471"/>
      <c r="I6" s="466"/>
      <c r="J6" s="474">
        <v>96916</v>
      </c>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32787</v>
      </c>
      <c r="D8" s="467"/>
      <c r="E8" s="467"/>
      <c r="F8" s="467">
        <v>21185</v>
      </c>
      <c r="G8" s="478"/>
      <c r="H8" s="467"/>
      <c r="I8" s="474"/>
      <c r="J8" s="474"/>
      <c r="K8" s="479"/>
      <c r="L8" s="480"/>
      <c r="M8" s="468"/>
      <c r="N8" s="469"/>
    </row>
    <row r="9" spans="1:14" ht="13.5" customHeight="1" x14ac:dyDescent="0.2">
      <c r="A9" s="473" t="s">
        <v>288</v>
      </c>
      <c r="B9" s="470">
        <v>160</v>
      </c>
      <c r="C9" s="476">
        <v>48420</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v>97219</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13377040</v>
      </c>
      <c r="D13" s="1759">
        <f t="shared" ref="D13:L13" si="0">SUM(D4:D12)</f>
        <v>1569076</v>
      </c>
      <c r="E13" s="1759">
        <f t="shared" si="0"/>
        <v>598768</v>
      </c>
      <c r="F13" s="1759">
        <f t="shared" si="0"/>
        <v>657038</v>
      </c>
      <c r="G13" s="1759">
        <f t="shared" si="0"/>
        <v>519804</v>
      </c>
      <c r="H13" s="1759">
        <f t="shared" si="0"/>
        <v>0</v>
      </c>
      <c r="I13" s="1759">
        <f t="shared" si="0"/>
        <v>1300669</v>
      </c>
      <c r="J13" s="1759">
        <f t="shared" si="0"/>
        <v>215526</v>
      </c>
      <c r="K13" s="1759">
        <f t="shared" si="0"/>
        <v>65183</v>
      </c>
      <c r="L13" s="1759">
        <f t="shared" si="0"/>
        <v>24027</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684156</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21637057</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1574088</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f>
        <v>3776891</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121149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264338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965662</v>
      </c>
    </row>
    <row r="23" spans="1:14" ht="13.5" customHeight="1" thickBot="1" x14ac:dyDescent="0.25">
      <c r="A23" s="1758" t="s">
        <v>664</v>
      </c>
      <c r="B23" s="1763"/>
      <c r="C23" s="468"/>
      <c r="D23" s="468"/>
      <c r="E23" s="468"/>
      <c r="F23" s="468"/>
      <c r="G23" s="468"/>
      <c r="H23" s="468"/>
      <c r="I23" s="468"/>
      <c r="J23" s="468"/>
      <c r="K23" s="468"/>
      <c r="L23" s="468"/>
      <c r="M23" s="1710">
        <f>SUM(M15:M22)</f>
        <v>27793341</v>
      </c>
      <c r="N23" s="1710">
        <f>SUM(N21:N22)</f>
        <v>1230000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15822+111359</f>
        <v>127181</v>
      </c>
      <c r="D27" s="467">
        <v>138630</v>
      </c>
      <c r="E27" s="467"/>
      <c r="F27" s="467">
        <v>115</v>
      </c>
      <c r="G27" s="467"/>
      <c r="H27" s="467"/>
      <c r="I27" s="467"/>
      <c r="J27" s="467">
        <v>472</v>
      </c>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-3935</v>
      </c>
      <c r="D31" s="467"/>
      <c r="E31" s="467"/>
      <c r="F31" s="466"/>
      <c r="G31" s="467"/>
      <c r="H31" s="467"/>
      <c r="I31" s="467"/>
      <c r="J31" s="467"/>
      <c r="K31" s="467"/>
      <c r="L31" s="468"/>
      <c r="M31" s="468"/>
      <c r="N31" s="468"/>
    </row>
    <row r="32" spans="1:14" ht="13.5" customHeight="1" x14ac:dyDescent="0.2">
      <c r="A32" s="490" t="s">
        <v>673</v>
      </c>
      <c r="B32" s="491">
        <v>490</v>
      </c>
      <c r="C32" s="492">
        <v>4497316</v>
      </c>
      <c r="D32" s="492">
        <v>918818</v>
      </c>
      <c r="E32" s="474">
        <v>334430</v>
      </c>
      <c r="F32" s="474">
        <v>52982</v>
      </c>
      <c r="G32" s="474">
        <v>139204</v>
      </c>
      <c r="H32" s="474"/>
      <c r="I32" s="474"/>
      <c r="J32" s="474">
        <v>96916</v>
      </c>
      <c r="K32" s="479"/>
      <c r="L32" s="468"/>
      <c r="M32" s="468"/>
      <c r="N32" s="468"/>
    </row>
    <row r="33" spans="1:14" ht="13.5" customHeight="1" x14ac:dyDescent="0.2">
      <c r="A33" s="493" t="s">
        <v>321</v>
      </c>
      <c r="B33" s="491">
        <v>493</v>
      </c>
      <c r="C33" s="467"/>
      <c r="D33" s="467"/>
      <c r="E33" s="467"/>
      <c r="F33" s="467"/>
      <c r="G33" s="467"/>
      <c r="H33" s="467"/>
      <c r="I33" s="467"/>
      <c r="J33" s="467"/>
      <c r="K33" s="467"/>
      <c r="L33" s="467">
        <v>24027</v>
      </c>
      <c r="M33" s="468"/>
      <c r="N33" s="469"/>
    </row>
    <row r="34" spans="1:14" ht="13.5" customHeight="1" thickBot="1" x14ac:dyDescent="0.25">
      <c r="A34" s="1760" t="s">
        <v>675</v>
      </c>
      <c r="B34" s="1761"/>
      <c r="C34" s="1762">
        <f>SUM(C25:C33)</f>
        <v>4620562</v>
      </c>
      <c r="D34" s="1762">
        <f t="shared" ref="D34:K34" si="1">SUM(D25:D33)</f>
        <v>1057448</v>
      </c>
      <c r="E34" s="1762">
        <f t="shared" si="1"/>
        <v>334430</v>
      </c>
      <c r="F34" s="1762">
        <f t="shared" si="1"/>
        <v>53097</v>
      </c>
      <c r="G34" s="1762">
        <f t="shared" si="1"/>
        <v>139204</v>
      </c>
      <c r="H34" s="1762">
        <f t="shared" si="1"/>
        <v>0</v>
      </c>
      <c r="I34" s="1762">
        <f t="shared" si="1"/>
        <v>0</v>
      </c>
      <c r="J34" s="1762">
        <f t="shared" si="1"/>
        <v>97388</v>
      </c>
      <c r="K34" s="1762">
        <f t="shared" si="1"/>
        <v>0</v>
      </c>
      <c r="L34" s="1743">
        <f>SUM(L33)</f>
        <v>24027</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1230000</v>
      </c>
    </row>
    <row r="37" spans="1:14" ht="13.5" thickBot="1" x14ac:dyDescent="0.25">
      <c r="A37" s="1758" t="s">
        <v>674</v>
      </c>
      <c r="B37" s="1763"/>
      <c r="C37" s="477"/>
      <c r="D37" s="477"/>
      <c r="E37" s="477"/>
      <c r="F37" s="477"/>
      <c r="G37" s="477"/>
      <c r="H37" s="477"/>
      <c r="I37" s="477"/>
      <c r="J37" s="477"/>
      <c r="K37" s="477"/>
      <c r="L37" s="480"/>
      <c r="M37" s="468"/>
      <c r="N37" s="1710">
        <f>SUM(N36:N36)</f>
        <v>1230000</v>
      </c>
    </row>
    <row r="38" spans="1:14" s="329" customFormat="1" ht="13.5" customHeight="1" thickTop="1" x14ac:dyDescent="0.2">
      <c r="A38" s="496" t="s">
        <v>440</v>
      </c>
      <c r="B38" s="483">
        <v>714</v>
      </c>
      <c r="C38" s="466"/>
      <c r="D38" s="466">
        <v>511628</v>
      </c>
      <c r="E38" s="466">
        <v>264338</v>
      </c>
      <c r="F38" s="466">
        <v>603941</v>
      </c>
      <c r="G38" s="466">
        <v>380600</v>
      </c>
      <c r="H38" s="466"/>
      <c r="I38" s="466"/>
      <c r="J38" s="467">
        <v>118138</v>
      </c>
      <c r="K38" s="466">
        <v>65183</v>
      </c>
      <c r="L38" s="481"/>
      <c r="M38" s="497"/>
      <c r="N38" s="497"/>
    </row>
    <row r="39" spans="1:14" s="329" customFormat="1" ht="13.5" customHeight="1" x14ac:dyDescent="0.2">
      <c r="A39" s="496" t="s">
        <v>360</v>
      </c>
      <c r="B39" s="483">
        <v>730</v>
      </c>
      <c r="C39" s="466">
        <v>8756478</v>
      </c>
      <c r="D39" s="466"/>
      <c r="E39" s="466"/>
      <c r="F39" s="466"/>
      <c r="G39" s="466"/>
      <c r="H39" s="466"/>
      <c r="I39" s="466">
        <v>1300669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27793341</v>
      </c>
      <c r="N40" s="497"/>
    </row>
    <row r="41" spans="1:14" ht="13.5" customHeight="1" thickBot="1" x14ac:dyDescent="0.25">
      <c r="A41" s="1758" t="s">
        <v>676</v>
      </c>
      <c r="B41" s="1728"/>
      <c r="C41" s="1710">
        <f>(SUM(C34,C37,C38,C39))</f>
        <v>13377040</v>
      </c>
      <c r="D41" s="1710">
        <f t="shared" ref="D41:L41" si="2">SUM(D34,D37,D38:D39)</f>
        <v>1569076</v>
      </c>
      <c r="E41" s="1710">
        <f t="shared" si="2"/>
        <v>598768</v>
      </c>
      <c r="F41" s="1710">
        <f t="shared" si="2"/>
        <v>657038</v>
      </c>
      <c r="G41" s="1710">
        <f t="shared" si="2"/>
        <v>519804</v>
      </c>
      <c r="H41" s="1710">
        <f t="shared" si="2"/>
        <v>0</v>
      </c>
      <c r="I41" s="1710">
        <f t="shared" si="2"/>
        <v>1300669</v>
      </c>
      <c r="J41" s="1710">
        <f t="shared" si="2"/>
        <v>215526</v>
      </c>
      <c r="K41" s="1710">
        <f t="shared" si="2"/>
        <v>65183</v>
      </c>
      <c r="L41" s="1710">
        <f t="shared" si="2"/>
        <v>24027</v>
      </c>
      <c r="M41" s="1710">
        <f>SUM(M40)</f>
        <v>27793341</v>
      </c>
      <c r="N41" s="1710">
        <f>SUM(N37)</f>
        <v>1230000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I75" sqref="I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10224168</v>
      </c>
      <c r="D4" s="1764">
        <f>'Revenues 9-14'!D109</f>
        <v>1744683</v>
      </c>
      <c r="E4" s="1764">
        <f>'Revenues 9-14'!E109</f>
        <v>628643</v>
      </c>
      <c r="F4" s="1764">
        <f>'Revenues 9-14'!F109</f>
        <v>120449</v>
      </c>
      <c r="G4" s="1764">
        <f>'Revenues 9-14'!G109</f>
        <v>300700</v>
      </c>
      <c r="H4" s="1764">
        <f>'Revenues 9-14'!H109</f>
        <v>0</v>
      </c>
      <c r="I4" s="1764">
        <f>'Revenues 9-14'!I109</f>
        <v>20623</v>
      </c>
      <c r="J4" s="1764">
        <f>'Revenues 9-14'!J109</f>
        <v>174723</v>
      </c>
      <c r="K4" s="1764">
        <f>'Revenues 9-14'!K109</f>
        <v>896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595290</v>
      </c>
      <c r="D6" s="1765">
        <f>'Revenues 9-14'!D173</f>
        <v>0</v>
      </c>
      <c r="E6" s="1765">
        <f>'Revenues 9-14'!E173</f>
        <v>0</v>
      </c>
      <c r="F6" s="1765">
        <f>'Revenues 9-14'!F173</f>
        <v>84641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80189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10899647</v>
      </c>
      <c r="D8" s="1710">
        <f t="shared" ref="D8:K8" si="0">SUM(D4:D7)</f>
        <v>1744683</v>
      </c>
      <c r="E8" s="1710">
        <f t="shared" si="0"/>
        <v>628643</v>
      </c>
      <c r="F8" s="1710">
        <f t="shared" si="0"/>
        <v>205090</v>
      </c>
      <c r="G8" s="1710">
        <f t="shared" si="0"/>
        <v>300700</v>
      </c>
      <c r="H8" s="1710">
        <f t="shared" si="0"/>
        <v>0</v>
      </c>
      <c r="I8" s="1710">
        <f t="shared" si="0"/>
        <v>20623</v>
      </c>
      <c r="J8" s="1710">
        <f t="shared" si="0"/>
        <v>174723</v>
      </c>
      <c r="K8" s="1710">
        <f t="shared" si="0"/>
        <v>896</v>
      </c>
      <c r="L8" s="347"/>
    </row>
    <row r="9" spans="1:13" ht="15.75" thickTop="1" x14ac:dyDescent="0.2">
      <c r="A9" s="514" t="s">
        <v>1752</v>
      </c>
      <c r="B9" s="515">
        <v>3998</v>
      </c>
      <c r="C9" s="481">
        <v>5149482</v>
      </c>
      <c r="D9" s="516"/>
      <c r="E9" s="481"/>
      <c r="F9" s="481"/>
      <c r="G9" s="517"/>
      <c r="H9" s="481"/>
      <c r="I9" s="509" t="s">
        <v>1231</v>
      </c>
      <c r="J9" s="478"/>
      <c r="K9" s="481"/>
      <c r="L9" s="347"/>
    </row>
    <row r="10" spans="1:13" s="519" customFormat="1" ht="13.5" thickBot="1" x14ac:dyDescent="0.25">
      <c r="A10" s="1758" t="s">
        <v>1235</v>
      </c>
      <c r="B10" s="1731"/>
      <c r="C10" s="1710">
        <f>SUM(C8:C9)</f>
        <v>16049129</v>
      </c>
      <c r="D10" s="1710">
        <f t="shared" ref="D10:K10" si="1">SUM(D8:D9)</f>
        <v>1744683</v>
      </c>
      <c r="E10" s="1710">
        <f t="shared" si="1"/>
        <v>628643</v>
      </c>
      <c r="F10" s="1710">
        <f t="shared" si="1"/>
        <v>205090</v>
      </c>
      <c r="G10" s="1710">
        <f t="shared" si="1"/>
        <v>300700</v>
      </c>
      <c r="H10" s="1710">
        <f t="shared" si="1"/>
        <v>0</v>
      </c>
      <c r="I10" s="1710">
        <f t="shared" si="1"/>
        <v>20623</v>
      </c>
      <c r="J10" s="1710">
        <f t="shared" si="1"/>
        <v>174723</v>
      </c>
      <c r="K10" s="1710">
        <f t="shared" si="1"/>
        <v>896</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7854523</v>
      </c>
      <c r="D12" s="520" t="s">
        <v>1231</v>
      </c>
      <c r="E12" s="468" t="s">
        <v>1231</v>
      </c>
      <c r="F12" s="468" t="s">
        <v>1231</v>
      </c>
      <c r="G12" s="1764">
        <f>'Expenditures 15-22'!K229</f>
        <v>170392</v>
      </c>
      <c r="H12" s="521"/>
      <c r="I12" s="468" t="s">
        <v>1231</v>
      </c>
      <c r="J12" s="468" t="s">
        <v>1231</v>
      </c>
      <c r="K12" s="521" t="s">
        <v>1231</v>
      </c>
      <c r="L12" s="347"/>
    </row>
    <row r="13" spans="1:13" ht="15.75" customHeight="1" x14ac:dyDescent="0.2">
      <c r="A13" s="1598" t="s">
        <v>477</v>
      </c>
      <c r="B13" s="1600">
        <v>2000</v>
      </c>
      <c r="C13" s="1765">
        <f>'Expenditures 15-22'!K74</f>
        <v>2586435</v>
      </c>
      <c r="D13" s="1765">
        <f>'Expenditures 15-22'!K129</f>
        <v>1713227</v>
      </c>
      <c r="E13" s="469" t="s">
        <v>1231</v>
      </c>
      <c r="F13" s="1765">
        <f>'Expenditures 15-22'!K184</f>
        <v>88476</v>
      </c>
      <c r="G13" s="1765">
        <f>'Expenditures 15-22'!K279</f>
        <v>145233</v>
      </c>
      <c r="H13" s="1765">
        <f>'Expenditures 15-22'!K303</f>
        <v>0</v>
      </c>
      <c r="I13" s="468" t="s">
        <v>1231</v>
      </c>
      <c r="J13" s="1765">
        <f>'Expenditures 15-22'!K330</f>
        <v>212436</v>
      </c>
      <c r="K13" s="1769">
        <f>'Expenditures 15-22'!K352</f>
        <v>0</v>
      </c>
      <c r="L13" s="347"/>
    </row>
    <row r="14" spans="1:13" ht="15.75" customHeight="1" x14ac:dyDescent="0.2">
      <c r="A14" s="1598" t="s">
        <v>469</v>
      </c>
      <c r="B14" s="1600">
        <v>3000</v>
      </c>
      <c r="C14" s="1765">
        <f>'Expenditures 15-22'!K75</f>
        <v>56786</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53629</v>
      </c>
      <c r="D15" s="1765">
        <f>'Expenditures 15-22'!K139</f>
        <v>0</v>
      </c>
      <c r="E15" s="1765">
        <f>'Expenditures 15-22'!K160</f>
        <v>0</v>
      </c>
      <c r="F15" s="1765">
        <f>'Expenditures 15-22'!K196</f>
        <v>33677</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633813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10551373</v>
      </c>
      <c r="D17" s="1710">
        <f t="shared" si="2"/>
        <v>1713227</v>
      </c>
      <c r="E17" s="1710">
        <f t="shared" si="2"/>
        <v>633813</v>
      </c>
      <c r="F17" s="1710">
        <f t="shared" si="2"/>
        <v>122153</v>
      </c>
      <c r="G17" s="1710">
        <f t="shared" si="2"/>
        <v>315625</v>
      </c>
      <c r="H17" s="1710">
        <f t="shared" si="2"/>
        <v>0</v>
      </c>
      <c r="I17" s="468"/>
      <c r="J17" s="1710">
        <f>SUM(J12:J16)</f>
        <v>212436</v>
      </c>
      <c r="K17" s="1710">
        <f>SUM(K12:K16)</f>
        <v>0</v>
      </c>
      <c r="L17" s="347"/>
    </row>
    <row r="18" spans="1:12" ht="15" customHeight="1" thickTop="1" x14ac:dyDescent="0.2">
      <c r="A18" s="1766" t="s">
        <v>1753</v>
      </c>
      <c r="B18" s="1767">
        <v>4180</v>
      </c>
      <c r="C18" s="1764">
        <f t="shared" ref="C18:H18" si="3">C9</f>
        <v>5149482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15700855</v>
      </c>
      <c r="D19" s="1710">
        <f t="shared" si="4"/>
        <v>1713227</v>
      </c>
      <c r="E19" s="1710">
        <f t="shared" si="4"/>
        <v>633813</v>
      </c>
      <c r="F19" s="1710">
        <f t="shared" si="4"/>
        <v>122153</v>
      </c>
      <c r="G19" s="1710">
        <f t="shared" si="4"/>
        <v>315625</v>
      </c>
      <c r="H19" s="1710">
        <f t="shared" si="4"/>
        <v>0</v>
      </c>
      <c r="I19" s="468"/>
      <c r="J19" s="1710">
        <f>SUM(J17:J18)</f>
        <v>212436</v>
      </c>
      <c r="K19" s="1710">
        <f>SUM(K17:K18)</f>
        <v>0</v>
      </c>
      <c r="L19" s="347"/>
    </row>
    <row r="20" spans="1:12" ht="16.5" thickTop="1" thickBot="1" x14ac:dyDescent="0.25">
      <c r="A20" s="2141" t="s">
        <v>1754</v>
      </c>
      <c r="B20" s="2142"/>
      <c r="C20" s="1768">
        <f>C8-C17</f>
        <v>348274</v>
      </c>
      <c r="D20" s="1768">
        <f t="shared" ref="D20:K20" si="5">D8-D17</f>
        <v>31456</v>
      </c>
      <c r="E20" s="1768">
        <f t="shared" si="5"/>
        <v>-5170</v>
      </c>
      <c r="F20" s="1768">
        <f t="shared" si="5"/>
        <v>82937</v>
      </c>
      <c r="G20" s="1768">
        <f t="shared" si="5"/>
        <v>-14925</v>
      </c>
      <c r="H20" s="1768">
        <f t="shared" si="5"/>
        <v>0</v>
      </c>
      <c r="I20" s="1768">
        <f t="shared" si="5"/>
        <v>20623</v>
      </c>
      <c r="J20" s="1768">
        <f t="shared" si="5"/>
        <v>-37713</v>
      </c>
      <c r="K20" s="1768">
        <f t="shared" si="5"/>
        <v>896</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200000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200000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200000</v>
      </c>
      <c r="J76" s="1725">
        <f t="shared" si="7"/>
        <v>0</v>
      </c>
      <c r="K76" s="1725">
        <f t="shared" si="7"/>
        <v>0</v>
      </c>
      <c r="L76" s="524"/>
    </row>
    <row r="77" spans="1:12" ht="14.25" thickTop="1" thickBot="1" x14ac:dyDescent="0.25">
      <c r="A77" s="2133" t="s">
        <v>1239</v>
      </c>
      <c r="B77" s="2134"/>
      <c r="C77" s="1725">
        <f t="shared" ref="C77:K77" si="8">C44-C76</f>
        <v>200000</v>
      </c>
      <c r="D77" s="1725">
        <f t="shared" si="8"/>
        <v>0</v>
      </c>
      <c r="E77" s="1725">
        <f t="shared" si="8"/>
        <v>0</v>
      </c>
      <c r="F77" s="1725">
        <f t="shared" si="8"/>
        <v>0</v>
      </c>
      <c r="G77" s="1725">
        <f t="shared" si="8"/>
        <v>0</v>
      </c>
      <c r="H77" s="1725">
        <f t="shared" si="8"/>
        <v>0</v>
      </c>
      <c r="I77" s="1725">
        <f t="shared" si="8"/>
        <v>-200000</v>
      </c>
      <c r="J77" s="1725">
        <f t="shared" si="8"/>
        <v>0</v>
      </c>
      <c r="K77" s="1725">
        <f t="shared" si="8"/>
        <v>0</v>
      </c>
      <c r="L77" s="347"/>
    </row>
    <row r="78" spans="1:12" ht="21.75" customHeight="1" thickTop="1" thickBot="1" x14ac:dyDescent="0.25">
      <c r="A78" s="2137" t="s">
        <v>618</v>
      </c>
      <c r="B78" s="2138"/>
      <c r="C78" s="1724">
        <f t="shared" ref="C78:K78" si="9">C20+C77</f>
        <v>548274</v>
      </c>
      <c r="D78" s="1724">
        <f t="shared" si="9"/>
        <v>31456</v>
      </c>
      <c r="E78" s="1724">
        <f t="shared" si="9"/>
        <v>-5170</v>
      </c>
      <c r="F78" s="1724">
        <f t="shared" si="9"/>
        <v>82937</v>
      </c>
      <c r="G78" s="1724">
        <f t="shared" si="9"/>
        <v>-14925</v>
      </c>
      <c r="H78" s="1724">
        <f t="shared" si="9"/>
        <v>0</v>
      </c>
      <c r="I78" s="1724">
        <f t="shared" si="9"/>
        <v>-179377</v>
      </c>
      <c r="J78" s="1724">
        <f t="shared" si="9"/>
        <v>-37713</v>
      </c>
      <c r="K78" s="1724">
        <f t="shared" si="9"/>
        <v>896</v>
      </c>
      <c r="L78" s="533"/>
    </row>
    <row r="79" spans="1:12" ht="13.5" thickTop="1" x14ac:dyDescent="0.2">
      <c r="A79" s="1516" t="s">
        <v>2073</v>
      </c>
      <c r="B79" s="534"/>
      <c r="C79" s="478">
        <v>8208204</v>
      </c>
      <c r="D79" s="535">
        <v>480172</v>
      </c>
      <c r="E79" s="535">
        <v>269508</v>
      </c>
      <c r="F79" s="535">
        <v>521004</v>
      </c>
      <c r="G79" s="535">
        <v>395525</v>
      </c>
      <c r="H79" s="535"/>
      <c r="I79" s="535">
        <v>1480046</v>
      </c>
      <c r="J79" s="535">
        <v>155851</v>
      </c>
      <c r="K79" s="535">
        <v>64287</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8756478</v>
      </c>
      <c r="D81" s="1710">
        <f>SUM(D78:D80)</f>
        <v>511628</v>
      </c>
      <c r="E81" s="1710">
        <f t="shared" ref="E81:K81" si="10">SUM(E78:E80)</f>
        <v>264338</v>
      </c>
      <c r="F81" s="1710">
        <f t="shared" si="10"/>
        <v>603941</v>
      </c>
      <c r="G81" s="1710">
        <f t="shared" si="10"/>
        <v>380600</v>
      </c>
      <c r="H81" s="1710">
        <f t="shared" si="10"/>
        <v>0</v>
      </c>
      <c r="I81" s="1710">
        <f t="shared" si="10"/>
        <v>1300669</v>
      </c>
      <c r="J81" s="1710">
        <f t="shared" si="10"/>
        <v>118138</v>
      </c>
      <c r="K81" s="1710">
        <f t="shared" si="10"/>
        <v>65183</v>
      </c>
      <c r="L81" s="347"/>
    </row>
    <row r="82" spans="1:12" ht="0.75" customHeight="1" thickTop="1" thickBot="1" x14ac:dyDescent="0.25">
      <c r="A82" s="536" t="s">
        <v>361</v>
      </c>
      <c r="B82" s="537"/>
      <c r="C82" s="538">
        <f>(C81-C79)</f>
        <v>548274</v>
      </c>
      <c r="D82" s="538">
        <f t="shared" ref="D82:K82" si="11">(D81-D79)</f>
        <v>31456</v>
      </c>
      <c r="E82" s="538">
        <f t="shared" si="11"/>
        <v>-5170</v>
      </c>
      <c r="F82" s="538">
        <f t="shared" si="11"/>
        <v>82937</v>
      </c>
      <c r="G82" s="538">
        <f t="shared" si="11"/>
        <v>-14925</v>
      </c>
      <c r="H82" s="538">
        <f t="shared" si="11"/>
        <v>0</v>
      </c>
      <c r="I82" s="538">
        <f t="shared" si="11"/>
        <v>-179377</v>
      </c>
      <c r="J82" s="538">
        <f t="shared" si="11"/>
        <v>-37713</v>
      </c>
      <c r="K82" s="538">
        <f t="shared" si="11"/>
        <v>896</v>
      </c>
    </row>
    <row r="83" spans="1:12" ht="14.25" hidden="1" thickTop="1" thickBot="1" x14ac:dyDescent="0.25">
      <c r="A83" s="539" t="s">
        <v>362</v>
      </c>
      <c r="B83" s="464"/>
      <c r="C83" s="540">
        <f>C82/C81</f>
        <v>6.2613530234416168E-2</v>
      </c>
      <c r="D83" s="540">
        <f t="shared" ref="D83:K83" si="12">D82/D81</f>
        <v>6.1482170639605337E-2</v>
      </c>
      <c r="E83" s="540">
        <f t="shared" si="12"/>
        <v>-1.9558292791804432E-2</v>
      </c>
      <c r="F83" s="540">
        <f t="shared" si="12"/>
        <v>0.13732632823404936</v>
      </c>
      <c r="G83" s="540">
        <f t="shared" si="12"/>
        <v>-3.921439831844456E-2</v>
      </c>
      <c r="H83" s="540" t="e">
        <f t="shared" si="12"/>
        <v>#DIV/0!</v>
      </c>
      <c r="I83" s="540">
        <f t="shared" si="12"/>
        <v>-0.13791133639688499</v>
      </c>
      <c r="J83" s="540">
        <f t="shared" si="12"/>
        <v>-0.31922836005349675</v>
      </c>
      <c r="K83" s="540">
        <f t="shared" si="12"/>
        <v>1.3745915346025804E-2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9342317</v>
      </c>
      <c r="D5" s="481">
        <v>1733811</v>
      </c>
      <c r="E5" s="466">
        <v>623227</v>
      </c>
      <c r="F5" s="548">
        <v>112802</v>
      </c>
      <c r="G5" s="466">
        <v>72391</v>
      </c>
      <c r="H5" s="466"/>
      <c r="I5" s="466"/>
      <c r="J5" s="467">
        <v>173168</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258476</v>
      </c>
      <c r="D7" s="466"/>
      <c r="E7" s="468"/>
      <c r="F7" s="467"/>
      <c r="G7" s="467"/>
      <c r="H7" s="467"/>
      <c r="I7" s="468"/>
      <c r="J7" s="468"/>
      <c r="K7" s="468"/>
    </row>
    <row r="8" spans="1:12" x14ac:dyDescent="0.2">
      <c r="A8" s="463" t="s">
        <v>433</v>
      </c>
      <c r="B8" s="470">
        <v>1150</v>
      </c>
      <c r="C8" s="475"/>
      <c r="D8" s="475"/>
      <c r="E8" s="477"/>
      <c r="F8" s="477"/>
      <c r="G8" s="481">
        <v>220883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9600793</v>
      </c>
      <c r="D12" s="1729">
        <f t="shared" si="0"/>
        <v>1733811</v>
      </c>
      <c r="E12" s="1729">
        <f t="shared" si="0"/>
        <v>623227</v>
      </c>
      <c r="F12" s="1729">
        <f t="shared" si="0"/>
        <v>112802</v>
      </c>
      <c r="G12" s="1729">
        <f t="shared" si="0"/>
        <v>293274</v>
      </c>
      <c r="H12" s="1729">
        <f t="shared" si="0"/>
        <v>0</v>
      </c>
      <c r="I12" s="1729">
        <f t="shared" si="0"/>
        <v>0</v>
      </c>
      <c r="J12" s="1729">
        <f t="shared" si="0"/>
        <v>173168</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57716</v>
      </c>
      <c r="D16" s="466"/>
      <c r="E16" s="466"/>
      <c r="F16" s="466"/>
      <c r="G16" s="466">
        <v>1500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57716</v>
      </c>
      <c r="D18" s="1732">
        <f t="shared" ref="D18:K18" si="1">SUM(D14:D17)</f>
        <v>0</v>
      </c>
      <c r="E18" s="1732">
        <f t="shared" si="1"/>
        <v>0</v>
      </c>
      <c r="F18" s="1732">
        <f t="shared" si="1"/>
        <v>0</v>
      </c>
      <c r="G18" s="1732">
        <f t="shared" si="1"/>
        <v>1500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46889</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46889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141314</v>
      </c>
      <c r="D65" s="466">
        <v>10872</v>
      </c>
      <c r="E65" s="466">
        <v>5416</v>
      </c>
      <c r="F65" s="467">
        <v>7647</v>
      </c>
      <c r="G65" s="466">
        <v>5926</v>
      </c>
      <c r="H65" s="466"/>
      <c r="I65" s="466">
        <v>20623</v>
      </c>
      <c r="J65" s="467">
        <v>1555</v>
      </c>
      <c r="K65" s="466">
        <v>896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141314</v>
      </c>
      <c r="D67" s="1710">
        <f t="shared" ref="D67:K67" si="2">SUM(D65:D66)</f>
        <v>10872</v>
      </c>
      <c r="E67" s="1710">
        <f t="shared" si="2"/>
        <v>5416</v>
      </c>
      <c r="F67" s="1710">
        <f t="shared" si="2"/>
        <v>7647</v>
      </c>
      <c r="G67" s="1710">
        <f t="shared" si="2"/>
        <v>5926</v>
      </c>
      <c r="H67" s="1710">
        <f t="shared" si="2"/>
        <v>0</v>
      </c>
      <c r="I67" s="1710">
        <f t="shared" si="2"/>
        <v>20623</v>
      </c>
      <c r="J67" s="1710">
        <f t="shared" si="2"/>
        <v>1555</v>
      </c>
      <c r="K67" s="1710">
        <f t="shared" si="2"/>
        <v>896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6607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6607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252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5037</v>
      </c>
      <c r="D81" s="466"/>
      <c r="E81" s="468"/>
      <c r="F81" s="468"/>
      <c r="G81" s="468"/>
      <c r="H81" s="468"/>
      <c r="I81" s="468"/>
      <c r="J81" s="468"/>
      <c r="K81" s="468"/>
    </row>
    <row r="82" spans="1:11" ht="12.75" customHeight="1" thickBot="1" x14ac:dyDescent="0.25">
      <c r="A82" s="1730" t="s">
        <v>259</v>
      </c>
      <c r="B82" s="1731"/>
      <c r="C82" s="1729">
        <f>SUM(C77:C81)</f>
        <v>5289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70591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70591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83139</v>
      </c>
      <c r="D95" s="551"/>
      <c r="E95" s="521"/>
      <c r="F95" s="521"/>
      <c r="G95" s="521"/>
      <c r="H95" s="521"/>
      <c r="I95" s="521"/>
      <c r="J95" s="521"/>
      <c r="K95" s="521"/>
    </row>
    <row r="96" spans="1:11" ht="12.75" customHeight="1" x14ac:dyDescent="0.2">
      <c r="A96" s="463" t="s">
        <v>409</v>
      </c>
      <c r="B96" s="470">
        <v>1920</v>
      </c>
      <c r="C96" s="551">
        <v>39761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172069</v>
      </c>
      <c r="D107" s="466"/>
      <c r="E107" s="466"/>
      <c r="F107" s="466"/>
      <c r="G107" s="466"/>
      <c r="H107" s="466"/>
      <c r="I107" s="466"/>
      <c r="J107" s="467"/>
      <c r="K107" s="466"/>
    </row>
    <row r="108" spans="1:12" ht="12.75" customHeight="1" thickBot="1" x14ac:dyDescent="0.25">
      <c r="A108" s="1730" t="s">
        <v>508</v>
      </c>
      <c r="B108" s="1734"/>
      <c r="C108" s="1729">
        <f>SUM(C95:C107)</f>
        <v>294969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10224168</v>
      </c>
      <c r="D109" s="1737">
        <f t="shared" si="4"/>
        <v>1744683</v>
      </c>
      <c r="E109" s="1737">
        <f t="shared" si="4"/>
        <v>628643</v>
      </c>
      <c r="F109" s="1737">
        <f t="shared" si="4"/>
        <v>120449</v>
      </c>
      <c r="G109" s="1737">
        <f t="shared" si="4"/>
        <v>300700</v>
      </c>
      <c r="H109" s="1737">
        <f t="shared" si="4"/>
        <v>0</v>
      </c>
      <c r="I109" s="1737">
        <f t="shared" si="4"/>
        <v>20623</v>
      </c>
      <c r="J109" s="1737">
        <f t="shared" si="4"/>
        <v>174723</v>
      </c>
      <c r="K109" s="1724">
        <f t="shared" si="4"/>
        <v>896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568149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568149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25641</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25641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247</v>
      </c>
      <c r="G151" s="467"/>
      <c r="H151" s="468"/>
      <c r="I151" s="468"/>
      <c r="J151" s="468"/>
      <c r="K151" s="468"/>
    </row>
    <row r="152" spans="1:11" ht="12.75" customHeight="1" x14ac:dyDescent="0.2">
      <c r="A152" s="463" t="s">
        <v>1117</v>
      </c>
      <c r="B152" s="562">
        <v>3510</v>
      </c>
      <c r="C152" s="551"/>
      <c r="D152" s="466"/>
      <c r="E152" s="561"/>
      <c r="F152" s="466">
        <v>84394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84641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59" t="s">
        <v>418</v>
      </c>
      <c r="B172" s="2160"/>
      <c r="C172" s="1744">
        <f t="shared" ref="C172:K172" si="6">SUM(C131,C140,C144,C145:C149,C154,C155:C170,C171)</f>
        <v>27141</v>
      </c>
      <c r="D172" s="1744">
        <f t="shared" si="6"/>
        <v>0</v>
      </c>
      <c r="E172" s="1744">
        <f t="shared" si="6"/>
        <v>0</v>
      </c>
      <c r="F172" s="1744">
        <f t="shared" si="6"/>
        <v>84641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595290</v>
      </c>
      <c r="D173" s="1737">
        <f>SUM(D121,D172)</f>
        <v>0</v>
      </c>
      <c r="E173" s="1737">
        <f>SUM(E121,E172)</f>
        <v>0</v>
      </c>
      <c r="F173" s="1737">
        <f t="shared" ref="F173:K173" si="7">SUM(F121,F172)</f>
        <v>84641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1906</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9917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9917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1154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25343</v>
      </c>
      <c r="D220" s="466"/>
      <c r="E220" s="468"/>
      <c r="F220" s="466"/>
      <c r="G220" s="466"/>
      <c r="H220" s="468"/>
      <c r="I220" s="468"/>
      <c r="J220" s="468"/>
      <c r="K220" s="468"/>
    </row>
    <row r="221" spans="1:11" ht="12.75" customHeight="1" x14ac:dyDescent="0.2">
      <c r="A221" s="463" t="s">
        <v>1114</v>
      </c>
      <c r="B221" s="470">
        <v>4625</v>
      </c>
      <c r="C221" s="551">
        <v>22706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49203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21069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80189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80189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10899647</v>
      </c>
      <c r="D275" s="1737">
        <f t="shared" si="12"/>
        <v>1744683</v>
      </c>
      <c r="E275" s="1737">
        <f t="shared" si="12"/>
        <v>628643</v>
      </c>
      <c r="F275" s="1737">
        <f t="shared" si="12"/>
        <v>205090</v>
      </c>
      <c r="G275" s="1737">
        <f t="shared" si="12"/>
        <v>300700</v>
      </c>
      <c r="H275" s="1737">
        <f t="shared" si="12"/>
        <v>0</v>
      </c>
      <c r="I275" s="1737">
        <f t="shared" si="12"/>
        <v>20623</v>
      </c>
      <c r="J275" s="1737">
        <f t="shared" si="12"/>
        <v>174723</v>
      </c>
      <c r="K275" s="1724">
        <f t="shared" si="12"/>
        <v>896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6" activePane="bottomLeft" state="frozen"/>
      <selection activeCell="A47" sqref="A47"/>
      <selection pane="bottomLeft" activeCell="C50" sqref="C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7" t="s">
        <v>315</v>
      </c>
      <c r="B3" s="217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4230936</v>
      </c>
      <c r="D5" s="466">
        <v>538300</v>
      </c>
      <c r="E5" s="466">
        <v>86787</v>
      </c>
      <c r="F5" s="466">
        <v>234267</v>
      </c>
      <c r="G5" s="466"/>
      <c r="H5" s="466"/>
      <c r="I5" s="467">
        <v>133254</v>
      </c>
      <c r="J5" s="467">
        <v>21266</v>
      </c>
      <c r="K5" s="1693">
        <f>SUM(C5:J5)</f>
        <v>5244810</v>
      </c>
      <c r="L5" s="466">
        <v>5497456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1239860</v>
      </c>
      <c r="D8" s="466">
        <v>157924</v>
      </c>
      <c r="E8" s="466">
        <v>387113</v>
      </c>
      <c r="F8" s="466">
        <v>16490</v>
      </c>
      <c r="G8" s="466"/>
      <c r="H8" s="466"/>
      <c r="I8" s="467">
        <v>86</v>
      </c>
      <c r="J8" s="467"/>
      <c r="K8" s="1693">
        <f t="shared" si="0"/>
        <v>1801473</v>
      </c>
      <c r="L8" s="466">
        <v>1790561</v>
      </c>
    </row>
    <row r="9" spans="1:14" x14ac:dyDescent="0.2">
      <c r="A9" s="1526" t="s">
        <v>745</v>
      </c>
      <c r="B9" s="615" t="s">
        <v>1025</v>
      </c>
      <c r="C9" s="467">
        <v>144077</v>
      </c>
      <c r="D9" s="467">
        <v>10073</v>
      </c>
      <c r="E9" s="467">
        <v>25855</v>
      </c>
      <c r="F9" s="467">
        <v>3355</v>
      </c>
      <c r="G9" s="467"/>
      <c r="H9" s="467"/>
      <c r="I9" s="467">
        <v>257</v>
      </c>
      <c r="J9" s="467"/>
      <c r="K9" s="1693">
        <f t="shared" si="0"/>
        <v>183617</v>
      </c>
      <c r="L9" s="466">
        <v>200242</v>
      </c>
    </row>
    <row r="10" spans="1:14" x14ac:dyDescent="0.2">
      <c r="A10" s="1526" t="s">
        <v>746</v>
      </c>
      <c r="B10" s="615">
        <v>1250</v>
      </c>
      <c r="C10" s="466"/>
      <c r="D10" s="466">
        <v>14</v>
      </c>
      <c r="E10" s="466"/>
      <c r="F10" s="466"/>
      <c r="G10" s="466"/>
      <c r="H10" s="466"/>
      <c r="I10" s="467"/>
      <c r="J10" s="467"/>
      <c r="K10" s="1693">
        <f t="shared" si="0"/>
        <v>14</v>
      </c>
      <c r="L10" s="466">
        <v>1014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199405</v>
      </c>
      <c r="D14" s="466">
        <v>20648</v>
      </c>
      <c r="E14" s="466">
        <v>8407</v>
      </c>
      <c r="F14" s="466">
        <v>7370</v>
      </c>
      <c r="G14" s="466"/>
      <c r="H14" s="466">
        <v>710</v>
      </c>
      <c r="I14" s="467">
        <v>6131</v>
      </c>
      <c r="J14" s="467"/>
      <c r="K14" s="1693">
        <f t="shared" si="0"/>
        <v>242671</v>
      </c>
      <c r="L14" s="466">
        <v>245440</v>
      </c>
    </row>
    <row r="15" spans="1:14" x14ac:dyDescent="0.2">
      <c r="A15" s="1526" t="s">
        <v>1021</v>
      </c>
      <c r="B15" s="615">
        <v>1600</v>
      </c>
      <c r="C15" s="466">
        <v>88613</v>
      </c>
      <c r="D15" s="466">
        <v>1129</v>
      </c>
      <c r="E15" s="466">
        <v>1550</v>
      </c>
      <c r="F15" s="466">
        <v>2567</v>
      </c>
      <c r="G15" s="466"/>
      <c r="H15" s="466"/>
      <c r="I15" s="467"/>
      <c r="J15" s="467"/>
      <c r="K15" s="1693">
        <f t="shared" si="0"/>
        <v>93859</v>
      </c>
      <c r="L15" s="466">
        <v>63349</v>
      </c>
    </row>
    <row r="16" spans="1:14" x14ac:dyDescent="0.2">
      <c r="A16" s="1526" t="s">
        <v>1044</v>
      </c>
      <c r="B16" s="615" t="s">
        <v>444</v>
      </c>
      <c r="C16" s="466">
        <v>169349</v>
      </c>
      <c r="D16" s="466">
        <v>21414</v>
      </c>
      <c r="E16" s="466"/>
      <c r="F16" s="466">
        <v>53</v>
      </c>
      <c r="G16" s="466"/>
      <c r="H16" s="466"/>
      <c r="I16" s="467"/>
      <c r="J16" s="467"/>
      <c r="K16" s="1693">
        <f t="shared" si="0"/>
        <v>190816</v>
      </c>
      <c r="L16" s="466">
        <v>189564</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97263</v>
      </c>
      <c r="I22" s="617"/>
      <c r="J22" s="477"/>
      <c r="K22" s="1693">
        <f t="shared" si="0"/>
        <v>97263</v>
      </c>
      <c r="L22" s="471">
        <v>122050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6072240</v>
      </c>
      <c r="D33" s="1692">
        <f t="shared" ref="D33:L33" si="1">SUM(D5:D32)</f>
        <v>749502</v>
      </c>
      <c r="E33" s="1692">
        <f t="shared" si="1"/>
        <v>509712</v>
      </c>
      <c r="F33" s="1692">
        <f t="shared" si="1"/>
        <v>264102</v>
      </c>
      <c r="G33" s="1692">
        <f t="shared" si="1"/>
        <v>0</v>
      </c>
      <c r="H33" s="1692">
        <f t="shared" si="1"/>
        <v>97973</v>
      </c>
      <c r="I33" s="1692">
        <f t="shared" si="1"/>
        <v>139728</v>
      </c>
      <c r="J33" s="1692">
        <f t="shared" si="1"/>
        <v>21266</v>
      </c>
      <c r="K33" s="1692">
        <f t="shared" si="1"/>
        <v>7854523</v>
      </c>
      <c r="L33" s="1692">
        <f t="shared" si="1"/>
        <v>8109676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178446</v>
      </c>
      <c r="D36" s="481">
        <v>39729</v>
      </c>
      <c r="E36" s="481">
        <v>190</v>
      </c>
      <c r="F36" s="481">
        <v>457</v>
      </c>
      <c r="G36" s="481"/>
      <c r="H36" s="481"/>
      <c r="I36" s="467"/>
      <c r="J36" s="467"/>
      <c r="K36" s="1693">
        <f t="shared" ref="K36:K41" si="2">SUM(C36:J36)</f>
        <v>218822</v>
      </c>
      <c r="L36" s="466">
        <v>233968</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63855</v>
      </c>
      <c r="D38" s="466">
        <v>9599</v>
      </c>
      <c r="E38" s="466">
        <v>2564</v>
      </c>
      <c r="F38" s="466">
        <v>1265</v>
      </c>
      <c r="G38" s="466"/>
      <c r="H38" s="466"/>
      <c r="I38" s="467"/>
      <c r="J38" s="467"/>
      <c r="K38" s="1693">
        <f t="shared" si="2"/>
        <v>77283</v>
      </c>
      <c r="L38" s="466">
        <v>76251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224241</v>
      </c>
      <c r="D40" s="466">
        <v>21212</v>
      </c>
      <c r="E40" s="466">
        <v>744</v>
      </c>
      <c r="F40" s="466">
        <v>127</v>
      </c>
      <c r="G40" s="466"/>
      <c r="H40" s="466"/>
      <c r="I40" s="467"/>
      <c r="J40" s="467"/>
      <c r="K40" s="1693">
        <f t="shared" si="2"/>
        <v>246324</v>
      </c>
      <c r="L40" s="466">
        <v>249128</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466542</v>
      </c>
      <c r="D42" s="1692">
        <f t="shared" ref="D42:L42" si="3">SUM(D36:D41)</f>
        <v>70540</v>
      </c>
      <c r="E42" s="1692">
        <f t="shared" si="3"/>
        <v>3498</v>
      </c>
      <c r="F42" s="1692">
        <f t="shared" si="3"/>
        <v>1849</v>
      </c>
      <c r="G42" s="1692">
        <f t="shared" si="3"/>
        <v>0</v>
      </c>
      <c r="H42" s="1692">
        <f t="shared" si="3"/>
        <v>0</v>
      </c>
      <c r="I42" s="1692">
        <f t="shared" si="3"/>
        <v>0</v>
      </c>
      <c r="J42" s="1692">
        <f t="shared" si="3"/>
        <v>0</v>
      </c>
      <c r="K42" s="1692">
        <f t="shared" si="3"/>
        <v>542429</v>
      </c>
      <c r="L42" s="1692">
        <f t="shared" si="3"/>
        <v>559347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218617</v>
      </c>
      <c r="D44" s="481">
        <v>43518</v>
      </c>
      <c r="E44" s="481">
        <v>81294</v>
      </c>
      <c r="F44" s="481">
        <v>74126</v>
      </c>
      <c r="G44" s="481"/>
      <c r="H44" s="481">
        <v>189</v>
      </c>
      <c r="I44" s="467"/>
      <c r="J44" s="467"/>
      <c r="K44" s="1694">
        <f>SUM(C44:J44)</f>
        <v>417744</v>
      </c>
      <c r="L44" s="481">
        <v>463135</v>
      </c>
    </row>
    <row r="45" spans="1:14" x14ac:dyDescent="0.2">
      <c r="A45" s="1526" t="s">
        <v>869</v>
      </c>
      <c r="B45" s="615">
        <v>2220</v>
      </c>
      <c r="C45" s="466">
        <v>97183</v>
      </c>
      <c r="D45" s="466">
        <v>9928</v>
      </c>
      <c r="E45" s="466"/>
      <c r="F45" s="466">
        <v>19981</v>
      </c>
      <c r="G45" s="466"/>
      <c r="H45" s="466"/>
      <c r="I45" s="467"/>
      <c r="J45" s="467"/>
      <c r="K45" s="1694">
        <f>SUM(C45:J45)</f>
        <v>127092</v>
      </c>
      <c r="L45" s="466">
        <v>129211</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315800</v>
      </c>
      <c r="D47" s="1692">
        <f t="shared" ref="D47:K47" si="4">SUM(D44:D46)</f>
        <v>53446</v>
      </c>
      <c r="E47" s="1692">
        <f t="shared" si="4"/>
        <v>81294</v>
      </c>
      <c r="F47" s="1692">
        <f t="shared" si="4"/>
        <v>94107</v>
      </c>
      <c r="G47" s="1692">
        <f t="shared" si="4"/>
        <v>0</v>
      </c>
      <c r="H47" s="1692">
        <f t="shared" si="4"/>
        <v>189</v>
      </c>
      <c r="I47" s="1692">
        <f t="shared" si="4"/>
        <v>0</v>
      </c>
      <c r="J47" s="1692">
        <f t="shared" si="4"/>
        <v>0</v>
      </c>
      <c r="K47" s="1692">
        <f t="shared" si="4"/>
        <v>544836</v>
      </c>
      <c r="L47" s="1692">
        <f>SUM(L44:L46)</f>
        <v>592346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77047</v>
      </c>
      <c r="F49" s="481">
        <v>1330</v>
      </c>
      <c r="G49" s="481"/>
      <c r="H49" s="481">
        <v>11783</v>
      </c>
      <c r="I49" s="467"/>
      <c r="J49" s="467"/>
      <c r="K49" s="1694">
        <f>SUM(C49:J49)</f>
        <v>90160</v>
      </c>
      <c r="L49" s="481">
        <v>98025</v>
      </c>
    </row>
    <row r="50" spans="1:14" x14ac:dyDescent="0.2">
      <c r="A50" s="1526" t="s">
        <v>872</v>
      </c>
      <c r="B50" s="615">
        <v>2320</v>
      </c>
      <c r="C50" s="466">
        <v>231639</v>
      </c>
      <c r="D50" s="466">
        <v>58487</v>
      </c>
      <c r="E50" s="466">
        <v>4412</v>
      </c>
      <c r="F50" s="466">
        <v>3908</v>
      </c>
      <c r="G50" s="466"/>
      <c r="H50" s="466">
        <v>7497</v>
      </c>
      <c r="I50" s="467"/>
      <c r="J50" s="467"/>
      <c r="K50" s="1694">
        <f>SUM(C50:J50)</f>
        <v>305943</v>
      </c>
      <c r="L50" s="466">
        <v>311225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231639</v>
      </c>
      <c r="D53" s="1692">
        <f t="shared" ref="D53:L53" si="5">SUM(D49:D52)</f>
        <v>58487</v>
      </c>
      <c r="E53" s="1692">
        <f t="shared" si="5"/>
        <v>81459</v>
      </c>
      <c r="F53" s="1692">
        <f t="shared" si="5"/>
        <v>5238</v>
      </c>
      <c r="G53" s="1692">
        <f t="shared" si="5"/>
        <v>0</v>
      </c>
      <c r="H53" s="1692">
        <f t="shared" si="5"/>
        <v>19280</v>
      </c>
      <c r="I53" s="1692">
        <f t="shared" si="5"/>
        <v>0</v>
      </c>
      <c r="J53" s="1692">
        <f t="shared" si="5"/>
        <v>0</v>
      </c>
      <c r="K53" s="1692">
        <f t="shared" si="5"/>
        <v>396103</v>
      </c>
      <c r="L53" s="1692">
        <f t="shared" si="5"/>
        <v>409250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394230</v>
      </c>
      <c r="D55" s="481">
        <v>105030</v>
      </c>
      <c r="E55" s="481">
        <v>1129</v>
      </c>
      <c r="F55" s="481">
        <v>5519</v>
      </c>
      <c r="G55" s="481"/>
      <c r="H55" s="481">
        <v>945</v>
      </c>
      <c r="I55" s="467"/>
      <c r="J55" s="467"/>
      <c r="K55" s="1694">
        <f>SUM(C55:J55)</f>
        <v>506853</v>
      </c>
      <c r="L55" s="481">
        <v>513148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394230</v>
      </c>
      <c r="D57" s="1696">
        <f t="shared" ref="D57:K57" si="6">SUM(D55:D56)</f>
        <v>105030</v>
      </c>
      <c r="E57" s="1696">
        <f t="shared" si="6"/>
        <v>1129</v>
      </c>
      <c r="F57" s="1696">
        <f t="shared" si="6"/>
        <v>5519</v>
      </c>
      <c r="G57" s="1696">
        <f t="shared" si="6"/>
        <v>0</v>
      </c>
      <c r="H57" s="1696">
        <f t="shared" si="6"/>
        <v>945</v>
      </c>
      <c r="I57" s="1696">
        <f t="shared" si="6"/>
        <v>0</v>
      </c>
      <c r="J57" s="1696">
        <f t="shared" si="6"/>
        <v>0</v>
      </c>
      <c r="K57" s="1696">
        <f t="shared" si="6"/>
        <v>506853</v>
      </c>
      <c r="L57" s="1692">
        <f>SUM(L55:L56)</f>
        <v>513148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102072</v>
      </c>
      <c r="D60" s="466">
        <v>37789</v>
      </c>
      <c r="E60" s="466">
        <v>29492</v>
      </c>
      <c r="F60" s="466">
        <v>2659</v>
      </c>
      <c r="G60" s="466"/>
      <c r="H60" s="466">
        <v>1113</v>
      </c>
      <c r="I60" s="467"/>
      <c r="J60" s="467"/>
      <c r="K60" s="1694">
        <f t="shared" si="7"/>
        <v>173125</v>
      </c>
      <c r="L60" s="466">
        <v>185034</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73849</v>
      </c>
      <c r="D63" s="466">
        <v>339</v>
      </c>
      <c r="E63" s="466"/>
      <c r="F63" s="466">
        <v>77516</v>
      </c>
      <c r="G63" s="466"/>
      <c r="H63" s="466"/>
      <c r="I63" s="467"/>
      <c r="J63" s="467"/>
      <c r="K63" s="1694">
        <f t="shared" si="7"/>
        <v>151704</v>
      </c>
      <c r="L63" s="466">
        <v>121500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175921</v>
      </c>
      <c r="D65" s="1692">
        <f t="shared" ref="D65:L65" si="8">SUM(D59:D64)</f>
        <v>38128</v>
      </c>
      <c r="E65" s="1692">
        <f t="shared" si="8"/>
        <v>29492</v>
      </c>
      <c r="F65" s="1692">
        <f t="shared" si="8"/>
        <v>80175</v>
      </c>
      <c r="G65" s="1692">
        <f t="shared" si="8"/>
        <v>0</v>
      </c>
      <c r="H65" s="1692">
        <f t="shared" si="8"/>
        <v>1113</v>
      </c>
      <c r="I65" s="1692">
        <f t="shared" si="8"/>
        <v>0</v>
      </c>
      <c r="J65" s="1692">
        <f t="shared" si="8"/>
        <v>0</v>
      </c>
      <c r="K65" s="1692">
        <f t="shared" si="8"/>
        <v>324829</v>
      </c>
      <c r="L65" s="1692">
        <f t="shared" si="8"/>
        <v>306534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110805</v>
      </c>
      <c r="D71" s="466">
        <v>18911</v>
      </c>
      <c r="E71" s="466">
        <v>64864</v>
      </c>
      <c r="F71" s="466">
        <v>14030</v>
      </c>
      <c r="G71" s="466">
        <v>0</v>
      </c>
      <c r="H71" s="466"/>
      <c r="I71" s="467">
        <v>62775</v>
      </c>
      <c r="J71" s="467"/>
      <c r="K71" s="1694">
        <f>SUM(C71:J71)</f>
        <v>271385</v>
      </c>
      <c r="L71" s="466">
        <v>265159</v>
      </c>
      <c r="M71" s="610"/>
      <c r="N71" s="610"/>
    </row>
    <row r="72" spans="1:14" s="343" customFormat="1" ht="12.75" customHeight="1" thickBot="1" x14ac:dyDescent="0.25">
      <c r="A72" s="1690" t="s">
        <v>37</v>
      </c>
      <c r="B72" s="1697" t="s">
        <v>36</v>
      </c>
      <c r="C72" s="1692">
        <f>SUM(C67:C71)</f>
        <v>110805</v>
      </c>
      <c r="D72" s="1692">
        <f t="shared" ref="D72:K72" si="9">SUM(D67:D71)</f>
        <v>18911</v>
      </c>
      <c r="E72" s="1692">
        <f t="shared" si="9"/>
        <v>64864</v>
      </c>
      <c r="F72" s="1692">
        <f t="shared" si="9"/>
        <v>14030</v>
      </c>
      <c r="G72" s="1692">
        <f t="shared" si="9"/>
        <v>0</v>
      </c>
      <c r="H72" s="1692">
        <f t="shared" si="9"/>
        <v>0</v>
      </c>
      <c r="I72" s="1692">
        <f t="shared" si="9"/>
        <v>62775</v>
      </c>
      <c r="J72" s="1692">
        <f t="shared" si="9"/>
        <v>0</v>
      </c>
      <c r="K72" s="1692">
        <f t="shared" si="9"/>
        <v>271385</v>
      </c>
      <c r="L72" s="1692">
        <f>SUM(L67:L71)</f>
        <v>265159</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1694937</v>
      </c>
      <c r="D74" s="1699">
        <f t="shared" ref="D74:K74" si="10">SUM(D42,D47,D53,D57,D65,D72,D73)</f>
        <v>344542</v>
      </c>
      <c r="E74" s="1699">
        <f t="shared" si="10"/>
        <v>261736</v>
      </c>
      <c r="F74" s="1699">
        <f t="shared" si="10"/>
        <v>200918</v>
      </c>
      <c r="G74" s="1699">
        <f t="shared" si="10"/>
        <v>0</v>
      </c>
      <c r="H74" s="1699">
        <f t="shared" si="10"/>
        <v>21527</v>
      </c>
      <c r="I74" s="1699">
        <f t="shared" si="10"/>
        <v>62775</v>
      </c>
      <c r="J74" s="1699">
        <f t="shared" si="10"/>
        <v>0</v>
      </c>
      <c r="K74" s="1699">
        <f t="shared" si="10"/>
        <v>2586435</v>
      </c>
      <c r="L74" s="1699">
        <f>SUM(L42,L47,L53,L57,L65,L72,L73)</f>
        <v>2645784</v>
      </c>
    </row>
    <row r="75" spans="1:14" s="259" customFormat="1" ht="15.75" customHeight="1" thickTop="1" thickBot="1" x14ac:dyDescent="0.25">
      <c r="A75" s="1632" t="s">
        <v>49</v>
      </c>
      <c r="B75" s="1633" t="s">
        <v>596</v>
      </c>
      <c r="C75" s="573"/>
      <c r="D75" s="573"/>
      <c r="E75" s="573">
        <v>10336</v>
      </c>
      <c r="F75" s="573">
        <v>46450</v>
      </c>
      <c r="G75" s="573"/>
      <c r="H75" s="573"/>
      <c r="I75" s="531"/>
      <c r="J75" s="531"/>
      <c r="K75" s="1692">
        <f>SUM(C75:J75)</f>
        <v>56786</v>
      </c>
      <c r="L75" s="576">
        <v>17200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53629</v>
      </c>
      <c r="I86" s="477"/>
      <c r="J86" s="477"/>
      <c r="K86" s="1699">
        <f t="shared" ref="K86:K98" si="12">H86</f>
        <v>53629</v>
      </c>
      <c r="L86" s="530">
        <v>102276</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53629</v>
      </c>
      <c r="I92" s="477"/>
      <c r="J92" s="477"/>
      <c r="K92" s="1699">
        <f t="shared" si="12"/>
        <v>53629</v>
      </c>
      <c r="L92" s="1692">
        <f>SUM(L85:L91)</f>
        <v>102276</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53629</v>
      </c>
      <c r="I102" s="477"/>
      <c r="J102" s="477"/>
      <c r="K102" s="1699">
        <f>SUM(K84,K92,K100,K101)</f>
        <v>53629</v>
      </c>
      <c r="L102" s="1699">
        <f>SUM(L84,L92,L100,L101)</f>
        <v>102276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7767177</v>
      </c>
      <c r="D114" s="1692">
        <f t="shared" ref="D114:K114" si="13">SUM(D33,D74,D75,D102,D112,D113)</f>
        <v>1094044</v>
      </c>
      <c r="E114" s="1692">
        <f t="shared" si="13"/>
        <v>781784</v>
      </c>
      <c r="F114" s="1692">
        <f t="shared" si="13"/>
        <v>511470</v>
      </c>
      <c r="G114" s="1692">
        <f t="shared" si="13"/>
        <v>0</v>
      </c>
      <c r="H114" s="1692">
        <f>SUM(H33,H74,H75,H102,H112,H113)</f>
        <v>173129</v>
      </c>
      <c r="I114" s="1692">
        <f t="shared" si="13"/>
        <v>202503</v>
      </c>
      <c r="J114" s="1692">
        <f t="shared" si="13"/>
        <v>21266</v>
      </c>
      <c r="K114" s="1692">
        <f t="shared" si="13"/>
        <v>10551373</v>
      </c>
      <c r="L114" s="1692">
        <f>SUM(L33,L74,L75,L102,L112,L113)</f>
        <v>10874936</v>
      </c>
    </row>
    <row r="115" spans="1:14" ht="13.5" thickTop="1" x14ac:dyDescent="0.2">
      <c r="A115" s="2196" t="s">
        <v>1053</v>
      </c>
      <c r="B115" s="2197"/>
      <c r="C115" s="619"/>
      <c r="D115" s="619"/>
      <c r="E115" s="619"/>
      <c r="F115" s="619"/>
      <c r="G115" s="619"/>
      <c r="H115" s="619"/>
      <c r="I115" s="619"/>
      <c r="J115" s="619"/>
      <c r="K115" s="1706">
        <f>'Revenues 9-14'!C275-'Expenditures 15-22'!K114</f>
        <v>348274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4" t="s">
        <v>314</v>
      </c>
      <c r="B117" s="217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445721</v>
      </c>
      <c r="D124" s="466">
        <v>82044</v>
      </c>
      <c r="E124" s="466">
        <v>345472</v>
      </c>
      <c r="F124" s="466">
        <v>282651</v>
      </c>
      <c r="G124" s="466">
        <v>546340</v>
      </c>
      <c r="H124" s="466"/>
      <c r="I124" s="467">
        <v>10999</v>
      </c>
      <c r="J124" s="467"/>
      <c r="K124" s="1692">
        <f>SUM(C124:J124)</f>
        <v>1713227</v>
      </c>
      <c r="L124" s="466">
        <v>1662903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445721</v>
      </c>
      <c r="D127" s="1692">
        <f t="shared" ref="D127:L127" si="14">SUM(D122:D126)</f>
        <v>82044</v>
      </c>
      <c r="E127" s="1692">
        <f t="shared" si="14"/>
        <v>345472</v>
      </c>
      <c r="F127" s="1692">
        <f t="shared" si="14"/>
        <v>282651</v>
      </c>
      <c r="G127" s="1692">
        <f t="shared" si="14"/>
        <v>546340</v>
      </c>
      <c r="H127" s="1692">
        <f t="shared" si="14"/>
        <v>0</v>
      </c>
      <c r="I127" s="1692">
        <f t="shared" si="14"/>
        <v>10999</v>
      </c>
      <c r="J127" s="1692">
        <f t="shared" si="14"/>
        <v>0</v>
      </c>
      <c r="K127" s="1692">
        <f t="shared" si="14"/>
        <v>1713227</v>
      </c>
      <c r="L127" s="1692">
        <f t="shared" si="14"/>
        <v>1662903</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445721</v>
      </c>
      <c r="D129" s="1699">
        <f t="shared" ref="D129:L129" si="15">SUM(D120,D127,D128)</f>
        <v>82044</v>
      </c>
      <c r="E129" s="1699">
        <f t="shared" si="15"/>
        <v>345472</v>
      </c>
      <c r="F129" s="1699">
        <f t="shared" si="15"/>
        <v>282651</v>
      </c>
      <c r="G129" s="1699">
        <f t="shared" si="15"/>
        <v>546340</v>
      </c>
      <c r="H129" s="1699">
        <f t="shared" si="15"/>
        <v>0</v>
      </c>
      <c r="I129" s="1699">
        <f t="shared" si="15"/>
        <v>10999</v>
      </c>
      <c r="J129" s="1699">
        <f t="shared" si="15"/>
        <v>0</v>
      </c>
      <c r="K129" s="1699">
        <f t="shared" si="15"/>
        <v>1713227</v>
      </c>
      <c r="L129" s="1699">
        <f t="shared" si="15"/>
        <v>1662903</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6" t="s">
        <v>641</v>
      </c>
      <c r="B151" s="2168"/>
      <c r="C151" s="1692">
        <f>SUM(C129,C130,C139,C149,C150)</f>
        <v>445721</v>
      </c>
      <c r="D151" s="1692">
        <f t="shared" ref="D151:K151" si="16">SUM(D129,D130,D139,D149,D150)</f>
        <v>82044</v>
      </c>
      <c r="E151" s="1692">
        <f t="shared" si="16"/>
        <v>345472</v>
      </c>
      <c r="F151" s="1692">
        <f t="shared" si="16"/>
        <v>282651</v>
      </c>
      <c r="G151" s="1692">
        <f t="shared" si="16"/>
        <v>546340</v>
      </c>
      <c r="H151" s="1692">
        <f t="shared" si="16"/>
        <v>0</v>
      </c>
      <c r="I151" s="1692">
        <f t="shared" si="16"/>
        <v>10999</v>
      </c>
      <c r="J151" s="1692">
        <f t="shared" si="16"/>
        <v>0</v>
      </c>
      <c r="K151" s="1692">
        <f t="shared" si="16"/>
        <v>1713227</v>
      </c>
      <c r="L151" s="1692">
        <f>SUM(L129,L130,L139,L149,L150)</f>
        <v>1662903</v>
      </c>
    </row>
    <row r="152" spans="1:14" ht="12.75" customHeight="1" thickTop="1" x14ac:dyDescent="0.2">
      <c r="A152" s="2189" t="s">
        <v>1240</v>
      </c>
      <c r="B152" s="2190"/>
      <c r="C152" s="619"/>
      <c r="D152" s="619"/>
      <c r="E152" s="619"/>
      <c r="F152" s="619"/>
      <c r="G152" s="619"/>
      <c r="H152" s="619"/>
      <c r="I152" s="619"/>
      <c r="J152" s="617"/>
      <c r="K152" s="1706">
        <f>'Revenues 9-14'!D275-'Expenditures 15-22'!K151</f>
        <v>31456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4" t="s">
        <v>642</v>
      </c>
      <c r="B154" s="217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63313</v>
      </c>
      <c r="I169" s="617"/>
      <c r="J169" s="617"/>
      <c r="K169" s="1693">
        <f>SUM(C169:H169)</f>
        <v>63313</v>
      </c>
      <c r="L169" s="657">
        <v>63313</v>
      </c>
    </row>
    <row r="170" spans="1:14" ht="33.75" customHeight="1" x14ac:dyDescent="0.2">
      <c r="A170" s="670" t="s">
        <v>1769</v>
      </c>
      <c r="B170" s="672" t="s">
        <v>31</v>
      </c>
      <c r="C170" s="617"/>
      <c r="D170" s="617"/>
      <c r="E170" s="617"/>
      <c r="F170" s="617"/>
      <c r="G170" s="617"/>
      <c r="H170" s="569">
        <v>570000</v>
      </c>
      <c r="I170" s="617"/>
      <c r="J170" s="617"/>
      <c r="K170" s="1693">
        <f>SUM(C170:J170)</f>
        <v>570000</v>
      </c>
      <c r="L170" s="569">
        <v>570000</v>
      </c>
    </row>
    <row r="171" spans="1:14" ht="15.75" customHeight="1" x14ac:dyDescent="0.2">
      <c r="A171" s="622" t="s">
        <v>790</v>
      </c>
      <c r="B171" s="673" t="s">
        <v>86</v>
      </c>
      <c r="C171" s="617"/>
      <c r="D171" s="617"/>
      <c r="E171" s="466"/>
      <c r="F171" s="617"/>
      <c r="G171" s="617"/>
      <c r="H171" s="569">
        <v>500</v>
      </c>
      <c r="I171" s="477"/>
      <c r="J171" s="617"/>
      <c r="K171" s="1693">
        <f>SUM(C171:J171)</f>
        <v>500</v>
      </c>
      <c r="L171" s="569">
        <v>450</v>
      </c>
    </row>
    <row r="172" spans="1:14" ht="12.75" customHeight="1" thickBot="1" x14ac:dyDescent="0.25">
      <c r="A172" s="1690" t="s">
        <v>659</v>
      </c>
      <c r="B172" s="1691" t="s">
        <v>513</v>
      </c>
      <c r="C172" s="617"/>
      <c r="D172" s="617"/>
      <c r="E172" s="1699">
        <f>SUM(E168,E169,E170,E171)</f>
        <v>0</v>
      </c>
      <c r="F172" s="617"/>
      <c r="G172" s="617"/>
      <c r="H172" s="1699">
        <f>SUM(H168,H169,H170,H171)</f>
        <v>633813</v>
      </c>
      <c r="I172" s="639"/>
      <c r="J172" s="617"/>
      <c r="K172" s="1699">
        <f>SUM(K168,K169,K170,K171)</f>
        <v>633813</v>
      </c>
      <c r="L172" s="1699">
        <f>SUM(L168,L169,L170,L171)</f>
        <v>633763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633813</v>
      </c>
      <c r="I174" s="639"/>
      <c r="J174" s="617"/>
      <c r="K174" s="1699">
        <f>SUM(K160,K172,K173)</f>
        <v>633813</v>
      </c>
      <c r="L174" s="1699">
        <f>SUM(L160,L172,L173)</f>
        <v>633763</v>
      </c>
    </row>
    <row r="175" spans="1:14" ht="13.5" thickTop="1" x14ac:dyDescent="0.2">
      <c r="A175" s="2196" t="s">
        <v>1053</v>
      </c>
      <c r="B175" s="2197"/>
      <c r="C175" s="617"/>
      <c r="D175" s="617"/>
      <c r="E175" s="617"/>
      <c r="F175" s="617"/>
      <c r="G175" s="617"/>
      <c r="H175" s="619"/>
      <c r="I175" s="617"/>
      <c r="J175" s="617"/>
      <c r="K175" s="1706">
        <f>'Revenues 9-14'!E275-'Expenditures 15-22'!K174</f>
        <v>-5170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42438</v>
      </c>
      <c r="D182" s="466">
        <v>13217</v>
      </c>
      <c r="E182" s="466">
        <v>32821</v>
      </c>
      <c r="F182" s="466"/>
      <c r="G182" s="466"/>
      <c r="H182" s="466"/>
      <c r="I182" s="467"/>
      <c r="J182" s="467"/>
      <c r="K182" s="1693">
        <f>SUM(C182:J182)</f>
        <v>88476</v>
      </c>
      <c r="L182" s="466">
        <v>86723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42438</v>
      </c>
      <c r="D184" s="1699">
        <f t="shared" ref="D184:J184" si="17">SUM(D180,D182,D183)</f>
        <v>13217</v>
      </c>
      <c r="E184" s="1699">
        <f t="shared" si="17"/>
        <v>32821</v>
      </c>
      <c r="F184" s="1699">
        <f t="shared" si="17"/>
        <v>0</v>
      </c>
      <c r="G184" s="1699">
        <f t="shared" si="17"/>
        <v>0</v>
      </c>
      <c r="H184" s="1699">
        <f t="shared" si="17"/>
        <v>0</v>
      </c>
      <c r="I184" s="1699">
        <f t="shared" si="17"/>
        <v>0</v>
      </c>
      <c r="J184" s="1699">
        <f t="shared" si="17"/>
        <v>0</v>
      </c>
      <c r="K184" s="1699">
        <f>SUM(K180,K182,K183)</f>
        <v>88476</v>
      </c>
      <c r="L184" s="1699">
        <f>SUM(L180, L182:L183)</f>
        <v>86723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33677</v>
      </c>
      <c r="F189" s="617"/>
      <c r="G189" s="617"/>
      <c r="H189" s="466"/>
      <c r="I189" s="477"/>
      <c r="J189" s="617"/>
      <c r="K189" s="1693">
        <f t="shared" si="18"/>
        <v>33677</v>
      </c>
      <c r="L189" s="466">
        <v>135000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33677</v>
      </c>
      <c r="F194" s="617"/>
      <c r="G194" s="617"/>
      <c r="H194" s="1692">
        <f>SUM(H188:H193)</f>
        <v>0</v>
      </c>
      <c r="I194" s="477"/>
      <c r="J194" s="617"/>
      <c r="K194" s="1692">
        <f>SUM(K188:K193)</f>
        <v>33677</v>
      </c>
      <c r="L194" s="1692">
        <f>SUM(L188:L193)</f>
        <v>135000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33677</v>
      </c>
      <c r="F196" s="617"/>
      <c r="G196" s="617"/>
      <c r="H196" s="1699">
        <f>SUM(H194,H195)</f>
        <v>0</v>
      </c>
      <c r="I196" s="477"/>
      <c r="J196" s="617"/>
      <c r="K196" s="1699">
        <f>SUM(K194,K195)</f>
        <v>33677</v>
      </c>
      <c r="L196" s="1699">
        <f>SUM(L194,L195)</f>
        <v>135000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42438</v>
      </c>
      <c r="D210" s="1692">
        <f>SUM(D184,D185)</f>
        <v>13217</v>
      </c>
      <c r="E210" s="1692">
        <f>SUM(E184,E185,E196)</f>
        <v>66498</v>
      </c>
      <c r="F210" s="1692">
        <f>SUM(F184,F185)</f>
        <v>0</v>
      </c>
      <c r="G210" s="1692">
        <f>SUM(G184,G185)</f>
        <v>0</v>
      </c>
      <c r="H210" s="1692">
        <f>SUM(H184,H185,H196,H208,H209)</f>
        <v>0</v>
      </c>
      <c r="I210" s="1692">
        <f>SUM(I184,I185)</f>
        <v>0</v>
      </c>
      <c r="J210" s="1692">
        <f>SUM(J184,J185)</f>
        <v>0</v>
      </c>
      <c r="K210" s="1693">
        <f>SUM(K184,K185,K196,K208,K209)</f>
        <v>122153</v>
      </c>
      <c r="L210" s="1692">
        <f>SUM(L184,L185,L196,L208,L209)</f>
        <v>221723</v>
      </c>
    </row>
    <row r="211" spans="1:14" ht="13.5" thickTop="1" x14ac:dyDescent="0.2">
      <c r="A211" s="2196" t="s">
        <v>1053</v>
      </c>
      <c r="B211" s="2197"/>
      <c r="C211" s="619"/>
      <c r="D211" s="619"/>
      <c r="E211" s="619"/>
      <c r="F211" s="619"/>
      <c r="G211" s="619"/>
      <c r="H211" s="619"/>
      <c r="I211" s="617"/>
      <c r="J211" s="617"/>
      <c r="K211" s="1706">
        <f>'Revenues 9-14'!F275-'Expenditures 15-22'!K210</f>
        <v>82937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1" t="s">
        <v>1022</v>
      </c>
      <c r="B213" s="219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78249</v>
      </c>
      <c r="E215" s="617"/>
      <c r="F215" s="617"/>
      <c r="G215" s="617"/>
      <c r="H215" s="617"/>
      <c r="I215" s="617"/>
      <c r="J215" s="617"/>
      <c r="K215" s="1693">
        <f>D215</f>
        <v>78249</v>
      </c>
      <c r="L215" s="466">
        <v>71400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74554</v>
      </c>
      <c r="E217" s="617"/>
      <c r="F217" s="617"/>
      <c r="G217" s="617"/>
      <c r="H217" s="617"/>
      <c r="I217" s="617"/>
      <c r="J217" s="617"/>
      <c r="K217" s="1693">
        <f t="shared" si="19"/>
        <v>74554</v>
      </c>
      <c r="L217" s="466">
        <v>64502</v>
      </c>
    </row>
    <row r="218" spans="1:14" x14ac:dyDescent="0.2">
      <c r="A218" s="1526" t="s">
        <v>296</v>
      </c>
      <c r="B218" s="615" t="s">
        <v>1025</v>
      </c>
      <c r="C218" s="617"/>
      <c r="D218" s="467">
        <v>9797</v>
      </c>
      <c r="E218" s="617"/>
      <c r="F218" s="617"/>
      <c r="G218" s="617"/>
      <c r="H218" s="617"/>
      <c r="I218" s="617"/>
      <c r="J218" s="617"/>
      <c r="K218" s="1693">
        <f t="shared" si="19"/>
        <v>9797</v>
      </c>
      <c r="L218" s="466">
        <v>8600</v>
      </c>
    </row>
    <row r="219" spans="1:14" x14ac:dyDescent="0.2">
      <c r="A219" s="1526" t="s">
        <v>297</v>
      </c>
      <c r="B219" s="615">
        <v>1250</v>
      </c>
      <c r="C219" s="617"/>
      <c r="D219" s="466">
        <v>0</v>
      </c>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3093</v>
      </c>
      <c r="E223" s="617"/>
      <c r="F223" s="617"/>
      <c r="G223" s="617"/>
      <c r="H223" s="617"/>
      <c r="I223" s="617"/>
      <c r="J223" s="617"/>
      <c r="K223" s="1693">
        <f t="shared" si="19"/>
        <v>3093</v>
      </c>
      <c r="L223" s="466">
        <v>3366</v>
      </c>
    </row>
    <row r="224" spans="1:14" x14ac:dyDescent="0.2">
      <c r="A224" s="1526" t="s">
        <v>1021</v>
      </c>
      <c r="B224" s="615">
        <v>1600</v>
      </c>
      <c r="C224" s="617"/>
      <c r="D224" s="466">
        <v>2367</v>
      </c>
      <c r="E224" s="617"/>
      <c r="F224" s="617"/>
      <c r="G224" s="617"/>
      <c r="H224" s="617"/>
      <c r="I224" s="617"/>
      <c r="J224" s="617"/>
      <c r="K224" s="1693">
        <f t="shared" si="19"/>
        <v>2367</v>
      </c>
      <c r="L224" s="466">
        <v>1450</v>
      </c>
    </row>
    <row r="225" spans="1:12" x14ac:dyDescent="0.2">
      <c r="A225" s="1526" t="s">
        <v>1044</v>
      </c>
      <c r="B225" s="615">
        <v>1650</v>
      </c>
      <c r="C225" s="617"/>
      <c r="D225" s="466">
        <v>2332</v>
      </c>
      <c r="E225" s="617"/>
      <c r="F225" s="617"/>
      <c r="G225" s="617"/>
      <c r="H225" s="617"/>
      <c r="I225" s="617"/>
      <c r="J225" s="617"/>
      <c r="K225" s="1693">
        <f t="shared" si="19"/>
        <v>2332</v>
      </c>
      <c r="L225" s="466">
        <v>2354</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170392</v>
      </c>
      <c r="E229" s="617"/>
      <c r="F229" s="617"/>
      <c r="G229" s="617"/>
      <c r="H229" s="617"/>
      <c r="I229" s="617"/>
      <c r="J229" s="617"/>
      <c r="K229" s="1692">
        <f>SUM(K215:K228)</f>
        <v>170392</v>
      </c>
      <c r="L229" s="1692">
        <f>SUM(L215:L228)</f>
        <v>151672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2341</v>
      </c>
      <c r="E232" s="617"/>
      <c r="F232" s="617"/>
      <c r="G232" s="617"/>
      <c r="H232" s="617"/>
      <c r="I232" s="617"/>
      <c r="J232" s="617"/>
      <c r="K232" s="1693">
        <f t="shared" ref="K232:K237" si="20">D232</f>
        <v>2341</v>
      </c>
      <c r="L232" s="466">
        <v>2327</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3046</v>
      </c>
      <c r="E234" s="617"/>
      <c r="F234" s="617"/>
      <c r="G234" s="617"/>
      <c r="H234" s="617"/>
      <c r="I234" s="617"/>
      <c r="J234" s="617"/>
      <c r="K234" s="1693">
        <f t="shared" si="20"/>
        <v>3046</v>
      </c>
      <c r="L234" s="466">
        <v>3225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3078</v>
      </c>
      <c r="E236" s="617"/>
      <c r="F236" s="617"/>
      <c r="G236" s="617"/>
      <c r="H236" s="617"/>
      <c r="I236" s="617"/>
      <c r="J236" s="617"/>
      <c r="K236" s="1693">
        <f t="shared" si="20"/>
        <v>3078</v>
      </c>
      <c r="L236" s="466">
        <v>3101</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8465</v>
      </c>
      <c r="E238" s="617"/>
      <c r="F238" s="617"/>
      <c r="G238" s="617"/>
      <c r="H238" s="617"/>
      <c r="I238" s="617"/>
      <c r="J238" s="617"/>
      <c r="K238" s="1692">
        <f>SUM(K232:K237)</f>
        <v>8465</v>
      </c>
      <c r="L238" s="1692">
        <f>SUM(L232:L237)</f>
        <v>8653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3178</v>
      </c>
      <c r="E240" s="617"/>
      <c r="F240" s="617"/>
      <c r="G240" s="617"/>
      <c r="H240" s="617"/>
      <c r="I240" s="617"/>
      <c r="J240" s="617"/>
      <c r="K240" s="1694">
        <f>D240</f>
        <v>3178</v>
      </c>
      <c r="L240" s="481">
        <v>3110</v>
      </c>
    </row>
    <row r="241" spans="1:12" x14ac:dyDescent="0.2">
      <c r="A241" s="1526" t="s">
        <v>869</v>
      </c>
      <c r="B241" s="615">
        <v>2220</v>
      </c>
      <c r="C241" s="617"/>
      <c r="D241" s="466">
        <v>4987</v>
      </c>
      <c r="E241" s="617"/>
      <c r="F241" s="617"/>
      <c r="G241" s="617"/>
      <c r="H241" s="617"/>
      <c r="I241" s="617"/>
      <c r="J241" s="617"/>
      <c r="K241" s="1694">
        <f>D241</f>
        <v>4987</v>
      </c>
      <c r="L241" s="466">
        <v>4954</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8165</v>
      </c>
      <c r="E243" s="617"/>
      <c r="F243" s="617"/>
      <c r="G243" s="617"/>
      <c r="H243" s="617"/>
      <c r="I243" s="617"/>
      <c r="J243" s="617"/>
      <c r="K243" s="1692">
        <f>SUM(K240:K242)</f>
        <v>8165</v>
      </c>
      <c r="L243" s="1692">
        <f>SUM(L240:L242)</f>
        <v>8064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11268</v>
      </c>
      <c r="E246" s="617"/>
      <c r="F246" s="617"/>
      <c r="G246" s="617"/>
      <c r="H246" s="617"/>
      <c r="I246" s="617"/>
      <c r="J246" s="617"/>
      <c r="K246" s="1694">
        <f t="shared" ref="K246:K256" si="21">D246</f>
        <v>11268</v>
      </c>
      <c r="L246" s="466">
        <v>13450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5620</v>
      </c>
      <c r="E254" s="617"/>
      <c r="F254" s="617"/>
      <c r="G254" s="617"/>
      <c r="H254" s="617"/>
      <c r="I254" s="617"/>
      <c r="J254" s="617"/>
      <c r="K254" s="1694">
        <f t="shared" si="21"/>
        <v>5620</v>
      </c>
      <c r="L254" s="466">
        <v>5299</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16888</v>
      </c>
      <c r="E257" s="617"/>
      <c r="F257" s="617"/>
      <c r="G257" s="617"/>
      <c r="H257" s="617"/>
      <c r="I257" s="617"/>
      <c r="J257" s="617"/>
      <c r="K257" s="1692">
        <f>SUM(K245:K256)</f>
        <v>16888</v>
      </c>
      <c r="L257" s="1692">
        <f>SUM(L245:L256)</f>
        <v>18749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28767</v>
      </c>
      <c r="E259" s="617"/>
      <c r="F259" s="617"/>
      <c r="G259" s="617"/>
      <c r="H259" s="617"/>
      <c r="I259" s="617"/>
      <c r="J259" s="617"/>
      <c r="K259" s="1694">
        <f>D259</f>
        <v>28767</v>
      </c>
      <c r="L259" s="481">
        <v>20421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28767</v>
      </c>
      <c r="E261" s="617"/>
      <c r="F261" s="617"/>
      <c r="G261" s="617"/>
      <c r="H261" s="617"/>
      <c r="I261" s="617"/>
      <c r="J261" s="617"/>
      <c r="K261" s="1692">
        <f>SUM(K259:K260)</f>
        <v>28767</v>
      </c>
      <c r="L261" s="1692">
        <f>SUM(L259:L260)</f>
        <v>20421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5360</v>
      </c>
      <c r="E264" s="617"/>
      <c r="F264" s="617"/>
      <c r="G264" s="617"/>
      <c r="H264" s="617"/>
      <c r="I264" s="617"/>
      <c r="J264" s="617"/>
      <c r="K264" s="1694">
        <f t="shared" ref="K264:K269" si="22">D264</f>
        <v>5360</v>
      </c>
      <c r="L264" s="466">
        <v>5128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62550</v>
      </c>
      <c r="E266" s="617"/>
      <c r="F266" s="617"/>
      <c r="G266" s="617"/>
      <c r="H266" s="617"/>
      <c r="I266" s="617"/>
      <c r="J266" s="617"/>
      <c r="K266" s="1694">
        <f t="shared" si="22"/>
        <v>62550</v>
      </c>
      <c r="L266" s="466">
        <v>63936</v>
      </c>
    </row>
    <row r="267" spans="1:14" x14ac:dyDescent="0.2">
      <c r="A267" s="1526" t="s">
        <v>1010</v>
      </c>
      <c r="B267" s="615">
        <v>2550</v>
      </c>
      <c r="C267" s="617"/>
      <c r="D267" s="466">
        <v>1839</v>
      </c>
      <c r="E267" s="617"/>
      <c r="F267" s="617"/>
      <c r="G267" s="617"/>
      <c r="H267" s="617"/>
      <c r="I267" s="617"/>
      <c r="J267" s="617"/>
      <c r="K267" s="1694">
        <f t="shared" si="22"/>
        <v>1839</v>
      </c>
      <c r="L267" s="466">
        <v>1836</v>
      </c>
    </row>
    <row r="268" spans="1:14" x14ac:dyDescent="0.2">
      <c r="A268" s="1526" t="s">
        <v>102</v>
      </c>
      <c r="B268" s="615">
        <v>2560</v>
      </c>
      <c r="C268" s="617"/>
      <c r="D268" s="466">
        <v>4148</v>
      </c>
      <c r="E268" s="617"/>
      <c r="F268" s="617"/>
      <c r="G268" s="617"/>
      <c r="H268" s="617"/>
      <c r="I268" s="617"/>
      <c r="J268" s="617"/>
      <c r="K268" s="1694">
        <f t="shared" si="22"/>
        <v>4148</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73897</v>
      </c>
      <c r="E270" s="617"/>
      <c r="F270" s="617"/>
      <c r="G270" s="617"/>
      <c r="H270" s="617"/>
      <c r="I270" s="617"/>
      <c r="J270" s="617"/>
      <c r="K270" s="1692">
        <f>SUM(K263:K269)</f>
        <v>73897</v>
      </c>
      <c r="L270" s="1692">
        <f>SUM(L263:L269)</f>
        <v>70900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9051</v>
      </c>
      <c r="E276" s="617"/>
      <c r="F276" s="617"/>
      <c r="G276" s="617"/>
      <c r="H276" s="617"/>
      <c r="I276" s="617"/>
      <c r="J276" s="617"/>
      <c r="K276" s="1694">
        <f>D276</f>
        <v>9051</v>
      </c>
      <c r="L276" s="466">
        <v>8412</v>
      </c>
    </row>
    <row r="277" spans="1:12" ht="12.75" customHeight="1" thickBot="1" x14ac:dyDescent="0.25">
      <c r="A277" s="1713" t="s">
        <v>37</v>
      </c>
      <c r="B277" s="1691" t="s">
        <v>36</v>
      </c>
      <c r="C277" s="617"/>
      <c r="D277" s="1692">
        <f>SUM(D272:D276)</f>
        <v>9051</v>
      </c>
      <c r="E277" s="617"/>
      <c r="F277" s="617"/>
      <c r="G277" s="617"/>
      <c r="H277" s="617"/>
      <c r="I277" s="617"/>
      <c r="J277" s="617"/>
      <c r="K277" s="1692">
        <f>SUM(K272:K276)</f>
        <v>9051</v>
      </c>
      <c r="L277" s="1692">
        <f>SUM(L272:L276)</f>
        <v>8412</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145233</v>
      </c>
      <c r="E279" s="617"/>
      <c r="F279" s="617"/>
      <c r="G279" s="617"/>
      <c r="H279" s="617"/>
      <c r="I279" s="617"/>
      <c r="J279" s="617"/>
      <c r="K279" s="1699">
        <f>SUM(K238,K243,K257,K261,K270,K277,K278)</f>
        <v>145233</v>
      </c>
      <c r="L279" s="1699">
        <f>SUM(L238,L243,L257,L261,L270,L277,L278)</f>
        <v>135199</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7" t="s">
        <v>526</v>
      </c>
      <c r="B295" s="2188"/>
      <c r="C295" s="617"/>
      <c r="D295" s="1692">
        <f>SUM(D229,D279,D280,D285)</f>
        <v>315625</v>
      </c>
      <c r="E295" s="617"/>
      <c r="F295" s="617"/>
      <c r="G295" s="617"/>
      <c r="H295" s="1692">
        <f>H293</f>
        <v>0</v>
      </c>
      <c r="I295" s="617"/>
      <c r="J295" s="617"/>
      <c r="K295" s="1692">
        <f>SUM(K229,K279,K280,K285,K293,K294)</f>
        <v>315625</v>
      </c>
      <c r="L295" s="1692">
        <f>SUM(L229,L279,L280,L285,L293,L294)</f>
        <v>286871</v>
      </c>
    </row>
    <row r="296" spans="1:14" ht="13.5" thickTop="1" x14ac:dyDescent="0.2">
      <c r="A296" s="2196" t="s">
        <v>1053</v>
      </c>
      <c r="B296" s="2197"/>
      <c r="C296" s="617"/>
      <c r="D296" s="619"/>
      <c r="E296" s="617"/>
      <c r="F296" s="617"/>
      <c r="G296" s="617"/>
      <c r="H296" s="688"/>
      <c r="I296" s="617"/>
      <c r="J296" s="617"/>
      <c r="K296" s="1706">
        <f>'Revenues 9-14'!G275-'Expenditures 15-22'!K295</f>
        <v>-14925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9" t="s">
        <v>145</v>
      </c>
      <c r="B298" s="217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4" t="s">
        <v>295</v>
      </c>
      <c r="B312" s="2185"/>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0" t="s">
        <v>1053</v>
      </c>
      <c r="B313" s="2181"/>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3" t="s">
        <v>151</v>
      </c>
      <c r="B315" s="219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5" t="s">
        <v>954</v>
      </c>
      <c r="B317" s="219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106886</v>
      </c>
      <c r="F322" s="467"/>
      <c r="G322" s="467"/>
      <c r="H322" s="467"/>
      <c r="I322" s="467"/>
      <c r="J322" s="467"/>
      <c r="K322" s="1693">
        <f t="shared" si="24"/>
        <v>106886</v>
      </c>
      <c r="L322" s="467">
        <v>115657</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v>527</v>
      </c>
      <c r="F324" s="467"/>
      <c r="G324" s="467"/>
      <c r="H324" s="467"/>
      <c r="I324" s="467"/>
      <c r="J324" s="467"/>
      <c r="K324" s="1693">
        <f t="shared" si="24"/>
        <v>527</v>
      </c>
      <c r="L324" s="467">
        <v>9100</v>
      </c>
      <c r="M324" s="666"/>
      <c r="N324" s="666"/>
    </row>
    <row r="325" spans="1:14" s="675" customFormat="1" ht="22.5" x14ac:dyDescent="0.2">
      <c r="A325" s="1541" t="s">
        <v>1087</v>
      </c>
      <c r="B325" s="699" t="s">
        <v>305</v>
      </c>
      <c r="C325" s="467">
        <v>78195</v>
      </c>
      <c r="D325" s="467">
        <v>8050</v>
      </c>
      <c r="E325" s="467"/>
      <c r="F325" s="467"/>
      <c r="G325" s="467"/>
      <c r="H325" s="467"/>
      <c r="I325" s="467"/>
      <c r="J325" s="467"/>
      <c r="K325" s="1693">
        <f t="shared" si="24"/>
        <v>86245</v>
      </c>
      <c r="L325" s="467">
        <v>96817</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18778</v>
      </c>
      <c r="F327" s="467"/>
      <c r="G327" s="467"/>
      <c r="H327" s="467"/>
      <c r="I327" s="467"/>
      <c r="J327" s="467"/>
      <c r="K327" s="1693">
        <f t="shared" si="24"/>
        <v>18778</v>
      </c>
      <c r="L327" s="467">
        <v>27500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78195</v>
      </c>
      <c r="D330" s="1692">
        <f t="shared" ref="D330:J330" si="25">SUM(D319:D329)</f>
        <v>8050</v>
      </c>
      <c r="E330" s="1692">
        <f t="shared" si="25"/>
        <v>126191</v>
      </c>
      <c r="F330" s="1692">
        <f t="shared" si="25"/>
        <v>0</v>
      </c>
      <c r="G330" s="1692">
        <f t="shared" si="25"/>
        <v>0</v>
      </c>
      <c r="H330" s="1692">
        <f t="shared" si="25"/>
        <v>0</v>
      </c>
      <c r="I330" s="1692">
        <f t="shared" si="25"/>
        <v>0</v>
      </c>
      <c r="J330" s="1692">
        <f t="shared" si="25"/>
        <v>0</v>
      </c>
      <c r="K330" s="1692">
        <f>SUM(K319:K329)</f>
        <v>212436</v>
      </c>
      <c r="L330" s="1692">
        <f>SUM(L319:L329)</f>
        <v>249074</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78195</v>
      </c>
      <c r="D342" s="1692">
        <f>SUM(D330)</f>
        <v>8050</v>
      </c>
      <c r="E342" s="1692">
        <f>SUM(E330)</f>
        <v>126191</v>
      </c>
      <c r="F342" s="1692">
        <f>SUM(F330)</f>
        <v>0</v>
      </c>
      <c r="G342" s="1692">
        <f>SUM(G330)</f>
        <v>0</v>
      </c>
      <c r="H342" s="1692">
        <f>SUM(H330,H334,H340)</f>
        <v>0</v>
      </c>
      <c r="I342" s="1692">
        <f>SUM(I330)</f>
        <v>0</v>
      </c>
      <c r="J342" s="1692">
        <f>SUM(J330)</f>
        <v>0</v>
      </c>
      <c r="K342" s="1692">
        <f>SUM(K330,K334,K340)</f>
        <v>212436</v>
      </c>
      <c r="L342" s="1699">
        <f>SUM(L330,L340,L341)</f>
        <v>249074</v>
      </c>
    </row>
    <row r="343" spans="1:14" ht="12.75" customHeight="1" thickTop="1" x14ac:dyDescent="0.2">
      <c r="A343" s="2182" t="s">
        <v>1053</v>
      </c>
      <c r="B343" s="2183"/>
      <c r="C343" s="617"/>
      <c r="D343" s="617"/>
      <c r="E343" s="617"/>
      <c r="F343" s="617"/>
      <c r="G343" s="617"/>
      <c r="H343" s="617"/>
      <c r="I343" s="617"/>
      <c r="J343" s="617"/>
      <c r="K343" s="1706">
        <f>'Revenues 9-14'!J275-'Expenditures 15-22'!K342</f>
        <v>-37713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2" t="s">
        <v>1023</v>
      </c>
      <c r="B345" s="217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6" t="s">
        <v>1053</v>
      </c>
      <c r="B368" s="2197"/>
      <c r="C368" s="655"/>
      <c r="D368" s="655"/>
      <c r="E368" s="627"/>
      <c r="F368" s="627"/>
      <c r="G368" s="627"/>
      <c r="H368" s="627"/>
      <c r="I368" s="627"/>
      <c r="J368" s="624"/>
      <c r="K368" s="1693">
        <f>'Revenues 9-14'!K275-'Expenditures 15-22'!K367</f>
        <v>896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office/infopath/2007/PartnerControls"/>
    <ds:schemaRef ds:uri="4d435f69-8686-490b-bd6d-b153bf22ab50"/>
    <ds:schemaRef ds:uri="http://purl.org/dc/elements/1.1/"/>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2018-12-21T16:50:24Z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03A</vt:lpwstr>
  </property>
</Properties>
</file>