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745" yWindow="0" windowWidth="15360" windowHeight="4410" tabRatio="959" firstSheet="17" activeTab="2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74" i="106" l="1"/>
  <c r="B3673" i="106"/>
  <c r="B7237" i="106"/>
  <c r="B7236" i="106"/>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H137" i="29" l="1"/>
  <c r="D285" i="29"/>
  <c r="L357" i="29"/>
  <c r="L137" i="29"/>
  <c r="K356" i="29"/>
  <c r="K357" i="29" s="1"/>
  <c r="K15" i="4" s="1"/>
  <c r="H357" i="29"/>
  <c r="L285" i="29"/>
  <c r="E137" i="29"/>
  <c r="E139" i="29" s="1"/>
  <c r="D17" i="17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L5" i="11"/>
  <c r="B2056" i="106" s="1"/>
  <c r="D2056" i="106" s="1"/>
  <c r="F45" i="34" l="1"/>
  <c r="F41" i="34"/>
  <c r="F27" i="108"/>
  <c r="G30" i="108"/>
  <c r="E30" i="108"/>
  <c r="F38" i="34"/>
  <c r="B1746" i="106"/>
  <c r="D1746" i="106" s="1"/>
  <c r="B2026" i="106"/>
  <c r="D2026" i="106" s="1"/>
  <c r="B3454" i="106"/>
  <c r="D3454" i="106" s="1"/>
  <c r="B2864" i="106"/>
  <c r="D2864" i="106" s="1"/>
  <c r="B2028" i="106"/>
  <c r="D2028" i="106" s="1"/>
  <c r="B275" i="106"/>
  <c r="D275" i="106" s="1"/>
  <c r="B2027" i="106"/>
  <c r="D2027" i="106" s="1"/>
  <c r="B274" i="106"/>
  <c r="D274" i="106" s="1"/>
  <c r="L13" i="11"/>
  <c r="B2060" i="106" s="1"/>
  <c r="D2060" i="106" s="1"/>
  <c r="B2029" i="106"/>
  <c r="D2029" i="106" s="1"/>
  <c r="B276" i="106"/>
  <c r="D276" i="106" s="1"/>
  <c r="D69" i="36"/>
  <c r="D31" i="108"/>
  <c r="B7076" i="106"/>
  <c r="D7076" i="106" s="1"/>
  <c r="D36" i="108"/>
  <c r="G35" i="108"/>
  <c r="F69" i="34"/>
  <c r="G33" i="108"/>
  <c r="F64" i="34"/>
  <c r="E35" i="108"/>
  <c r="D31" i="36"/>
  <c r="B7047" i="106"/>
  <c r="D7047" i="106" s="1"/>
  <c r="J23" i="12"/>
  <c r="L22" i="37"/>
  <c r="D5" i="4"/>
  <c r="B3406" i="106" s="1"/>
  <c r="D3406" i="106" s="1"/>
  <c r="B6995" i="106"/>
  <c r="D6995" i="106" s="1"/>
  <c r="B2805" i="106"/>
  <c r="D2805" i="106" s="1"/>
  <c r="H342" i="29"/>
  <c r="B7221" i="106" s="1"/>
  <c r="D7221" i="106" s="1"/>
  <c r="D6103" i="106"/>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7235" i="106" l="1"/>
  <c r="D7235" i="106" s="1"/>
  <c r="B5770" i="106"/>
  <c r="D5770" i="106" s="1"/>
  <c r="M23" i="3"/>
  <c r="B273" i="106"/>
  <c r="D273" i="106" s="1"/>
  <c r="B1328" i="106"/>
  <c r="D1328" i="106" s="1"/>
  <c r="D41" i="108"/>
  <c r="E43" i="108" s="1"/>
  <c r="F41" i="108"/>
  <c r="G43" i="108" s="1"/>
  <c r="B1266" i="106"/>
  <c r="D1266" i="106" s="1"/>
  <c r="C4" i="4"/>
  <c r="B2551" i="106" s="1"/>
  <c r="D2551" i="106" s="1"/>
  <c r="H77" i="4"/>
  <c r="B3299" i="106" s="1"/>
  <c r="D3299" i="106" s="1"/>
  <c r="F66" i="34"/>
  <c r="D7253" i="106"/>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D3674" i="106"/>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B7224" i="106"/>
  <c r="D7224" i="106" s="1"/>
  <c r="F24" i="37"/>
  <c r="B7243" i="106"/>
  <c r="D7243" i="106" s="1"/>
  <c r="J17" i="4"/>
  <c r="B6227" i="106" s="1"/>
  <c r="D6227"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M41" i="3" l="1"/>
  <c r="B280" i="106"/>
  <c r="D280" i="106" s="1"/>
  <c r="J19" i="4"/>
  <c r="B6229" i="106" s="1"/>
  <c r="D6229" i="106" s="1"/>
  <c r="J20" i="4"/>
  <c r="B6230" i="106" s="1"/>
  <c r="D6230" i="106" s="1"/>
  <c r="F8" i="4"/>
  <c r="D8" i="146" s="1"/>
  <c r="D8" i="4"/>
  <c r="C8" i="146" s="1"/>
  <c r="B6223" i="106"/>
  <c r="D6223" i="106" s="1"/>
  <c r="K17" i="4"/>
  <c r="K19" i="4" s="1"/>
  <c r="B4144" i="106" s="1"/>
  <c r="D4144"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B2568" i="106"/>
  <c r="D2568" i="106" s="1"/>
  <c r="D54" i="36"/>
  <c r="B281" i="106"/>
  <c r="D281" i="106" s="1"/>
  <c r="D10" i="4"/>
  <c r="B4123" i="106" s="1"/>
  <c r="D4123" i="106" s="1"/>
  <c r="H13" i="118"/>
  <c r="J78" i="4"/>
  <c r="J81" i="4" s="1"/>
  <c r="F10" i="4"/>
  <c r="B4125" i="106" s="1"/>
  <c r="D4125" i="106" s="1"/>
  <c r="B2595" i="106"/>
  <c r="D2595" i="106" s="1"/>
  <c r="B3575" i="106"/>
  <c r="D3575" i="106" s="1"/>
  <c r="K20" i="4"/>
  <c r="B3576" i="106" s="1"/>
  <c r="D3576"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2574" i="106" l="1"/>
  <c r="D2574" i="106" s="1"/>
  <c r="F179" i="34"/>
  <c r="F79" i="34"/>
  <c r="K78" i="4"/>
  <c r="B3588" i="106" s="1"/>
  <c r="D3588" i="106" s="1"/>
  <c r="B6263" i="106"/>
  <c r="D6263" i="106" s="1"/>
  <c r="J41" i="3"/>
  <c r="B6215" i="106"/>
  <c r="D6215" i="106"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K81" i="4"/>
  <c r="B3567" i="106" s="1"/>
  <c r="D3567" i="106" s="1"/>
  <c r="D51" i="36"/>
  <c r="B6216" i="106"/>
  <c r="D6216" i="106" s="1"/>
  <c r="B123" i="106"/>
  <c r="D123" i="106" s="1"/>
  <c r="D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D65" i="36" l="1"/>
  <c r="B3591" i="106"/>
  <c r="D3591" i="106" s="1"/>
  <c r="K41" i="3"/>
  <c r="B3568" i="106" s="1"/>
  <c r="D3568" i="106" s="1"/>
  <c r="K82" i="4"/>
  <c r="K83" i="4" s="1"/>
  <c r="B6284" i="106" s="1"/>
  <c r="D6284" i="106" s="1"/>
  <c r="B189" i="106"/>
  <c r="D189" i="106" s="1"/>
  <c r="G41" i="3"/>
  <c r="N21" i="3"/>
  <c r="B140" i="106"/>
  <c r="D140" i="106" s="1"/>
  <c r="E41" i="3"/>
  <c r="B170" i="106"/>
  <c r="D170" i="106" s="1"/>
  <c r="F41" i="3"/>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6275" i="106" l="1"/>
  <c r="D6275" i="106" s="1"/>
  <c r="D52" i="36"/>
  <c r="B171" i="106"/>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<sst xmlns="http://schemas.openxmlformats.org/spreadsheetml/2006/main" count="5046" uniqueCount="2114">
  <si>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</si>
  <si>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</si>
  <si>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</si>
  <si>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</si>
  <si>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</si>
  <si>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</si>
  <si>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</si>
  <si>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</si>
  <si>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</si>
  <si>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</si>
  <si>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</si>
  <si>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</si>
  <si>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</si>
  <si>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</si>
  <si>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</si>
  <si>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</si>
  <si>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</si>
  <si>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</si>
  <si>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</si>
  <si>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</si>
  <si>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</si>
  <si>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</si>
  <si>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</si>
  <si>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</si>
  <si>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</si>
  <si>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</si>
  <si>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</si>
  <si>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</si>
  <si>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</si>
  <si>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</si>
  <si>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</si>
  <si>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</si>
  <si>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</si>
  <si>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</si>
  <si>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</si>
  <si>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</si>
  <si>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</si>
  <si>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</si>
  <si>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</si>
  <si>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</si>
  <si>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</si>
  <si>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</si>
  <si>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</si>
  <si>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</si>
  <si>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</si>
  <si>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</si>
  <si>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</si>
  <si>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</si>
  <si>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</si>
  <si>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</si>
  <si>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</si>
  <si>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</si>
  <si>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</si>
  <si>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</si>
  <si>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</si>
  <si>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</si>
  <si>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</si>
  <si>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</si>
  <si>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</si>
  <si>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</si>
  <si>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</si>
  <si>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</si>
  <si>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</si>
  <si>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</si>
  <si>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</si>
  <si>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</si>
  <si>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</si>
  <si>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</si>
  <si>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</si>
  <si>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</si>
  <si>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</si>
  <si>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</si>
  <si>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</si>
  <si>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</si>
  <si>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</si>
  <si>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</si>
  <si>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</si>
  <si>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</si>
  <si>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</si>
  <si>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</si>
  <si>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</si>
  <si>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</si>
  <si>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</si>
  <si>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</si>
  <si>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</si>
  <si>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</si>
  <si>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</si>
  <si>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</si>
  <si>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</si>
  <si>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</si>
  <si>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</si>
  <si>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</si>
  <si>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</si>
  <si>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</si>
  <si>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</si>
  <si>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</si>
  <si>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</si>
  <si>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</si>
  <si>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</si>
  <si>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</si>
  <si>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</si>
  <si>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</si>
  <si>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</si>
  <si>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</si>
  <si>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</si>
  <si>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</si>
  <si>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</si>
  <si>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</si>
  <si>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</si>
  <si>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</si>
  <si>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</si>
  <si>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</si>
  <si>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</si>
  <si>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</si>
  <si>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</si>
  <si>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</si>
  <si>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</si>
  <si>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</si>
  <si>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</si>
  <si>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</si>
  <si>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</si>
  <si>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</si>
  <si>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</si>
  <si>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</si>
  <si>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</si>
  <si>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</si>
  <si>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</si>
  <si>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</si>
  <si>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</si>
  <si>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</si>
  <si>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</si>
  <si>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</si>
  <si>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</si>
  <si>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</si>
  <si>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</si>
  <si>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</si>
  <si>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</si>
  <si>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</si>
  <si>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</si>
  <si>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</si>
  <si>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</si>
  <si>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</si>
  <si>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</si>
  <si>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</si>
  <si>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</si>
  <si>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</si>
  <si>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</si>
  <si>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</si>
  <si>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</si>
  <si>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</si>
  <si>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</si>
  <si>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</si>
  <si>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</si>
  <si>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</si>
  <si>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</si>
  <si>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</si>
  <si>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</si>
  <si>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</si>
  <si>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</si>
  <si>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</si>
  <si>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</si>
  <si>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</si>
  <si>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</si>
  <si>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</si>
  <si>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</si>
  <si>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</si>
  <si>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</si>
  <si>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</si>
  <si>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</si>
  <si>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</si>
  <si>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</si>
  <si>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</si>
  <si>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</si>
  <si>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</si>
  <si>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</si>
  <si>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</si>
  <si>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</si>
  <si>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</si>
  <si>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</si>
  <si>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</si>
  <si>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</si>
  <si>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</si>
  <si>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</si>
  <si>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</si>
  <si>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</si>
  <si>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</si>
  <si>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</si>
  <si>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</si>
  <si>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</si>
  <si>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</si>
  <si>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</si>
  <si>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</si>
  <si>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</si>
  <si>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</si>
  <si>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</si>
  <si>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</si>
  <si>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</si>
  <si>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</si>
  <si>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</si>
  <si>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</si>
  <si>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</si>
  <si>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</si>
  <si>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</si>
  <si>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</si>
  <si>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</si>
  <si>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</si>
  <si>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</si>
  <si>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</si>
  <si>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</si>
  <si>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</si>
  <si>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</si>
  <si>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</si>
  <si>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</si>
  <si>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</si>
  <si>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</si>
  <si>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</si>
  <si>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</si>
  <si>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</si>
  <si>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</si>
  <si>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</si>
  <si>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</si>
  <si>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</si>
  <si>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</si>
  <si>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</si>
  <si>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</si>
  <si>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</si>
  <si>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</si>
  <si>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</si>
  <si>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</si>
  <si>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</si>
  <si>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</si>
  <si>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</si>
  <si>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</si>
  <si>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</si>
  <si>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</si>
  <si>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</si>
  <si>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</si>
  <si>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</si>
  <si>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</si>
  <si>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</si>
  <si>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</si>
  <si>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</si>
  <si>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</si>
  <si>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</si>
  <si>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</si>
  <si>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</si>
  <si>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</si>
  <si>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</si>
  <si>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</si>
  <si>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</si>
  <si>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</si>
  <si>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</si>
  <si>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</si>
  <si>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</si>
  <si>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</si>
  <si>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</si>
  <si>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</si>
  <si>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</si>
  <si>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</si>
  <si>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</si>
  <si>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</si>
  <si>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</si>
  <si>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</si>
  <si>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</si>
  <si>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</si>
  <si>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</si>
  <si>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</si>
  <si>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</si>
  <si>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</si>
  <si>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</si>
  <si>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</si>
  <si>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</si>
  <si>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</si>
  <si>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</si>
  <si>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</si>
  <si>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</si>
  <si>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</si>
  <si>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</si>
  <si>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</si>
  <si>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</si>
  <si>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</si>
  <si>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</si>
  <si>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</si>
  <si>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</si>
  <si>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</si>
  <si>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</si>
  <si>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</si>
  <si>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</si>
  <si>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</si>
  <si>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</si>
  <si>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</si>
  <si>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</si>
  <si>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</si>
  <si>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</si>
  <si>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</si>
  <si>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</si>
  <si>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</si>
  <si>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</si>
  <si>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</si>
  <si>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</si>
  <si>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</si>
  <si>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</si>
  <si>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</si>
  <si>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</si>
  <si>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</si>
  <si>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</si>
  <si>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</si>
  <si>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</si>
  <si>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</si>
  <si>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</si>
  <si>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</si>
  <si>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</si>
  <si>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</si>
  <si>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</si>
  <si>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</si>
  <si>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</si>
  <si>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</si>
  <si>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</si>
  <si>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</si>
  <si>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</si>
  <si>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</si>
  <si>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</si>
  <si>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</si>
  <si>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</si>
  <si>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</si>
  <si>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</si>
  <si>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</si>
  <si>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</si>
  <si>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</si>
  <si>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</si>
  <si>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</si>
  <si>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</si>
  <si>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</si>
  <si>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</si>
  <si>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</si>
  <si>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</si>
  <si>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</si>
  <si>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</si>
  <si>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</si>
  <si>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</si>
  <si>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</si>
  <si>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</si>
  <si>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</si>
  <si>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</si>
  <si>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</si>
  <si>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</si>
  <si>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</si>
  <si>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</si>
  <si>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</si>
  <si>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</si>
  <si>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</si>
  <si>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</si>
  <si>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</si>
  <si>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</si>
  <si>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</si>
  <si>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</si>
  <si>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</si>
  <si>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</si>
  <si>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</si>
  <si>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</si>
  <si>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</si>
  <si>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</si>
  <si>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</si>
  <si>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</si>
  <si>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</si>
  <si>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</si>
  <si>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</si>
  <si>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</si>
  <si>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</si>
  <si>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</si>
  <si>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</si>
  <si>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</si>
  <si>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</si>
  <si>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</si>
  <si>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</si>
  <si>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</si>
  <si>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</si>
  <si>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</si>
  <si>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</si>
  <si>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</si>
  <si>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</si>
  <si>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</si>
  <si>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</si>
  <si>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</si>
  <si>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</si>
  <si>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</si>
  <si>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</si>
  <si>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</si>
  <si>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</si>
  <si>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</si>
  <si>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</si>
  <si>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</si>
  <si>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</si>
  <si>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</si>
  <si>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</si>
  <si>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</si>
  <si>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</si>
  <si>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</si>
  <si>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</si>
  <si>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</si>
  <si>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</si>
  <si>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</si>
  <si>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</si>
  <si>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</si>
  <si>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</si>
  <si>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</si>
  <si>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</si>
  <si>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</si>
  <si>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</si>
  <si>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</si>
  <si>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</si>
  <si>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</si>
  <si>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</si>
  <si>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</si>
  <si>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</si>
  <si>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</si>
  <si>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</si>
  <si>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</si>
  <si>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</si>
  <si>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</si>
  <si>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</si>
  <si>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</si>
  <si>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</si>
  <si>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</si>
  <si>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</si>
  <si>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</si>
  <si>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</si>
  <si>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</si>
  <si>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</si>
  <si>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</si>
  <si>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</si>
  <si>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</si>
  <si>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</si>
  <si>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</si>
  <si>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</si>
  <si>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</si>
  <si>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</si>
  <si>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</si>
  <si>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</si>
  <si>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</si>
  <si>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</si>
  <si>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</si>
  <si>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</si>
  <si>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</si>
  <si>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</si>
  <si>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</si>
  <si>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</si>
  <si>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</si>
  <si>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</si>
  <si>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</si>
  <si>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</si>
  <si>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</si>
  <si>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</si>
  <si>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</si>
  <si>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</si>
  <si>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</si>
  <si>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</si>
  <si>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</si>
  <si>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</si>
  <si>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</si>
  <si>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</si>
  <si>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</si>
  <si>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</si>
  <si>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</si>
  <si>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</si>
  <si>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</si>
  <si>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</si>
  <si>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</si>
  <si>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</si>
  <si>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</si>
  <si>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</si>
  <si>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</si>
  <si>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</si>
  <si>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</si>
  <si>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</si>
  <si>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</si>
  <si>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</si>
  <si>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</si>
  <si>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</si>
  <si>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</si>
  <si>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</si>
  <si>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</si>
  <si>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</si>
  <si>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</si>
  <si>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</si>
  <si>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</si>
  <si>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</si>
  <si>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</si>
  <si>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</si>
  <si>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</si>
  <si>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</si>
  <si>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</si>
  <si>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</si>
  <si>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</si>
  <si>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</si>
  <si>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</si>
  <si>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</si>
  <si>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</si>
  <si>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</si>
  <si>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</si>
  <si>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</si>
  <si>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</si>
  <si>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</si>
  <si>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</si>
  <si>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</si>
  <si>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</si>
  <si>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</si>
  <si>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</si>
  <si>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</si>
  <si>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</si>
  <si>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</si>
  <si>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</si>
  <si>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</si>
  <si>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</si>
  <si>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</si>
  <si>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</si>
  <si>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</si>
  <si>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</si>
  <si>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</si>
  <si>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</si>
  <si>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</si>
  <si>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</si>
  <si>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</si>
  <si>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</si>
  <si>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</si>
  <si>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</si>
  <si>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</si>
  <si>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</si>
  <si>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</si>
  <si>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</si>
  <si>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</si>
  <si>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</si>
  <si>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</si>
  <si>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</si>
  <si>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</si>
  <si>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</si>
  <si>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</si>
  <si>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</si>
  <si>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</si>
  <si>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</si>
  <si>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</si>
  <si>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</si>
  <si>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</si>
  <si>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</si>
  <si>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</si>
  <si>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</si>
  <si>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</si>
  <si>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</si>
  <si>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</si>
  <si>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</si>
  <si>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</si>
  <si>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</si>
  <si>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</si>
  <si>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</si>
  <si>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</si>
  <si>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</si>
  <si>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</si>
  <si>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</si>
  <si>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</si>
  <si>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</si>
  <si>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</si>
  <si>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</si>
  <si>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</si>
  <si>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</si>
  <si>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</si>
  <si>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</si>
  <si>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</si>
  <si>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</si>
  <si>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</si>
  <si>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</si>
  <si>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</si>
  <si>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</si>
  <si>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</si>
  <si>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</si>
  <si>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</si>
  <si>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</si>
  <si>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</si>
  <si>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</si>
  <si>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</si>
  <si>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</si>
  <si>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</si>
  <si>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</si>
  <si>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</si>
  <si>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</si>
  <si>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</si>
  <si>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</si>
  <si>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</si>
  <si>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</si>
  <si>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</si>
  <si>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</si>
  <si>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</si>
  <si>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</si>
  <si>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</si>
  <si>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</si>
  <si>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</si>
  <si>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</si>
  <si>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</si>
  <si>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</si>
  <si>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</si>
  <si>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</si>
  <si>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</si>
  <si>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</si>
  <si>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</si>
  <si>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</si>
  <si>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</si>
  <si>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</si>
  <si>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</si>
  <si>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</si>
  <si>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</si>
  <si>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</si>
  <si>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</si>
  <si>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</si>
  <si>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</si>
  <si>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</si>
  <si>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</si>
  <si>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</si>
  <si>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</si>
  <si>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</si>
  <si>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</si>
  <si>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</si>
  <si>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</si>
  <si>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</si>
  <si>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</si>
  <si>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</si>
  <si>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</si>
  <si>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</si>
  <si>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</si>
  <si>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</si>
  <si>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</si>
  <si>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</si>
  <si>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</si>
  <si>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</si>
  <si>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</si>
  <si>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</si>
  <si>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</si>
  <si>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</si>
  <si>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</si>
  <si>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</si>
  <si>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</si>
  <si>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</si>
  <si>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</si>
  <si>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</si>
  <si>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</si>
  <si>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</si>
  <si>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</si>
  <si>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</si>
  <si>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</si>
  <si>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</si>
  <si>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</si>
  <si>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</si>
  <si>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</si>
  <si>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</si>
  <si>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</si>
  <si>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</si>
  <si>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</si>
  <si>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</si>
  <si>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</si>
  <si>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</si>
  <si>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</si>
  <si>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</si>
  <si>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</si>
  <si>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</si>
  <si>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</si>
  <si>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</si>
  <si>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</si>
  <si>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</si>
  <si>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</si>
  <si>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</si>
  <si>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</si>
  <si>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</si>
  <si>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</si>
  <si>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</si>
  <si>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</si>
  <si>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</si>
  <si>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</si>
  <si>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</si>
  <si>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</si>
  <si>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</si>
  <si>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</si>
  <si>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</si>
  <si>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</si>
  <si>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</si>
  <si>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</si>
  <si>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</si>
  <si>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</si>
  <si>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</si>
  <si>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</si>
  <si>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</si>
  <si>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</si>
  <si>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</si>
  <si>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</si>
  <si>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</si>
  <si>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</si>
  <si>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</si>
  <si>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</si>
  <si>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</si>
  <si>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</si>
  <si>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</si>
  <si>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</si>
  <si>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</si>
  <si>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</si>
  <si>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</si>
  <si>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</si>
  <si>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</si>
  <si>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</si>
  <si>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</si>
  <si>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</si>
  <si>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</si>
  <si>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</si>
  <si>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</si>
  <si>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</si>
  <si>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</si>
  <si>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</si>
  <si>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</si>
  <si>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</si>
  <si>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</si>
  <si>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</si>
  <si>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</si>
  <si>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</si>
  <si>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</si>
  <si>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</si>
  <si>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</si>
  <si>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</si>
  <si>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</si>
  <si>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</si>
  <si>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</si>
  <si>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</si>
  <si>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</si>
  <si>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</si>
  <si>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</si>
  <si>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</si>
  <si>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</si>
  <si>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</si>
  <si>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</si>
  <si>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</si>
  <si>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</si>
  <si>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</si>
  <si>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</si>
  <si>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</si>
  <si>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</si>
  <si>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</si>
  <si>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</si>
  <si>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</si>
  <si>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</si>
  <si>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</si>
  <si>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</si>
  <si>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</si>
  <si>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</si>
  <si>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</si>
  <si>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</si>
  <si>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</si>
  <si>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</si>
  <si>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</si>
  <si>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</si>
  <si>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</si>
  <si>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</si>
  <si>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</si>
  <si>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</si>
  <si>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</si>
  <si>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</si>
  <si>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</si>
  <si>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</si>
  <si>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</si>
  <si>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</si>
  <si>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</si>
  <si>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</si>
  <si>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</si>
  <si>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</si>
  <si>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</si>
  <si>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</si>
  <si>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</si>
  <si>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</si>
  <si>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</si>
  <si>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</si>
  <si>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</si>
  <si>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</si>
  <si>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</si>
  <si>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</si>
  <si>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</si>
  <si>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</si>
  <si>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</si>
  <si>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</si>
  <si>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</si>
  <si>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</si>
  <si>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</si>
  <si>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</si>
  <si>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</si>
  <si>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</si>
  <si>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</si>
  <si>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</si>
  <si>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</si>
  <si>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</si>
  <si>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</si>
  <si>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</si>
  <si>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</si>
  <si>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</si>
  <si>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</si>
  <si>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</si>
  <si>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</si>
  <si>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</si>
  <si>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</si>
  <si>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</si>
  <si>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</si>
  <si>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</si>
  <si>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</si>
  <si>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</si>
  <si>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</si>
  <si>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</si>
  <si>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</si>
  <si>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</si>
  <si>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</si>
  <si>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</si>
  <si>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</si>
  <si>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</si>
  <si>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</si>
  <si>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</si>
  <si>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</si>
  <si>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</si>
  <si>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</si>
  <si>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</si>
  <si>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</si>
  <si>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</si>
  <si>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</si>
  <si>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</si>
  <si>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</si>
  <si>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</si>
  <si>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</si>
  <si>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</si>
  <si>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</si>
  <si>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</si>
  <si>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</si>
  <si>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</si>
  <si>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</si>
  <si>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</si>
  <si>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</si>
  <si>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</si>
  <si>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</si>
  <si>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</si>
  <si>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</si>
  <si>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</si>
  <si>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</si>
  <si>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</si>
  <si>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</si>
  <si>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</si>
  <si>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</si>
  <si>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</si>
  <si>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</si>
  <si>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</si>
  <si>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</si>
  <si>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</si>
  <si>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</si>
  <si>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</si>
  <si>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</si>
  <si>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</si>
  <si>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</si>
  <si>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</si>
  <si>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</si>
  <si>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</si>
  <si>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</si>
  <si>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</si>
  <si>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</si>
  <si>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</si>
  <si>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</si>
  <si>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</si>
  <si>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</si>
  <si>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</si>
  <si>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</si>
  <si>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</si>
  <si>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</si>
  <si>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</si>
  <si>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</si>
  <si>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</si>
  <si>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</si>
  <si>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</si>
  <si>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</si>
  <si>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</si>
  <si>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</si>
  <si>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</si>
  <si>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</si>
  <si>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</si>
  <si>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</si>
  <si>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</si>
  <si>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</si>
  <si>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</si>
  <si>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</si>
  <si>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</si>
  <si>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</si>
  <si>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</si>
  <si>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</si>
  <si>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</si>
  <si>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</si>
  <si>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</si>
  <si>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</si>
  <si>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</si>
  <si>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</si>
  <si>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</si>
  <si>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</si>
  <si>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</si>
  <si>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</si>
  <si>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</si>
  <si>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</si>
  <si>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</si>
  <si>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</si>
  <si>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</si>
  <si>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</si>
  <si>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</si>
  <si>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</si>
  <si>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</si>
  <si>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</si>
  <si>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</si>
  <si>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</si>
  <si>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</si>
  <si>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</si>
  <si>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</si>
  <si>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</si>
  <si>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</si>
  <si>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</si>
  <si>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</si>
  <si>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</si>
  <si>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</si>
  <si>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</si>
  <si>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</si>
  <si>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</si>
  <si>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</si>
  <si>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</si>
  <si>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</si>
  <si>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</si>
  <si>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</si>
  <si>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</si>
  <si>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</si>
  <si>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</si>
  <si>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</si>
  <si>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</si>
  <si>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</si>
  <si>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</si>
  <si>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</si>
  <si>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</si>
  <si>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</si>
  <si>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</si>
  <si>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</si>
  <si>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</si>
  <si>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</si>
  <si>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</si>
  <si>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</si>
  <si>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</si>
  <si>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</si>
  <si>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</si>
  <si>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</si>
  <si>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</si>
  <si>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</si>
  <si>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</si>
  <si>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</si>
  <si>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</si>
  <si>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</si>
  <si>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</si>
  <si>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</si>
  <si>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</si>
  <si>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</si>
  <si>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</si>
  <si>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</si>
  <si>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</si>
  <si>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</si>
  <si>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</si>
  <si>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</si>
  <si>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</si>
  <si>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</si>
  <si>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</si>
  <si>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</si>
  <si>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</si>
  <si>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</si>
  <si>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</si>
  <si>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</si>
  <si>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</si>
  <si>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</si>
  <si>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</si>
  <si>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</si>
  <si>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</si>
  <si>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</si>
  <si>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</si>
  <si>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</si>
  <si>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</si>
  <si>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</si>
  <si>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</si>
  <si>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</si>
  <si>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</si>
  <si>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</si>
  <si>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</si>
  <si>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</si>
  <si>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</si>
  <si>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</si>
  <si>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</si>
  <si>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</si>
  <si>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</si>
  <si>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</si>
  <si>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</si>
  <si>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</si>
  <si>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</si>
  <si>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</si>
  <si>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</si>
  <si>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</si>
  <si>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</si>
  <si>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</si>
  <si>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</si>
  <si>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</si>
  <si>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</si>
  <si>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</si>
  <si>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</si>
  <si>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</si>
  <si>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</si>
  <si>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</si>
  <si>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</si>
  <si>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</si>
  <si>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</si>
  <si>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</si>
  <si>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</si>
  <si>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</si>
  <si>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</si>
  <si>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</si>
  <si>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</si>
  <si>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</si>
  <si>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</si>
  <si>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</si>
  <si>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</si>
  <si>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</si>
  <si>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</si>
  <si>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</si>
  <si>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</si>
  <si>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</si>
  <si>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</si>
  <si>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</si>
  <si>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</si>
  <si>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</si>
  <si>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</si>
  <si>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</si>
  <si>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</si>
  <si>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</si>
  <si>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</si>
  <si>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</si>
  <si>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</si>
  <si>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</si>
  <si>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</si>
  <si>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</si>
  <si>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</si>
  <si>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</si>
  <si>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</si>
  <si>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</si>
  <si>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</si>
  <si>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</si>
  <si>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</si>
  <si>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</si>
  <si>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</si>
  <si>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</si>
  <si>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</si>
  <si>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</si>
  <si>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</si>
  <si>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</si>
  <si>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</si>
  <si>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</si>
  <si>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</si>
  <si>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</si>
  <si>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</si>
  <si>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</si>
  <si>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</si>
  <si>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</si>
  <si>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</si>
  <si>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</si>
  <si>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</si>
  <si>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</si>
  <si>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</si>
  <si>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</si>
  <si>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</si>
  <si>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</si>
  <si>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</si>
  <si>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</si>
  <si>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</si>
  <si>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</si>
  <si>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</si>
  <si>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</si>
  <si>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</si>
  <si>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</si>
  <si>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</si>
  <si>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</si>
  <si>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</si>
  <si>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</si>
  <si>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</si>
  <si>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</si>
  <si>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</si>
  <si>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</si>
  <si>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</si>
  <si>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</si>
  <si>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</si>
  <si>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</si>
  <si>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</si>
  <si>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</si>
  <si>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</si>
  <si>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</si>
  <si>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</si>
  <si>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</si>
  <si>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</si>
  <si>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</si>
  <si>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</si>
  <si>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</si>
  <si>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</si>
  <si>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</si>
  <si>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</si>
  <si>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</si>
  <si>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</si>
  <si>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</si>
  <si>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</si>
  <si>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</si>
  <si>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</si>
  <si>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</si>
  <si>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</si>
  <si>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</si>
  <si>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</si>
  <si>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</si>
  <si>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</si>
  <si>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</si>
  <si>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</si>
  <si>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</si>
  <si>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</si>
  <si>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</si>
  <si>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</si>
  <si>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</si>
  <si>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</si>
  <si>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</si>
  <si>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</si>
  <si>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</si>
  <si>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</si>
  <si>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</si>
  <si>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</si>
  <si>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</si>
  <si>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</si>
  <si>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</si>
  <si>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</si>
  <si>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</si>
  <si>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</si>
  <si>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</si>
  <si>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</si>
  <si>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</si>
  <si>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</si>
  <si>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</si>
  <si>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</si>
  <si>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</si>
  <si>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</si>
  <si>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</si>
  <si>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</si>
  <si>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</si>
  <si>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</si>
  <si>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</si>
  <si>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</si>
  <si>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</si>
  <si>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</si>
  <si>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</si>
  <si>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</si>
  <si>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</si>
  <si>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</si>
  <si>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</si>
  <si>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</si>
  <si>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</si>
  <si>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</si>
  <si>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</si>
  <si>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</si>
  <si>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</si>
  <si>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</si>
  <si>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</si>
  <si>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</si>
  <si>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</si>
  <si>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</si>
  <si>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</si>
  <si>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</si>
  <si>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</si>
  <si>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</si>
  <si>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</si>
  <si>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</si>
  <si>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</si>
  <si>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</si>
  <si>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</si>
  <si>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</si>
  <si>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</si>
  <si>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</si>
  <si>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</si>
  <si>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</si>
  <si>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</si>
  <si>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</si>
  <si>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</si>
  <si>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</si>
  <si>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</si>
  <si>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</si>
  <si>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</si>
  <si>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</si>
  <si>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</si>
  <si>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</si>
  <si>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</si>
  <si>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</si>
  <si>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</si>
  <si>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</si>
  <si>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</si>
  <si>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</si>
  <si>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</si>
  <si>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</si>
  <si>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</si>
  <si>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</si>
  <si>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</si>
  <si>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</si>
  <si>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</si>
  <si>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</si>
  <si>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</si>
  <si>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</si>
  <si>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</si>
  <si>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</si>
  <si>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</si>
  <si>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</si>
  <si>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</si>
  <si>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</si>
  <si>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</si>
  <si>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</si>
  <si>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</si>
  <si>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</si>
  <si>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</si>
  <si>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</si>
  <si>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</si>
  <si>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</si>
  <si>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</si>
  <si>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</si>
  <si>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</si>
  <si>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</si>
  <si>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</si>
  <si>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</si>
  <si>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</si>
  <si>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</si>
  <si>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</si>
  <si>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</si>
  <si>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</si>
  <si>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</si>
  <si>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</si>
  <si>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</si>
  <si>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</si>
  <si>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</si>
  <si>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</si>
  <si>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</si>
  <si>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</si>
  <si>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</si>
  <si>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</si>
  <si>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</si>
  <si>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</si>
  <si>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</si>
  <si>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</si>
  <si>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</si>
  <si>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</si>
  <si>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</si>
  <si>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</si>
  <si>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</si>
  <si>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</si>
  <si>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</si>
  <si>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</si>
  <si>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</si>
  <si>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</si>
  <si>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</si>
  <si>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</si>
  <si>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</si>
  <si>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</si>
  <si>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</si>
  <si>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</si>
  <si>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</si>
  <si>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</si>
  <si>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</si>
  <si>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</si>
  <si>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</si>
  <si>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</si>
  <si>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</si>
  <si>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</si>
  <si>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</si>
  <si>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</si>
  <si>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</si>
  <si>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</si>
  <si>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</si>
  <si>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</si>
  <si>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</si>
  <si>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</si>
  <si>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</si>
  <si>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</si>
  <si>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</si>
  <si>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</si>
  <si>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</si>
  <si>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</si>
  <si>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</si>
  <si>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</si>
  <si>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</si>
  <si>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</si>
  <si>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</si>
  <si>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</si>
  <si>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</si>
  <si>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</si>
  <si>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</si>
  <si>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</si>
  <si>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</si>
  <si>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</si>
  <si>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</si>
  <si>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</si>
  <si>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</si>
  <si>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</si>
  <si>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</si>
  <si>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</si>
  <si>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</si>
  <si>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</si>
  <si>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</si>
  <si>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</si>
  <si>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</si>
  <si>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</si>
  <si>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</si>
  <si>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</si>
  <si>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</si>
  <si>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</si>
  <si>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</si>
  <si>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</si>
  <si>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</si>
  <si>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</si>
  <si>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</si>
  <si>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</si>
  <si>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</si>
  <si>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</si>
  <si>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</si>
  <si>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</si>
  <si>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</si>
  <si>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</si>
  <si>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</si>
  <si>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</si>
  <si>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</si>
  <si>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</si>
  <si>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</si>
  <si>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</si>
  <si>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</si>
  <si>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</si>
  <si>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</si>
  <si>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</si>
  <si>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</si>
  <si>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</si>
  <si>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</si>
  <si>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</si>
  <si>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</si>
  <si>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</si>
  <si>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</si>
  <si>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</si>
  <si>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</si>
  <si>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</si>
  <si>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</si>
  <si>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</si>
  <si>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</si>
  <si>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</si>
  <si>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</si>
  <si>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</si>
  <si>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</si>
  <si>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</si>
  <si>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</si>
  <si>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</si>
  <si>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</si>
  <si>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</si>
  <si>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</si>
  <si>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</si>
  <si>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</si>
  <si>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</si>
  <si>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</si>
  <si>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</si>
  <si>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</si>
  <si>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</si>
  <si>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</si>
  <si>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</si>
  <si>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</si>
  <si>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</si>
  <si>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</si>
  <si>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</si>
  <si>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</si>
  <si>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</si>
  <si>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</si>
  <si>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</si>
  <si>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</si>
  <si>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</si>
  <si>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</si>
  <si>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</si>
  <si>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</si>
  <si>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</si>
  <si>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</si>
  <si>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</si>
  <si>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</si>
  <si>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</si>
  <si>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</si>
  <si>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</si>
  <si>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</si>
  <si>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</si>
  <si>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</si>
  <si>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</si>
  <si>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</si>
  <si>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</si>
  <si>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</si>
  <si>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</si>
  <si>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</si>
  <si>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</si>
  <si>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</si>
  <si>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</si>
  <si>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</si>
  <si>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</si>
  <si>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</si>
  <si>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</si>
  <si>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</si>
  <si>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</si>
  <si>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</si>
  <si>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</si>
  <si>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</si>
  <si>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</si>
  <si>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</si>
  <si>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</si>
  <si>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</si>
  <si>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</si>
  <si>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</si>
  <si>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</si>
  <si>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</si>
  <si>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</si>
  <si>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</si>
  <si>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</si>
  <si>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</si>
  <si>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</si>
  <si>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</si>
  <si>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</si>
  <si>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</si>
  <si>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</si>
  <si>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</si>
  <si>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</si>
  <si>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</si>
  <si>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</si>
  <si>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</si>
  <si>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</si>
  <si>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</si>
  <si>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</si>
  <si>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</si>
  <si>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</si>
  <si>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</si>
  <si>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</si>
  <si>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</si>
  <si>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</si>
  <si>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</si>
  <si>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</si>
  <si>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</si>
  <si>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</si>
  <si>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</si>
  <si>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</si>
  <si>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</si>
  <si>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</si>
  <si>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</si>
  <si>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</si>
  <si>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</si>
  <si>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</si>
  <si>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</si>
  <si>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</si>
  <si>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</si>
  <si>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</si>
  <si>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</si>
  <si>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</si>
  <si>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</si>
  <si>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</si>
  <si>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</si>
  <si>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</si>
  <si>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</si>
  <si>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</si>
  <si>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</si>
  <si>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</si>
  <si>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</si>
  <si>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</si>
  <si>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</si>
  <si>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</si>
  <si>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</si>
  <si>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</si>
  <si>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</si>
  <si>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</si>
  <si>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</si>
  <si>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</si>
  <si>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</si>
  <si>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</si>
  <si>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</si>
  <si>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</si>
  <si>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</si>
  <si>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</si>
  <si>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</si>
  <si>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</si>
  <si>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</si>
  <si>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</si>
  <si>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</si>
  <si>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</si>
  <si>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</si>
  <si>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</si>
  <si>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</si>
  <si>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</si>
  <si>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</si>
  <si>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</si>
  <si>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</si>
  <si>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</si>
  <si>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</si>
  <si>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</si>
  <si>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</si>
  <si>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</si>
  <si>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</si>
  <si>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</si>
  <si>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</si>
  <si>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</si>
  <si>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</si>
  <si>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</si>
  <si>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</si>
  <si>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</si>
  <si>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</si>
  <si>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</si>
  <si>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</si>
  <si>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</si>
  <si>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</si>
  <si>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</si>
  <si>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</si>
  <si>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</si>
  <si>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</si>
  <si>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</si>
  <si>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</si>
  <si>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</si>
  <si>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</si>
  <si>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</si>
  <si>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</si>
  <si>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</si>
  <si>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</si>
  <si>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</si>
  <si>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</si>
  <si>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</si>
  <si>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</si>
  <si>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</si>
  <si>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</si>
  <si>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</si>
  <si>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</si>
  <si>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</si>
  <si>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</si>
  <si>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</si>
  <si>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</si>
  <si>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</si>
  <si>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</si>
  <si>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</si>
  <si>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</si>
  <si>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</si>
  <si>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</si>
  <si>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</si>
  <si>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</si>
  <si>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</si>
  <si>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</si>
  <si>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</si>
  <si>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</si>
  <si>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</si>
  <si>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</si>
  <si>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</si>
  <si>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</si>
  <si>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</si>
  <si>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</si>
  <si>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</si>
  <si>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</si>
  <si>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</si>
  <si>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</si>
  <si>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</si>
  <si>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</si>
  <si>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</si>
  <si>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</si>
  <si>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</si>
  <si>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</si>
  <si>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</si>
  <si>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</si>
  <si>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</si>
  <si>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</si>
  <si>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</si>
  <si>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</si>
  <si>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</si>
  <si>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</si>
  <si>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</si>
  <si>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</si>
  <si>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</si>
  <si>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</si>
  <si>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</si>
  <si>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</si>
  <si>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</si>
  <si>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</si>
  <si>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</si>
  <si>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</si>
  <si>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</si>
  <si>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</si>
  <si>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</si>
  <si>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</si>
  <si>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</si>
  <si>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</si>
  <si>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</si>
  <si>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</si>
  <si>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</si>
  <si>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</si>
  <si>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</si>
  <si>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</si>
  <si>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</si>
  <si>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</si>
  <si>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</si>
  <si>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</si>
  <si>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</si>
  <si>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</si>
  <si>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</si>
  <si>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</si>
  <si>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</si>
  <si>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</si>
  <si>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</si>
  <si>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</si>
  <si>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</si>
  <si>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</si>
  <si>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</si>
  <si>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</si>
  <si>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</si>
  <si>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</si>
  <si>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</si>
  <si>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</si>
  <si>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</si>
  <si>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</si>
  <si>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</si>
  <si>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</si>
  <si>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</si>
  <si>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</si>
  <si>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</si>
  <si>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</si>
  <si>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</si>
  <si>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</si>
  <si>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</si>
  <si>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</si>
  <si>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</si>
  <si>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</si>
  <si>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</si>
  <si>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</si>
  <si>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</si>
  <si>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</si>
  <si>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</si>
  <si>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</si>
  <si>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</si>
  <si>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</si>
  <si>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</si>
  <si>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</si>
  <si>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</si>
  <si>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</si>
  <si>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</si>
  <si>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</si>
  <si>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</si>
  <si>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</si>
  <si>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</si>
  <si>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</si>
  <si>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</si>
  <si>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</si>
  <si>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</si>
  <si>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</si>
  <si>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</si>
  <si>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</si>
  <si>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</si>
  <si>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</si>
  <si>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</si>
  <si>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</si>
  <si>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</si>
  <si>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</si>
  <si>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</si>
  <si>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</si>
  <si>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</si>
  <si>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</si>
  <si>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</si>
  <si>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</si>
  <si>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</si>
  <si>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</si>
  <si>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</si>
  <si>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</si>
  <si>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</si>
  <si>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</si>
  <si>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</si>
  <si>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</si>
  <si>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</si>
  <si>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</si>
  <si>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</si>
  <si>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</si>
  <si>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</si>
  <si>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</si>
  <si>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</si>
  <si>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</si>
  <si>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</si>
  <si>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</si>
  <si>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</si>
  <si>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</si>
  <si>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</si>
  <si>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</si>
  <si>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</si>
  <si>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</si>
  <si>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</si>
  <si>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</si>
  <si>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</si>
  <si>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</si>
  <si>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</si>
  <si>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</si>
  <si>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</si>
  <si>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</si>
  <si>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</si>
  <si>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</si>
  <si>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</si>
  <si>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</si>
  <si>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</si>
  <si>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</si>
  <si>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</si>
  <si>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</si>
  <si>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</si>
  <si>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</si>
  <si>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</si>
  <si>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</si>
  <si>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</si>
  <si>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</si>
  <si>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</si>
  <si>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</si>
  <si>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</si>
  <si>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</si>
  <si>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</si>
  <si>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</si>
  <si>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</si>
  <si>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</si>
  <si>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</si>
  <si>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</si>
  <si>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</si>
  <si>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</si>
  <si>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</si>
  <si>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</si>
  <si>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</si>
  <si>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</si>
  <si>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</si>
  <si>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</si>
  <si>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</si>
  <si>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</si>
  <si>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</si>
  <si>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</si>
  <si>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</si>
  <si>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</si>
  <si>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</si>
  <si>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</si>
  <si>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</si>
  <si>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</si>
  <si>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</si>
  <si>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</si>
  <si>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</si>
  <si>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</si>
  <si>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</si>
  <si>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</si>
  <si>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</si>
  <si>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</si>
  <si>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</si>
  <si>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</si>
  <si>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</si>
  <si>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</si>
  <si>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</si>
  <si>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</si>
  <si>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</si>
  <si>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</si>
  <si>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</si>
  <si>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</si>
  <si>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</si>
  <si>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</si>
  <si>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</si>
  <si>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</si>
  <si>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</si>
  <si>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</si>
  <si>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</si>
  <si>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</si>
  <si>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</si>
  <si>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</si>
  <si>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</si>
  <si>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</si>
  <si>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</si>
  <si>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</si>
  <si>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</si>
  <si>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</si>
  <si>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</si>
  <si>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</si>
  <si>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</si>
  <si>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</si>
  <si>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</si>
  <si>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</si>
  <si>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</si>
  <si>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</si>
  <si>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</si>
  <si>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</si>
  <si>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</si>
  <si>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</si>
  <si>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</si>
  <si>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</si>
  <si>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</si>
  <si>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</si>
  <si>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</si>
  <si>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</si>
  <si>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</si>
  <si>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</si>
  <si>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</si>
  <si>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</si>
  <si>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</si>
  <si>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</si>
  <si>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</si>
  <si>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</si>
  <si>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</si>
  <si>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</si>
  <si>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</si>
  <si>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</si>
  <si>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</si>
  <si>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</si>
  <si>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</si>
  <si>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</si>
  <si>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</si>
  <si>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</si>
  <si>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</si>
  <si>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</si>
  <si>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</si>
  <si>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</si>
  <si>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</si>
  <si>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</si>
  <si>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</si>
  <si>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</si>
  <si>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</si>
  <si>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</si>
  <si>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</si>
  <si>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</si>
  <si>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</si>
  <si>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</si>
  <si>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</si>
  <si>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</si>
  <si>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</si>
  <si>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</si>
  <si>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</si>
  <si>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</si>
  <si>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</si>
  <si>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</si>
  <si>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</si>
  <si>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</si>
  <si>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</si>
  <si>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</si>
  <si>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</si>
  <si>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</si>
  <si>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</si>
  <si>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</si>
  <si>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</si>
  <si>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</si>
  <si>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</si>
  <si>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</si>
  <si>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</si>
  <si>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</si>
  <si>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</si>
  <si>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</si>
  <si>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</si>
  <si>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</si>
  <si>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</si>
  <si>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</si>
  <si>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</si>
  <si>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</si>
  <si>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</si>
  <si>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</si>
  <si>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</si>
  <si>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</si>
  <si>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</si>
  <si>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</si>
  <si>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</si>
  <si>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</si>
  <si>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</si>
  <si>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</si>
  <si>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</si>
  <si>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</si>
  <si>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</si>
  <si>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</si>
  <si>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</si>
  <si>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</si>
  <si>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</si>
  <si>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</si>
  <si>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</si>
  <si>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</si>
  <si>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</si>
  <si>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</si>
  <si>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</si>
  <si>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</si>
  <si>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</si>
  <si>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</si>
  <si>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</si>
  <si>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</si>
  <si>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</si>
  <si>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</si>
  <si>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</si>
  <si>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</si>
  <si>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</si>
  <si>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</si>
  <si>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</si>
  <si>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</si>
  <si>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</si>
  <si>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</si>
  <si>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</si>
  <si>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</si>
  <si>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</si>
  <si>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</si>
  <si>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</si>
  <si>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</si>
  <si>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</si>
  <si>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</si>
  <si>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</si>
  <si>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</si>
  <si>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</si>
  <si>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</si>
  <si>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</si>
  <si>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</si>
  <si>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</si>
  <si>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</si>
  <si>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</si>
  <si>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</si>
  <si>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</si>
  <si>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</si>
  <si>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</si>
  <si>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</si>
  <si>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</si>
  <si>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</si>
  <si>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</si>
  <si>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</si>
  <si>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</si>
  <si>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</si>
  <si>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</si>
  <si>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</si>
  <si>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</si>
  <si>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</si>
  <si>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</si>
  <si>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</si>
  <si>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</si>
  <si>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</si>
  <si>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</si>
  <si>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</si>
  <si>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</si>
  <si>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</si>
  <si>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</si>
  <si>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</si>
  <si>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</si>
  <si>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</si>
  <si>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</si>
  <si>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</si>
  <si>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</si>
  <si>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</si>
  <si>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</si>
  <si>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</si>
  <si>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</si>
  <si>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</si>
  <si>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</si>
  <si>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</si>
  <si>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</si>
  <si>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</si>
  <si>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</si>
  <si>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</si>
  <si>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</si>
  <si>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</si>
  <si>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</si>
  <si>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</si>
  <si>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</si>
  <si>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</si>
  <si>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</si>
  <si>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</si>
  <si>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</si>
  <si>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</si>
  <si>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</si>
  <si>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</si>
  <si>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</si>
  <si>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</si>
  <si>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</si>
  <si>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</si>
  <si>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</si>
  <si>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</si>
  <si>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</si>
  <si>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</si>
  <si>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</si>
  <si>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</si>
  <si>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</si>
  <si>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</si>
  <si>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</si>
  <si>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</si>
  <si>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</si>
  <si>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</si>
  <si>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</si>
  <si>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</si>
  <si>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</si>
  <si>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</si>
  <si>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</si>
  <si>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</si>
  <si>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</si>
  <si>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</si>
  <si>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</si>
  <si>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</si>
  <si>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</si>
  <si>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</si>
  <si>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</si>
  <si>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</si>
  <si>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</si>
  <si>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</si>
  <si>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</si>
  <si>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</si>
  <si>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</si>
  <si>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</si>
  <si>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</si>
  <si>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</si>
  <si>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</si>
  <si>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</si>
  <si>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</si>
  <si>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</si>
  <si>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</si>
  <si>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</si>
  <si>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</si>
  <si>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</si>
  <si>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</si>
  <si>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</si>
  <si>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</si>
  <si>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</si>
  <si>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</si>
  <si>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</si>
  <si>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</si>
  <si>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</si>
  <si>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</si>
  <si>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</si>
  <si>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</si>
  <si>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</si>
  <si>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</si>
  <si>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</si>
  <si>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</si>
  <si>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</si>
  <si>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</si>
  <si>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</si>
  <si>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</si>
  <si>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</si>
  <si>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</si>
  <si>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</si>
  <si>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</si>
  <si>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</si>
  <si>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</si>
  <si>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</si>
  <si>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</si>
  <si>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</si>
  <si>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</si>
  <si>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</si>
  <si>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</si>
  <si>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</si>
  <si>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</si>
  <si>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</si>
  <si>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</si>
  <si>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</si>
  <si>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</si>
  <si>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</si>
  <si>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</si>
  <si>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</si>
  <si>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</si>
  <si>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</si>
  <si>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</si>
  <si>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</si>
  <si>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</si>
  <si>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</si>
  <si>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</si>
  <si>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</si>
  <si>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</si>
  <si>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</si>
  <si>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</si>
  <si>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</si>
  <si>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</si>
  <si>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</si>
  <si>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</si>
  <si>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</si>
  <si>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</si>
  <si>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</si>
  <si>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</si>
  <si>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</si>
  <si>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</si>
  <si>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</si>
  <si>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</si>
  <si>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</si>
  <si>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</si>
  <si>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</si>
  <si>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</si>
  <si>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</si>
  <si>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</si>
  <si>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</si>
  <si>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</si>
  <si>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</si>
  <si>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RIVERSIDE PUBLIC SCHOOL DISTRICT NO. 96</t>
  </si>
  <si>
    <t>63 WOODSIDE ROAD</t>
  </si>
  <si>
    <t>RIVERSIDE</t>
  </si>
  <si>
    <t>fittonj@district96.org</t>
  </si>
  <si>
    <t>06-016-0960-02</t>
  </si>
  <si>
    <t>JAMES FITTON</t>
  </si>
  <si>
    <t>708-447-5007</t>
  </si>
  <si>
    <t>708-447-3252</t>
  </si>
  <si>
    <t>EDER, CASELLA &amp; CO.</t>
  </si>
  <si>
    <t>ANTHONY MICHELOTTI</t>
  </si>
  <si>
    <t>5400 WEST ELM STREET, SUITE 203</t>
  </si>
  <si>
    <t>MCHENRY</t>
  </si>
  <si>
    <t>IL</t>
  </si>
  <si>
    <t>815-344-1300</t>
  </si>
  <si>
    <t>815-344-1320</t>
  </si>
  <si>
    <t>066-005142</t>
  </si>
  <si>
    <t>cpas@edercasella.com</t>
  </si>
  <si>
    <t>X</t>
  </si>
  <si>
    <t>Debt Certificates</t>
  </si>
  <si>
    <t>EBC District 90</t>
  </si>
  <si>
    <t>SELF Insurance Fund</t>
  </si>
  <si>
    <t>Proviso Treasurer's Office</t>
  </si>
  <si>
    <t>LaGrange Area Department of Special Education</t>
  </si>
  <si>
    <t>Page 11, Line 107 - Other Local Revenues</t>
  </si>
  <si>
    <t>Tech Recycling and Sales of Misc. Items</t>
  </si>
  <si>
    <t>Page 12, Line 171 - Other Restricted Revenue from State Sources</t>
  </si>
  <si>
    <t>CTEI, National Board Cert. Initiative</t>
  </si>
  <si>
    <t>Midday Aid, Assembly Presentations, Misc. Assembly Supplies</t>
  </si>
  <si>
    <t>Page 15, Line 41 - Other Support Services - Pupils</t>
  </si>
  <si>
    <t>Page 16, Line 73 - Other Support Services</t>
  </si>
  <si>
    <t>Homeless Student Supplies</t>
  </si>
  <si>
    <t>Page 22, Line 356 - Other Payments to In-State Govt. Units</t>
  </si>
  <si>
    <t>Refund of Property Taxes</t>
  </si>
  <si>
    <t>None</t>
  </si>
  <si>
    <t>Page 19, Line 237 - Other Support Services -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</si>
</sst>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7B623F1-FFCA-4CA0-861E-7459D585E8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zoomScaleNormal="100" workbookViewId="0">
      <selection activeCell="G6" sqref="G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02" t="s">
        <v>2083</v>
      </c>
      <c r="B13" s="2003"/>
      <c r="C13" s="2003"/>
      <c r="D13" s="2003"/>
      <c r="E13" s="2003"/>
      <c r="F13" s="2003"/>
      <c r="G13" s="2003"/>
      <c r="H13" s="2004"/>
      <c r="I13" s="31"/>
      <c r="J13" s="30"/>
      <c r="K13" s="28"/>
      <c r="L13" s="30"/>
      <c r="M13" s="30"/>
      <c r="N13" s="30"/>
      <c r="O13" s="30"/>
      <c r="P13" s="30"/>
      <c r="Q13" s="30"/>
      <c r="R13" s="30"/>
      <c r="S13" s="30"/>
      <c r="T13" s="2007" t="s">
        <v>2087</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2088</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2079</v>
      </c>
      <c r="B17" s="2030"/>
      <c r="C17" s="2030"/>
      <c r="D17" s="2030"/>
      <c r="E17" s="2030"/>
      <c r="F17" s="2030"/>
      <c r="G17" s="2030"/>
      <c r="H17" s="2031"/>
      <c r="T17" s="2017" t="s">
        <v>2089</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2080</v>
      </c>
      <c r="B19" s="2001"/>
      <c r="C19" s="2001"/>
      <c r="D19" s="2001"/>
      <c r="E19" s="2001"/>
      <c r="F19" s="2001"/>
      <c r="G19" s="2001"/>
      <c r="H19" s="1999"/>
      <c r="I19" s="30"/>
      <c r="J19" s="99"/>
      <c r="K19" s="40"/>
      <c r="L19" s="38"/>
      <c r="M19" s="112" t="s">
        <v>333</v>
      </c>
      <c r="P19" s="27"/>
      <c r="Q19" s="27"/>
      <c r="R19" s="27"/>
      <c r="S19" s="31"/>
      <c r="T19" s="2000" t="s">
        <v>2090</v>
      </c>
      <c r="U19" s="1998"/>
      <c r="V19" s="1998"/>
      <c r="W19" s="1999"/>
      <c r="X19" s="2015" t="s">
        <v>2091</v>
      </c>
      <c r="Y19" s="2016"/>
      <c r="Z19" s="2013">
        <v>60050</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2081</v>
      </c>
      <c r="B21" s="1998"/>
      <c r="C21" s="1998"/>
      <c r="D21" s="1998"/>
      <c r="E21" s="1998"/>
      <c r="F21" s="1998"/>
      <c r="G21" s="1998"/>
      <c r="H21" s="1999"/>
      <c r="I21" s="2023" t="s">
        <v>699</v>
      </c>
      <c r="J21" s="1986"/>
      <c r="K21" s="1986"/>
      <c r="L21" s="1986"/>
      <c r="M21" s="1986"/>
      <c r="N21" s="1986"/>
      <c r="O21" s="1986"/>
      <c r="P21" s="1986"/>
      <c r="Q21" s="1986"/>
      <c r="R21" s="1986"/>
      <c r="S21" s="1987"/>
      <c r="T21" s="1965" t="s">
        <v>2092</v>
      </c>
      <c r="U21" s="1966"/>
      <c r="V21" s="1966"/>
      <c r="W21" s="1966"/>
      <c r="X21" s="1979" t="s">
        <v>2093</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2082</v>
      </c>
      <c r="B23" s="2021"/>
      <c r="C23" s="2021"/>
      <c r="D23" s="2021"/>
      <c r="E23" s="2021"/>
      <c r="F23" s="2021"/>
      <c r="G23" s="2021"/>
      <c r="H23" s="2022"/>
      <c r="T23" s="1960" t="s">
        <v>2094</v>
      </c>
      <c r="U23" s="1961"/>
      <c r="V23" s="1961"/>
      <c r="W23" s="1961"/>
      <c r="X23" s="1976">
        <v>44530</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60546</v>
      </c>
      <c r="B25" s="1998"/>
      <c r="C25" s="1998"/>
      <c r="D25" s="1998"/>
      <c r="E25" s="1998"/>
      <c r="F25" s="1998"/>
      <c r="G25" s="1998"/>
      <c r="H25" s="1999"/>
      <c r="I25" s="113"/>
      <c r="J25" s="2064"/>
      <c r="K25" s="2064"/>
      <c r="L25" s="2064"/>
      <c r="M25" s="2064"/>
      <c r="N25" s="2064"/>
      <c r="O25" s="2064"/>
      <c r="P25" s="2064"/>
      <c r="Q25" s="2064"/>
      <c r="R25" s="2064"/>
      <c r="S25" s="2065"/>
      <c r="T25" s="1957" t="s">
        <v>2095</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2084</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2082</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2085</v>
      </c>
      <c r="B42" s="2047"/>
      <c r="C42" s="2048"/>
      <c r="D42" s="2061" t="s">
        <v>2086</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C13" sqref="C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62" colorId="8" zoomScale="110" zoomScaleNormal="110" workbookViewId="0">
      <selection activeCell="C13" sqref="C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34608</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67</v>
      </c>
      <c r="G88" s="276">
        <v>97671</v>
      </c>
      <c r="H88" s="276">
        <v>64388</v>
      </c>
      <c r="I88" s="276">
        <v>0</v>
      </c>
      <c r="J88" s="277">
        <f>SUM(E88:I88)</f>
        <v>162126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162126</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C13" sqref="C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539358831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3.1813000000000001E-2</v>
      </c>
      <c r="E10" s="356" t="s">
        <v>1062</v>
      </c>
      <c r="F10" s="355">
        <v>4.738E-3</v>
      </c>
      <c r="G10" s="356" t="s">
        <v>1062</v>
      </c>
      <c r="H10" s="355">
        <v>3.6870000000000002E-3</v>
      </c>
      <c r="I10" s="356" t="s">
        <v>1063</v>
      </c>
      <c r="J10" s="1754">
        <f>ROUND(D10+F10+H10,5)</f>
        <v>4.0239999999999998E-2</v>
      </c>
      <c r="K10" s="222"/>
      <c r="L10" s="355">
        <v>4.3100000000000001E-4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27078201</v>
      </c>
      <c r="E16" s="356"/>
      <c r="F16" s="1755">
        <f>SUM('Acct Summary 7-8'!C17,'Acct Summary 7-8'!D17,'Acct Summary 7-8'!F17)</f>
        <v>25456756</v>
      </c>
      <c r="G16" s="356"/>
      <c r="H16" s="1755">
        <f>SUM(D16-F16)</f>
        <v>1621445</v>
      </c>
      <c r="I16" s="222"/>
      <c r="J16" s="1755">
        <f>SUM('Acct Summary 7-8'!C81,'Acct Summary 7-8'!D81,'Acct Summary 7-8'!F81,'Acct Summary 7-8'!I81)</f>
        <v>28421214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2096</v>
      </c>
      <c r="C31" s="367" t="s">
        <v>607</v>
      </c>
      <c r="D31" s="237" t="s">
        <v>1132</v>
      </c>
      <c r="E31" s="222"/>
      <c r="F31" s="222"/>
      <c r="G31" s="363"/>
      <c r="H31" s="1757">
        <f>IF(B31="X",(J7*0.069),IF(B32="X",(J7*0.138),"Enter x in a.or b."))</f>
        <v>37215759.339000002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4325000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zoomScale="110" zoomScaleNormal="110" workbookViewId="0">
      <selection activeCell="C13" sqref="C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RIVERSIDE PUBLIC SCHOOL DISTRICT NO. 96</v>
      </c>
      <c r="E7" s="391"/>
      <c r="G7" s="252"/>
      <c r="H7" s="387"/>
      <c r="I7" s="387"/>
      <c r="J7" s="387"/>
      <c r="K7" s="387"/>
      <c r="L7" s="329"/>
      <c r="M7" s="329"/>
      <c r="N7" s="329"/>
      <c r="O7" s="329"/>
      <c r="P7" s="329"/>
    </row>
    <row r="8" spans="1:18" ht="12.75" x14ac:dyDescent="0.2">
      <c r="A8" s="329"/>
      <c r="B8" s="329"/>
      <c r="C8" s="389" t="s">
        <v>1187</v>
      </c>
      <c r="D8" s="392" t="str">
        <f>COVER!A13</f>
        <v>06-016-0960-02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28421214</v>
      </c>
      <c r="I12" s="404"/>
      <c r="J12" s="404"/>
      <c r="K12" s="405">
        <f>TRUNC((H12/H13*100000),5)/100000</f>
        <v>1.0495975711000001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27078201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25456756</v>
      </c>
      <c r="I17" s="404"/>
      <c r="J17" s="416"/>
      <c r="K17" s="405">
        <f>TRUNC((H17/H18*100000),5)/100000</f>
        <v>0.94011991410000006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27078201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28990239</v>
      </c>
      <c r="I24" s="422"/>
      <c r="J24" s="422"/>
      <c r="K24" s="423">
        <f>TRUNC(((H24/H25*100000)/100000),2)</f>
        <v>409.96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70713.211110000004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18448229.45552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4325000</v>
      </c>
      <c r="I32" s="420"/>
      <c r="J32" s="420"/>
      <c r="K32" s="423">
        <f>TRUNC(100-((((H32/H33*100))*100)/100),2)</f>
        <v>88.37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37215759.339000002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110" zoomScaleNormal="110" workbookViewId="0">
      <pane ySplit="2" topLeftCell="A30" activePane="bottomLeft" state="frozen"/>
      <selection activeCell="C13" sqref="C13"/>
      <selection pane="bottomLeft" activeCell="M40" sqref="M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22039094</v>
      </c>
      <c r="D4" s="466">
        <v>1385922</v>
      </c>
      <c r="E4" s="466">
        <v>3154755</v>
      </c>
      <c r="F4" s="466">
        <v>1287911</v>
      </c>
      <c r="G4" s="466">
        <v>1373417</v>
      </c>
      <c r="H4" s="466">
        <v>1988648</v>
      </c>
      <c r="I4" s="466">
        <v>4277312</v>
      </c>
      <c r="J4" s="467">
        <v>811556</v>
      </c>
      <c r="K4" s="466">
        <v>0</v>
      </c>
      <c r="L4" s="466">
        <v>141552</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8924272</v>
      </c>
      <c r="D6" s="466">
        <v>1224820</v>
      </c>
      <c r="E6" s="466">
        <v>0</v>
      </c>
      <c r="F6" s="466">
        <v>930028</v>
      </c>
      <c r="G6" s="471">
        <v>480750</v>
      </c>
      <c r="H6" s="471">
        <v>0</v>
      </c>
      <c r="I6" s="466">
        <v>108648</v>
      </c>
      <c r="J6" s="474">
        <v>113480</v>
      </c>
      <c r="K6" s="471">
        <v>0</v>
      </c>
      <c r="L6" s="475"/>
      <c r="M6" s="468"/>
      <c r="N6" s="469"/>
    </row>
    <row r="7" spans="1:14" ht="13.5" customHeight="1" x14ac:dyDescent="0.2">
      <c r="A7" s="473" t="s">
        <v>438</v>
      </c>
      <c r="B7" s="470">
        <v>140</v>
      </c>
      <c r="C7" s="476">
        <v>0</v>
      </c>
      <c r="D7" s="467">
        <v>2400000</v>
      </c>
      <c r="E7" s="467">
        <v>0</v>
      </c>
      <c r="F7" s="467">
        <v>0</v>
      </c>
      <c r="G7" s="467">
        <v>0</v>
      </c>
      <c r="H7" s="467">
        <v>0</v>
      </c>
      <c r="I7" s="467">
        <v>0</v>
      </c>
      <c r="J7" s="467">
        <v>0</v>
      </c>
      <c r="K7" s="467">
        <v>0</v>
      </c>
      <c r="L7" s="477"/>
      <c r="M7" s="468"/>
      <c r="N7" s="469"/>
    </row>
    <row r="8" spans="1:14" ht="13.5" customHeight="1" x14ac:dyDescent="0.2">
      <c r="A8" s="473" t="s">
        <v>287</v>
      </c>
      <c r="B8" s="470">
        <v>150</v>
      </c>
      <c r="C8" s="476">
        <v>222612</v>
      </c>
      <c r="D8" s="467">
        <v>0</v>
      </c>
      <c r="E8" s="467">
        <v>0</v>
      </c>
      <c r="F8" s="467">
        <v>97738</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31185978</v>
      </c>
      <c r="D13" s="1759">
        <f t="shared" ref="D13:L13" si="0">SUM(D4:D12)</f>
        <v>5010742</v>
      </c>
      <c r="E13" s="1759">
        <f t="shared" si="0"/>
        <v>3154755</v>
      </c>
      <c r="F13" s="1759">
        <f t="shared" si="0"/>
        <v>2315677</v>
      </c>
      <c r="G13" s="1759">
        <f t="shared" si="0"/>
        <v>1854167</v>
      </c>
      <c r="H13" s="1759">
        <f t="shared" si="0"/>
        <v>1988648</v>
      </c>
      <c r="I13" s="1759">
        <f t="shared" si="0"/>
        <v>4385960</v>
      </c>
      <c r="J13" s="1759">
        <f t="shared" si="0"/>
        <v>925036</v>
      </c>
      <c r="K13" s="1759">
        <f t="shared" si="0"/>
        <v>0</v>
      </c>
      <c r="L13" s="1759">
        <f t="shared" si="0"/>
        <v>141552</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534849</v>
      </c>
      <c r="N16" s="484"/>
    </row>
    <row r="17" spans="1:14" s="485" customFormat="1" ht="12.75" customHeight="1" x14ac:dyDescent="0.2">
      <c r="A17" s="482" t="s">
        <v>1470</v>
      </c>
      <c r="B17" s="483">
        <v>230</v>
      </c>
      <c r="C17" s="477"/>
      <c r="D17" s="477"/>
      <c r="E17" s="477"/>
      <c r="F17" s="477"/>
      <c r="G17" s="477"/>
      <c r="H17" s="477"/>
      <c r="I17" s="477"/>
      <c r="J17" s="477"/>
      <c r="K17" s="477"/>
      <c r="L17" s="477"/>
      <c r="M17" s="467">
        <v>29610033</v>
      </c>
      <c r="N17" s="484"/>
    </row>
    <row r="18" spans="1:14" s="485" customFormat="1" ht="12.75" customHeight="1" x14ac:dyDescent="0.2">
      <c r="A18" s="482" t="s">
        <v>1471</v>
      </c>
      <c r="B18" s="483">
        <v>240</v>
      </c>
      <c r="C18" s="477"/>
      <c r="D18" s="477"/>
      <c r="E18" s="477"/>
      <c r="F18" s="477"/>
      <c r="G18" s="477"/>
      <c r="H18" s="477"/>
      <c r="I18" s="477"/>
      <c r="J18" s="477"/>
      <c r="K18" s="477"/>
      <c r="L18" s="477"/>
      <c r="M18" s="467">
        <v>867817</v>
      </c>
      <c r="N18" s="484"/>
    </row>
    <row r="19" spans="1:14" s="485" customFormat="1" ht="12.75" customHeight="1" x14ac:dyDescent="0.2">
      <c r="A19" s="482" t="s">
        <v>1472</v>
      </c>
      <c r="B19" s="483">
        <v>250</v>
      </c>
      <c r="C19" s="477"/>
      <c r="D19" s="477"/>
      <c r="E19" s="477"/>
      <c r="F19" s="477"/>
      <c r="G19" s="477"/>
      <c r="H19" s="477"/>
      <c r="I19" s="477"/>
      <c r="J19" s="477"/>
      <c r="K19" s="477"/>
      <c r="L19" s="477"/>
      <c r="M19" s="467">
        <v>7792261</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3154755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1170245</v>
      </c>
    </row>
    <row r="23" spans="1:14" ht="13.5" customHeight="1" thickBot="1" x14ac:dyDescent="0.25">
      <c r="A23" s="1758" t="s">
        <v>664</v>
      </c>
      <c r="B23" s="1763"/>
      <c r="C23" s="468"/>
      <c r="D23" s="468"/>
      <c r="E23" s="468"/>
      <c r="F23" s="468"/>
      <c r="G23" s="468"/>
      <c r="H23" s="468"/>
      <c r="I23" s="468"/>
      <c r="J23" s="468"/>
      <c r="K23" s="468"/>
      <c r="L23" s="468"/>
      <c r="M23" s="1710">
        <f>SUM(M15:M22)</f>
        <v>38804960</v>
      </c>
      <c r="N23" s="1710">
        <f>SUM(N21:N22)</f>
        <v>4325000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2400000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36761</v>
      </c>
      <c r="D27" s="467">
        <v>423178</v>
      </c>
      <c r="E27" s="467">
        <v>0</v>
      </c>
      <c r="F27" s="467">
        <v>28993</v>
      </c>
      <c r="G27" s="467">
        <v>0</v>
      </c>
      <c r="H27" s="467">
        <v>27830</v>
      </c>
      <c r="I27" s="467">
        <v>0</v>
      </c>
      <c r="J27" s="467">
        <v>0</v>
      </c>
      <c r="K27" s="467">
        <v>977</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26471</v>
      </c>
      <c r="D30" s="474">
        <v>5137</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7770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9243686</v>
      </c>
      <c r="D32" s="492">
        <v>1233298</v>
      </c>
      <c r="E32" s="474">
        <v>0</v>
      </c>
      <c r="F32" s="474">
        <v>959731</v>
      </c>
      <c r="G32" s="474">
        <v>496104</v>
      </c>
      <c r="H32" s="474">
        <v>0</v>
      </c>
      <c r="I32" s="474">
        <v>112118</v>
      </c>
      <c r="J32" s="474">
        <v>117104</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141552</v>
      </c>
      <c r="M33" s="468"/>
      <c r="N33" s="469"/>
    </row>
    <row r="34" spans="1:14" ht="13.5" customHeight="1" thickBot="1" x14ac:dyDescent="0.25">
      <c r="A34" s="1760" t="s">
        <v>675</v>
      </c>
      <c r="B34" s="1761"/>
      <c r="C34" s="1762">
        <f>SUM(C25:C33)</f>
        <v>9314688</v>
      </c>
      <c r="D34" s="1762">
        <f t="shared" ref="D34:K34" si="1">SUM(D25:D33)</f>
        <v>1661613</v>
      </c>
      <c r="E34" s="1762">
        <f t="shared" si="1"/>
        <v>0</v>
      </c>
      <c r="F34" s="1762">
        <f t="shared" si="1"/>
        <v>3388724</v>
      </c>
      <c r="G34" s="1762">
        <f t="shared" si="1"/>
        <v>496104</v>
      </c>
      <c r="H34" s="1762">
        <f t="shared" si="1"/>
        <v>27830</v>
      </c>
      <c r="I34" s="1762">
        <f t="shared" si="1"/>
        <v>112118</v>
      </c>
      <c r="J34" s="1762">
        <f t="shared" si="1"/>
        <v>117104</v>
      </c>
      <c r="K34" s="1762">
        <f t="shared" si="1"/>
        <v>977</v>
      </c>
      <c r="L34" s="1743">
        <f>SUM(L33)</f>
        <v>141552</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4325000</v>
      </c>
    </row>
    <row r="37" spans="1:14" ht="13.5" thickBot="1" x14ac:dyDescent="0.25">
      <c r="A37" s="1758" t="s">
        <v>674</v>
      </c>
      <c r="B37" s="1763"/>
      <c r="C37" s="477"/>
      <c r="D37" s="477"/>
      <c r="E37" s="477"/>
      <c r="F37" s="477"/>
      <c r="G37" s="477"/>
      <c r="H37" s="477"/>
      <c r="I37" s="477"/>
      <c r="J37" s="477"/>
      <c r="K37" s="477"/>
      <c r="L37" s="480"/>
      <c r="M37" s="468"/>
      <c r="N37" s="1710">
        <f>SUM(N36:N36)</f>
        <v>4325000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21871290</v>
      </c>
      <c r="D39" s="466">
        <v>3349129</v>
      </c>
      <c r="E39" s="466">
        <v>3154755</v>
      </c>
      <c r="F39" s="466">
        <v>-1073047</v>
      </c>
      <c r="G39" s="466">
        <v>1358063</v>
      </c>
      <c r="H39" s="466">
        <v>1960818</v>
      </c>
      <c r="I39" s="466">
        <v>4273842</v>
      </c>
      <c r="J39" s="467">
        <v>807932</v>
      </c>
      <c r="K39" s="466">
        <v>-977</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38804960</v>
      </c>
      <c r="N40" s="497"/>
    </row>
    <row r="41" spans="1:14" ht="13.5" customHeight="1" thickBot="1" x14ac:dyDescent="0.25">
      <c r="A41" s="1758" t="s">
        <v>676</v>
      </c>
      <c r="B41" s="1728"/>
      <c r="C41" s="1710">
        <f>(SUM(C34,C37,C38,C39))</f>
        <v>31185978</v>
      </c>
      <c r="D41" s="1710">
        <f t="shared" ref="D41:L41" si="2">SUM(D34,D37,D38:D39)</f>
        <v>5010742</v>
      </c>
      <c r="E41" s="1710">
        <f t="shared" si="2"/>
        <v>3154755</v>
      </c>
      <c r="F41" s="1710">
        <f t="shared" si="2"/>
        <v>2315677</v>
      </c>
      <c r="G41" s="1710">
        <f t="shared" si="2"/>
        <v>1854167</v>
      </c>
      <c r="H41" s="1710">
        <f t="shared" si="2"/>
        <v>1988648</v>
      </c>
      <c r="I41" s="1710">
        <f t="shared" si="2"/>
        <v>4385960</v>
      </c>
      <c r="J41" s="1710">
        <f t="shared" si="2"/>
        <v>925036</v>
      </c>
      <c r="K41" s="1710">
        <f t="shared" si="2"/>
        <v>0</v>
      </c>
      <c r="L41" s="1710">
        <f t="shared" si="2"/>
        <v>141552</v>
      </c>
      <c r="M41" s="1710">
        <f>SUM(M40)</f>
        <v>38804960</v>
      </c>
      <c r="N41" s="1710">
        <f>SUM(N37)</f>
        <v>4325000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110" zoomScaleNormal="110" zoomScaleSheetLayoutView="100" workbookViewId="0">
      <pane ySplit="2" topLeftCell="A66" activePane="bottomLeft" state="frozenSplit"/>
      <selection activeCell="C13" sqref="C13"/>
      <selection pane="bottomLeft" activeCell="C79" sqref="C79:K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18573038</v>
      </c>
      <c r="D4" s="1764">
        <f>'Revenues 9-14'!D109</f>
        <v>2659944</v>
      </c>
      <c r="E4" s="1764">
        <f>'Revenues 9-14'!E109</f>
        <v>35625</v>
      </c>
      <c r="F4" s="1764">
        <f>'Revenues 9-14'!F109</f>
        <v>2919964</v>
      </c>
      <c r="G4" s="1764">
        <f>'Revenues 9-14'!G109</f>
        <v>1029390</v>
      </c>
      <c r="H4" s="1764">
        <f>'Revenues 9-14'!H109</f>
        <v>17934</v>
      </c>
      <c r="I4" s="1764">
        <f>'Revenues 9-14'!I109</f>
        <v>226639</v>
      </c>
      <c r="J4" s="1764">
        <f>'Revenues 9-14'!J109</f>
        <v>129283</v>
      </c>
      <c r="K4" s="1764">
        <f>'Revenues 9-14'!K109</f>
        <v>353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1824253</v>
      </c>
      <c r="D6" s="1765">
        <f>'Revenues 9-14'!D173</f>
        <v>0</v>
      </c>
      <c r="E6" s="1765">
        <f>'Revenues 9-14'!E173</f>
        <v>0</v>
      </c>
      <c r="F6" s="1765">
        <f>'Revenues 9-14'!F173</f>
        <v>390555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483808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20881099</v>
      </c>
      <c r="D8" s="1710">
        <f t="shared" ref="D8:K8" si="0">SUM(D4:D7)</f>
        <v>2659944</v>
      </c>
      <c r="E8" s="1710">
        <f t="shared" si="0"/>
        <v>35625</v>
      </c>
      <c r="F8" s="1710">
        <f t="shared" si="0"/>
        <v>3310519</v>
      </c>
      <c r="G8" s="1710">
        <f t="shared" si="0"/>
        <v>1029390</v>
      </c>
      <c r="H8" s="1710">
        <f t="shared" si="0"/>
        <v>17934</v>
      </c>
      <c r="I8" s="1710">
        <f t="shared" si="0"/>
        <v>226639</v>
      </c>
      <c r="J8" s="1710">
        <f t="shared" si="0"/>
        <v>129283</v>
      </c>
      <c r="K8" s="1710">
        <f t="shared" si="0"/>
        <v>353</v>
      </c>
      <c r="L8" s="347"/>
    </row>
    <row r="9" spans="1:13" ht="15.75" thickTop="1" x14ac:dyDescent="0.2">
      <c r="A9" s="514" t="s">
        <v>1752</v>
      </c>
      <c r="B9" s="515">
        <v>3998</v>
      </c>
      <c r="C9" s="481">
        <v>8860233</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29741332</v>
      </c>
      <c r="D10" s="1710">
        <f t="shared" ref="D10:K10" si="1">SUM(D8:D9)</f>
        <v>2659944</v>
      </c>
      <c r="E10" s="1710">
        <f t="shared" si="1"/>
        <v>35625</v>
      </c>
      <c r="F10" s="1710">
        <f t="shared" si="1"/>
        <v>3310519</v>
      </c>
      <c r="G10" s="1710">
        <f t="shared" si="1"/>
        <v>1029390</v>
      </c>
      <c r="H10" s="1710">
        <f t="shared" si="1"/>
        <v>17934</v>
      </c>
      <c r="I10" s="1710">
        <f t="shared" si="1"/>
        <v>226639</v>
      </c>
      <c r="J10" s="1710">
        <f t="shared" si="1"/>
        <v>129283</v>
      </c>
      <c r="K10" s="1710">
        <f t="shared" si="1"/>
        <v>353</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14737805</v>
      </c>
      <c r="D12" s="520" t="s">
        <v>1231</v>
      </c>
      <c r="E12" s="468" t="s">
        <v>1231</v>
      </c>
      <c r="F12" s="468" t="s">
        <v>1231</v>
      </c>
      <c r="G12" s="1764">
        <f>'Expenditures 15-22'!K229</f>
        <v>368107</v>
      </c>
      <c r="H12" s="521"/>
      <c r="I12" s="468" t="s">
        <v>1231</v>
      </c>
      <c r="J12" s="468" t="s">
        <v>1231</v>
      </c>
      <c r="K12" s="521" t="s">
        <v>1231</v>
      </c>
      <c r="L12" s="347"/>
    </row>
    <row r="13" spans="1:13" ht="15.75" customHeight="1" x14ac:dyDescent="0.2">
      <c r="A13" s="1598" t="s">
        <v>477</v>
      </c>
      <c r="B13" s="1600">
        <v>2000</v>
      </c>
      <c r="C13" s="1765">
        <f>'Expenditures 15-22'!K74</f>
        <v>5890225</v>
      </c>
      <c r="D13" s="1765">
        <f>'Expenditures 15-22'!K129</f>
        <v>2623745</v>
      </c>
      <c r="E13" s="469" t="s">
        <v>1231</v>
      </c>
      <c r="F13" s="1765">
        <f>'Expenditures 15-22'!K184</f>
        <v>678449</v>
      </c>
      <c r="G13" s="1765">
        <f>'Expenditures 15-22'!K279</f>
        <v>359252</v>
      </c>
      <c r="H13" s="1765">
        <f>'Expenditures 15-22'!K303</f>
        <v>54050</v>
      </c>
      <c r="I13" s="468" t="s">
        <v>1231</v>
      </c>
      <c r="J13" s="1765">
        <f>'Expenditures 15-22'!K330</f>
        <v>99735</v>
      </c>
      <c r="K13" s="1769">
        <f>'Expenditures 15-22'!K352</f>
        <v>0</v>
      </c>
      <c r="L13" s="347"/>
    </row>
    <row r="14" spans="1:13" ht="15.75" customHeight="1" x14ac:dyDescent="0.2">
      <c r="A14" s="1598" t="s">
        <v>469</v>
      </c>
      <c r="B14" s="1600">
        <v>3000</v>
      </c>
      <c r="C14" s="1765">
        <f>'Expenditures 15-22'!K75</f>
        <v>27403</v>
      </c>
      <c r="D14" s="1765">
        <f>'Expenditures 15-22'!K130</f>
        <v>0</v>
      </c>
      <c r="E14" s="520" t="s">
        <v>1231</v>
      </c>
      <c r="F14" s="1765">
        <f>'Expenditures 15-22'!K185</f>
        <v>0</v>
      </c>
      <c r="G14" s="1765">
        <f>'Expenditures 15-22'!K280</f>
        <v>60</v>
      </c>
      <c r="H14" s="512"/>
      <c r="I14" s="468" t="s">
        <v>1231</v>
      </c>
      <c r="J14" s="468" t="s">
        <v>1231</v>
      </c>
      <c r="K14" s="512" t="s">
        <v>1231</v>
      </c>
      <c r="L14" s="347"/>
    </row>
    <row r="15" spans="1:13" ht="15.75" customHeight="1" x14ac:dyDescent="0.2">
      <c r="A15" s="1598" t="s">
        <v>109</v>
      </c>
      <c r="B15" s="1600">
        <v>4000</v>
      </c>
      <c r="C15" s="1765">
        <f>'Expenditures 15-22'!K102</f>
        <v>1499129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1330</v>
      </c>
      <c r="L15" s="347"/>
    </row>
    <row r="16" spans="1:13" ht="15.75" customHeight="1" x14ac:dyDescent="0.2">
      <c r="A16" s="1598" t="s">
        <v>470</v>
      </c>
      <c r="B16" s="1600">
        <v>5000</v>
      </c>
      <c r="C16" s="1765">
        <f>'Expenditures 15-22'!K112</f>
        <v>0</v>
      </c>
      <c r="D16" s="1765">
        <f>'Expenditures 15-22'!K149</f>
        <v>0</v>
      </c>
      <c r="E16" s="1765">
        <f>'Expenditures 15-22'!K172</f>
        <v>1147200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22154562</v>
      </c>
      <c r="D17" s="1710">
        <f t="shared" si="2"/>
        <v>2623745</v>
      </c>
      <c r="E17" s="1710">
        <f t="shared" si="2"/>
        <v>1147200</v>
      </c>
      <c r="F17" s="1710">
        <f t="shared" si="2"/>
        <v>678449</v>
      </c>
      <c r="G17" s="1710">
        <f t="shared" si="2"/>
        <v>727419</v>
      </c>
      <c r="H17" s="1710">
        <f t="shared" si="2"/>
        <v>54050</v>
      </c>
      <c r="I17" s="468"/>
      <c r="J17" s="1710">
        <f>SUM(J12:J16)</f>
        <v>99735</v>
      </c>
      <c r="K17" s="1710">
        <f>SUM(K12:K16)</f>
        <v>1330</v>
      </c>
      <c r="L17" s="347"/>
    </row>
    <row r="18" spans="1:12" ht="15" customHeight="1" thickTop="1" x14ac:dyDescent="0.2">
      <c r="A18" s="1766" t="s">
        <v>1753</v>
      </c>
      <c r="B18" s="1767">
        <v>4180</v>
      </c>
      <c r="C18" s="1764">
        <f t="shared" ref="C18:H18" si="3">C9</f>
        <v>8860233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31014795</v>
      </c>
      <c r="D19" s="1710">
        <f t="shared" si="4"/>
        <v>2623745</v>
      </c>
      <c r="E19" s="1710">
        <f t="shared" si="4"/>
        <v>1147200</v>
      </c>
      <c r="F19" s="1710">
        <f t="shared" si="4"/>
        <v>678449</v>
      </c>
      <c r="G19" s="1710">
        <f t="shared" si="4"/>
        <v>727419</v>
      </c>
      <c r="H19" s="1710">
        <f t="shared" si="4"/>
        <v>54050</v>
      </c>
      <c r="I19" s="468"/>
      <c r="J19" s="1710">
        <f>SUM(J17:J18)</f>
        <v>99735</v>
      </c>
      <c r="K19" s="1710">
        <f>SUM(K17:K18)</f>
        <v>1330</v>
      </c>
      <c r="L19" s="347"/>
    </row>
    <row r="20" spans="1:12" ht="16.5" thickTop="1" thickBot="1" x14ac:dyDescent="0.25">
      <c r="A20" s="2142" t="s">
        <v>1754</v>
      </c>
      <c r="B20" s="2143"/>
      <c r="C20" s="1768">
        <f>C8-C17</f>
        <v>-1273463</v>
      </c>
      <c r="D20" s="1768">
        <f t="shared" ref="D20:K20" si="5">D8-D17</f>
        <v>36199</v>
      </c>
      <c r="E20" s="1768">
        <f t="shared" si="5"/>
        <v>-1111575</v>
      </c>
      <c r="F20" s="1768">
        <f t="shared" si="5"/>
        <v>2632070</v>
      </c>
      <c r="G20" s="1768">
        <f t="shared" si="5"/>
        <v>301971</v>
      </c>
      <c r="H20" s="1768">
        <f t="shared" si="5"/>
        <v>-36116</v>
      </c>
      <c r="I20" s="1768">
        <f t="shared" si="5"/>
        <v>226639</v>
      </c>
      <c r="J20" s="1768">
        <f t="shared" si="5"/>
        <v>29548</v>
      </c>
      <c r="K20" s="1768">
        <f t="shared" si="5"/>
        <v>-977</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-1273463</v>
      </c>
      <c r="D78" s="1724">
        <f t="shared" si="9"/>
        <v>36199</v>
      </c>
      <c r="E78" s="1724">
        <f t="shared" si="9"/>
        <v>-1111575</v>
      </c>
      <c r="F78" s="1724">
        <f t="shared" si="9"/>
        <v>2632070</v>
      </c>
      <c r="G78" s="1724">
        <f t="shared" si="9"/>
        <v>301971</v>
      </c>
      <c r="H78" s="1724">
        <f t="shared" si="9"/>
        <v>-36116</v>
      </c>
      <c r="I78" s="1724">
        <f t="shared" si="9"/>
        <v>226639</v>
      </c>
      <c r="J78" s="1724">
        <f t="shared" si="9"/>
        <v>29548</v>
      </c>
      <c r="K78" s="1724">
        <f t="shared" si="9"/>
        <v>-977</v>
      </c>
      <c r="L78" s="533"/>
    </row>
    <row r="79" spans="1:12" ht="13.5" thickTop="1" x14ac:dyDescent="0.2">
      <c r="A79" s="1516" t="s">
        <v>2073</v>
      </c>
      <c r="B79" s="534"/>
      <c r="C79" s="478">
        <v>23144753</v>
      </c>
      <c r="D79" s="535">
        <v>3312930</v>
      </c>
      <c r="E79" s="535">
        <v>4266330</v>
      </c>
      <c r="F79" s="535">
        <v>-3705117</v>
      </c>
      <c r="G79" s="535">
        <v>1056092</v>
      </c>
      <c r="H79" s="535">
        <v>1996934</v>
      </c>
      <c r="I79" s="535">
        <v>4047203</v>
      </c>
      <c r="J79" s="535">
        <v>778384</v>
      </c>
      <c r="K79" s="535">
        <v>0</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21871290</v>
      </c>
      <c r="D81" s="1710">
        <f>SUM(D78:D80)</f>
        <v>3349129</v>
      </c>
      <c r="E81" s="1710">
        <f t="shared" ref="E81:K81" si="10">SUM(E78:E80)</f>
        <v>3154755</v>
      </c>
      <c r="F81" s="1710">
        <f t="shared" si="10"/>
        <v>-1073047</v>
      </c>
      <c r="G81" s="1710">
        <f t="shared" si="10"/>
        <v>1358063</v>
      </c>
      <c r="H81" s="1710">
        <f t="shared" si="10"/>
        <v>1960818</v>
      </c>
      <c r="I81" s="1710">
        <f t="shared" si="10"/>
        <v>4273842</v>
      </c>
      <c r="J81" s="1710">
        <f t="shared" si="10"/>
        <v>807932</v>
      </c>
      <c r="K81" s="1710">
        <f t="shared" si="10"/>
        <v>-977</v>
      </c>
      <c r="L81" s="347"/>
    </row>
    <row r="82" spans="1:12" ht="0.75" customHeight="1" thickTop="1" thickBot="1" x14ac:dyDescent="0.25">
      <c r="A82" s="536" t="s">
        <v>361</v>
      </c>
      <c r="B82" s="537"/>
      <c r="C82" s="538">
        <f>(C81-C79)</f>
        <v>-1273463</v>
      </c>
      <c r="D82" s="538">
        <f t="shared" ref="D82:K82" si="11">(D81-D79)</f>
        <v>36199</v>
      </c>
      <c r="E82" s="538">
        <f t="shared" si="11"/>
        <v>-1111575</v>
      </c>
      <c r="F82" s="538">
        <f t="shared" si="11"/>
        <v>2632070</v>
      </c>
      <c r="G82" s="538">
        <f t="shared" si="11"/>
        <v>301971</v>
      </c>
      <c r="H82" s="538">
        <f t="shared" si="11"/>
        <v>-36116</v>
      </c>
      <c r="I82" s="538">
        <f t="shared" si="11"/>
        <v>226639</v>
      </c>
      <c r="J82" s="538">
        <f t="shared" si="11"/>
        <v>29548</v>
      </c>
      <c r="K82" s="538">
        <f t="shared" si="11"/>
        <v>-977</v>
      </c>
    </row>
    <row r="83" spans="1:12" ht="14.25" hidden="1" thickTop="1" thickBot="1" x14ac:dyDescent="0.25">
      <c r="A83" s="539" t="s">
        <v>362</v>
      </c>
      <c r="B83" s="464"/>
      <c r="C83" s="540">
        <f>C82/C81</f>
        <v>-5.8225326443936319E-2</v>
      </c>
      <c r="D83" s="540">
        <f t="shared" ref="D83:K83" si="12">D82/D81</f>
        <v>1.0808481847071283E-2</v>
      </c>
      <c r="E83" s="540">
        <f t="shared" si="12"/>
        <v>-0.35234907306589575</v>
      </c>
      <c r="F83" s="540">
        <f t="shared" si="12"/>
        <v>-2.4528934892879808</v>
      </c>
      <c r="G83" s="540">
        <f t="shared" si="12"/>
        <v>0.2223541912267693</v>
      </c>
      <c r="H83" s="540">
        <f t="shared" si="12"/>
        <v>-1.8418843564267567E-2</v>
      </c>
      <c r="I83" s="540">
        <f t="shared" si="12"/>
        <v>5.3029335197697994E-2</v>
      </c>
      <c r="J83" s="540">
        <f t="shared" si="12"/>
        <v>3.6572384804661781E-2</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colorId="8" zoomScale="110" zoomScaleNormal="110" zoomScaleSheetLayoutView="75" workbookViewId="0">
      <pane ySplit="2" topLeftCell="A3" activePane="bottomLeft" state="frozen"/>
      <selection activeCell="C13" sqref="C13"/>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15915937</v>
      </c>
      <c r="D5" s="481">
        <v>2450311</v>
      </c>
      <c r="E5" s="466">
        <v>0</v>
      </c>
      <c r="F5" s="548">
        <v>2888909</v>
      </c>
      <c r="G5" s="466">
        <v>443930</v>
      </c>
      <c r="H5" s="466">
        <v>0</v>
      </c>
      <c r="I5" s="466">
        <v>220854</v>
      </c>
      <c r="J5" s="467">
        <v>122185</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1757215</v>
      </c>
      <c r="D7" s="466">
        <v>0</v>
      </c>
      <c r="E7" s="468"/>
      <c r="F7" s="467">
        <v>0</v>
      </c>
      <c r="G7" s="467">
        <v>0</v>
      </c>
      <c r="H7" s="467">
        <v>0</v>
      </c>
      <c r="I7" s="468"/>
      <c r="J7" s="468"/>
      <c r="K7" s="468"/>
    </row>
    <row r="8" spans="1:12" x14ac:dyDescent="0.2">
      <c r="A8" s="463" t="s">
        <v>433</v>
      </c>
      <c r="B8" s="470">
        <v>1150</v>
      </c>
      <c r="C8" s="475"/>
      <c r="D8" s="475"/>
      <c r="E8" s="477"/>
      <c r="F8" s="477"/>
      <c r="G8" s="481">
        <v>553026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17673152</v>
      </c>
      <c r="D12" s="1729">
        <f t="shared" si="0"/>
        <v>2450311</v>
      </c>
      <c r="E12" s="1729">
        <f t="shared" si="0"/>
        <v>0</v>
      </c>
      <c r="F12" s="1729">
        <f t="shared" si="0"/>
        <v>2888909</v>
      </c>
      <c r="G12" s="1729">
        <f t="shared" si="0"/>
        <v>996956</v>
      </c>
      <c r="H12" s="1729">
        <f t="shared" si="0"/>
        <v>0</v>
      </c>
      <c r="I12" s="1729">
        <f t="shared" si="0"/>
        <v>220854</v>
      </c>
      <c r="J12" s="1729">
        <f t="shared" si="0"/>
        <v>122185</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164039</v>
      </c>
      <c r="D16" s="466">
        <v>164039</v>
      </c>
      <c r="E16" s="466">
        <v>0</v>
      </c>
      <c r="F16" s="466">
        <v>0</v>
      </c>
      <c r="G16" s="466">
        <v>20443</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164039</v>
      </c>
      <c r="D18" s="1732">
        <f t="shared" ref="D18:K18" si="1">SUM(D14:D17)</f>
        <v>164039</v>
      </c>
      <c r="E18" s="1732">
        <f t="shared" si="1"/>
        <v>0</v>
      </c>
      <c r="F18" s="1732">
        <f t="shared" si="1"/>
        <v>0</v>
      </c>
      <c r="G18" s="1732">
        <f t="shared" si="1"/>
        <v>20443</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22750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13471</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36221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239926</v>
      </c>
      <c r="D65" s="466">
        <v>12166</v>
      </c>
      <c r="E65" s="466">
        <v>35625</v>
      </c>
      <c r="F65" s="467">
        <v>31055</v>
      </c>
      <c r="G65" s="466">
        <v>11991</v>
      </c>
      <c r="H65" s="466">
        <v>17934</v>
      </c>
      <c r="I65" s="466">
        <v>5785</v>
      </c>
      <c r="J65" s="467">
        <v>7098</v>
      </c>
      <c r="K65" s="466">
        <v>353</v>
      </c>
    </row>
    <row r="66" spans="1:11" ht="12.75" customHeight="1" x14ac:dyDescent="0.2">
      <c r="A66" s="463" t="s">
        <v>700</v>
      </c>
      <c r="B66" s="470">
        <v>1520</v>
      </c>
      <c r="C66" s="466">
        <v>23298</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263224</v>
      </c>
      <c r="D67" s="1710">
        <f t="shared" ref="D67:K67" si="2">SUM(D65:D66)</f>
        <v>12166</v>
      </c>
      <c r="E67" s="1710">
        <f t="shared" si="2"/>
        <v>35625</v>
      </c>
      <c r="F67" s="1710">
        <f t="shared" si="2"/>
        <v>31055</v>
      </c>
      <c r="G67" s="1710">
        <f t="shared" si="2"/>
        <v>11991</v>
      </c>
      <c r="H67" s="1710">
        <f t="shared" si="2"/>
        <v>17934</v>
      </c>
      <c r="I67" s="1710">
        <f t="shared" si="2"/>
        <v>5785</v>
      </c>
      <c r="J67" s="1710">
        <f t="shared" si="2"/>
        <v>7098</v>
      </c>
      <c r="K67" s="1710">
        <f t="shared" si="2"/>
        <v>353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121809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731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122540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5700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5700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215365</v>
      </c>
      <c r="D84" s="468"/>
      <c r="E84" s="468"/>
      <c r="F84" s="468"/>
      <c r="G84" s="468"/>
      <c r="H84" s="468"/>
      <c r="I84" s="468"/>
      <c r="J84" s="468"/>
      <c r="K84" s="468"/>
    </row>
    <row r="85" spans="1:11" ht="12.75" customHeight="1" x14ac:dyDescent="0.2">
      <c r="A85" s="463" t="s">
        <v>574</v>
      </c>
      <c r="B85" s="470">
        <v>1812</v>
      </c>
      <c r="C85" s="551">
        <v>44875</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260240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33428</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47922</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47922</v>
      </c>
      <c r="D108" s="1729">
        <f t="shared" ref="D108:K108" si="3">SUM(D95:D107)</f>
        <v>33428</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18573038</v>
      </c>
      <c r="D109" s="1737">
        <f t="shared" si="4"/>
        <v>2659944</v>
      </c>
      <c r="E109" s="1737">
        <f t="shared" si="4"/>
        <v>35625</v>
      </c>
      <c r="F109" s="1737">
        <f t="shared" si="4"/>
        <v>2919964</v>
      </c>
      <c r="G109" s="1737">
        <f t="shared" si="4"/>
        <v>1029390</v>
      </c>
      <c r="H109" s="1737">
        <f t="shared" si="4"/>
        <v>17934</v>
      </c>
      <c r="I109" s="1737">
        <f t="shared" si="4"/>
        <v>226639</v>
      </c>
      <c r="J109" s="1737">
        <f t="shared" si="4"/>
        <v>129283</v>
      </c>
      <c r="K109" s="1724">
        <f t="shared" si="4"/>
        <v>353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1490424</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1490424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262406</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61004</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323410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2621</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2621</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729</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269</v>
      </c>
      <c r="G151" s="467">
        <v>0</v>
      </c>
      <c r="H151" s="468"/>
      <c r="I151" s="468"/>
      <c r="J151" s="468"/>
      <c r="K151" s="468"/>
    </row>
    <row r="152" spans="1:11" ht="12.75" customHeight="1" x14ac:dyDescent="0.2">
      <c r="A152" s="463" t="s">
        <v>1117</v>
      </c>
      <c r="B152" s="562">
        <v>3510</v>
      </c>
      <c r="C152" s="551">
        <v>0</v>
      </c>
      <c r="D152" s="466">
        <v>0</v>
      </c>
      <c r="E152" s="561"/>
      <c r="F152" s="466">
        <v>390286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390555</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7069</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4">
        <f t="shared" ref="C172:K172" si="6">SUM(C131,C140,C144,C145:C149,C154,C155:C170,C171)</f>
        <v>333829</v>
      </c>
      <c r="D172" s="1744">
        <f t="shared" si="6"/>
        <v>0</v>
      </c>
      <c r="E172" s="1744">
        <f t="shared" si="6"/>
        <v>0</v>
      </c>
      <c r="F172" s="1744">
        <f t="shared" si="6"/>
        <v>390555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1824253</v>
      </c>
      <c r="D173" s="1737">
        <f>SUM(D121,D172)</f>
        <v>0</v>
      </c>
      <c r="E173" s="1737">
        <f>SUM(E121,E172)</f>
        <v>0</v>
      </c>
      <c r="F173" s="1737">
        <f t="shared" ref="F173:K173" si="7">SUM(F121,F172)</f>
        <v>390555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81055</v>
      </c>
      <c r="D194" s="468"/>
      <c r="E194" s="561"/>
      <c r="F194" s="468"/>
      <c r="G194" s="585">
        <v>0</v>
      </c>
      <c r="H194" s="468"/>
      <c r="I194" s="468"/>
      <c r="J194" s="468"/>
      <c r="K194" s="468"/>
    </row>
    <row r="195" spans="1:11" ht="12.75" customHeight="1" x14ac:dyDescent="0.2">
      <c r="A195" s="463" t="s">
        <v>1107</v>
      </c>
      <c r="B195" s="470">
        <v>4215</v>
      </c>
      <c r="C195" s="551">
        <v>8266</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89321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130765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130765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4651</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4651</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222</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11725</v>
      </c>
      <c r="D220" s="466">
        <v>0</v>
      </c>
      <c r="E220" s="468"/>
      <c r="F220" s="466">
        <v>0</v>
      </c>
      <c r="G220" s="466">
        <v>0</v>
      </c>
      <c r="H220" s="468"/>
      <c r="I220" s="468"/>
      <c r="J220" s="468"/>
      <c r="K220" s="468"/>
    </row>
    <row r="221" spans="1:11" ht="12.75" customHeight="1" x14ac:dyDescent="0.2">
      <c r="A221" s="463" t="s">
        <v>1114</v>
      </c>
      <c r="B221" s="470">
        <v>4625</v>
      </c>
      <c r="C221" s="551">
        <v>4034</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15981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12937</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38820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38313</v>
      </c>
      <c r="D270" s="576">
        <v>0</v>
      </c>
      <c r="E270" s="468"/>
      <c r="F270" s="576">
        <v>0</v>
      </c>
      <c r="G270" s="576">
        <v>0</v>
      </c>
      <c r="H270" s="468"/>
      <c r="I270" s="468"/>
      <c r="J270" s="468"/>
      <c r="K270" s="468"/>
    </row>
    <row r="271" spans="1:11" ht="12.75" customHeight="1" thickTop="1" thickBot="1" x14ac:dyDescent="0.25">
      <c r="A271" s="463" t="s">
        <v>395</v>
      </c>
      <c r="B271" s="470">
        <v>4992</v>
      </c>
      <c r="C271" s="575">
        <v>153020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483808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483808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20881099</v>
      </c>
      <c r="D275" s="1737">
        <f t="shared" si="12"/>
        <v>2659944</v>
      </c>
      <c r="E275" s="1737">
        <f t="shared" si="12"/>
        <v>35625</v>
      </c>
      <c r="F275" s="1737">
        <f t="shared" si="12"/>
        <v>3310519</v>
      </c>
      <c r="G275" s="1737">
        <f t="shared" si="12"/>
        <v>1029390</v>
      </c>
      <c r="H275" s="1737">
        <f t="shared" si="12"/>
        <v>17934</v>
      </c>
      <c r="I275" s="1737">
        <f t="shared" si="12"/>
        <v>226639</v>
      </c>
      <c r="J275" s="1737">
        <f t="shared" si="12"/>
        <v>129283</v>
      </c>
      <c r="K275" s="1724">
        <f t="shared" si="12"/>
        <v>353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110" zoomScaleNormal="110" workbookViewId="0">
      <pane ySplit="2" topLeftCell="A333" activePane="bottomLeft" state="frozen"/>
      <selection activeCell="C13" sqref="C13"/>
      <selection pane="bottomLeft" activeCell="H356" sqref="H35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8246113</v>
      </c>
      <c r="D5" s="466">
        <v>1519107</v>
      </c>
      <c r="E5" s="466">
        <v>35234</v>
      </c>
      <c r="F5" s="466">
        <v>354510</v>
      </c>
      <c r="G5" s="466">
        <v>37118</v>
      </c>
      <c r="H5" s="466">
        <v>0</v>
      </c>
      <c r="I5" s="467">
        <v>17635</v>
      </c>
      <c r="J5" s="467">
        <v>0</v>
      </c>
      <c r="K5" s="1693">
        <f>SUM(C5:J5)</f>
        <v>10209717</v>
      </c>
      <c r="L5" s="466">
        <v>10613383</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2534139</v>
      </c>
      <c r="D8" s="466">
        <v>649937</v>
      </c>
      <c r="E8" s="466">
        <v>5726</v>
      </c>
      <c r="F8" s="466">
        <v>21266</v>
      </c>
      <c r="G8" s="466">
        <v>0</v>
      </c>
      <c r="H8" s="466">
        <v>360</v>
      </c>
      <c r="I8" s="467">
        <v>0</v>
      </c>
      <c r="J8" s="467">
        <v>0</v>
      </c>
      <c r="K8" s="1693">
        <f t="shared" si="0"/>
        <v>3211428</v>
      </c>
      <c r="L8" s="466">
        <v>3406772</v>
      </c>
    </row>
    <row r="9" spans="1:14" x14ac:dyDescent="0.2">
      <c r="A9" s="1526" t="s">
        <v>745</v>
      </c>
      <c r="B9" s="615" t="s">
        <v>1025</v>
      </c>
      <c r="C9" s="467">
        <v>0</v>
      </c>
      <c r="D9" s="467">
        <v>0</v>
      </c>
      <c r="E9" s="467">
        <v>0</v>
      </c>
      <c r="F9" s="467">
        <v>0</v>
      </c>
      <c r="G9" s="467">
        <v>0</v>
      </c>
      <c r="H9" s="467">
        <v>0</v>
      </c>
      <c r="I9" s="467">
        <v>0</v>
      </c>
      <c r="J9" s="467">
        <v>0</v>
      </c>
      <c r="K9" s="1693">
        <f t="shared" si="0"/>
        <v>0</v>
      </c>
      <c r="L9" s="466">
        <v>302615</v>
      </c>
    </row>
    <row r="10" spans="1:14" x14ac:dyDescent="0.2">
      <c r="A10" s="1526" t="s">
        <v>746</v>
      </c>
      <c r="B10" s="615">
        <v>1250</v>
      </c>
      <c r="C10" s="466">
        <v>86365</v>
      </c>
      <c r="D10" s="466">
        <v>14889</v>
      </c>
      <c r="E10" s="466">
        <v>0</v>
      </c>
      <c r="F10" s="466">
        <v>11679</v>
      </c>
      <c r="G10" s="466">
        <v>0</v>
      </c>
      <c r="H10" s="466">
        <v>0</v>
      </c>
      <c r="I10" s="467">
        <v>0</v>
      </c>
      <c r="J10" s="467">
        <v>0</v>
      </c>
      <c r="K10" s="1693">
        <f t="shared" si="0"/>
        <v>112933</v>
      </c>
      <c r="L10" s="466">
        <v>165158</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188651</v>
      </c>
      <c r="D14" s="466">
        <v>870</v>
      </c>
      <c r="E14" s="466">
        <v>10174</v>
      </c>
      <c r="F14" s="466">
        <v>4081</v>
      </c>
      <c r="G14" s="466">
        <v>0</v>
      </c>
      <c r="H14" s="466">
        <v>0</v>
      </c>
      <c r="I14" s="467">
        <v>0</v>
      </c>
      <c r="J14" s="467">
        <v>0</v>
      </c>
      <c r="K14" s="1693">
        <f t="shared" si="0"/>
        <v>203776</v>
      </c>
      <c r="L14" s="466">
        <v>190840</v>
      </c>
    </row>
    <row r="15" spans="1:14" x14ac:dyDescent="0.2">
      <c r="A15" s="1526" t="s">
        <v>1021</v>
      </c>
      <c r="B15" s="615">
        <v>1600</v>
      </c>
      <c r="C15" s="466">
        <v>26620</v>
      </c>
      <c r="D15" s="466">
        <v>3643</v>
      </c>
      <c r="E15" s="466">
        <v>0</v>
      </c>
      <c r="F15" s="466">
        <v>166</v>
      </c>
      <c r="G15" s="466">
        <v>0</v>
      </c>
      <c r="H15" s="466">
        <v>0</v>
      </c>
      <c r="I15" s="467">
        <v>0</v>
      </c>
      <c r="J15" s="467">
        <v>0</v>
      </c>
      <c r="K15" s="1693">
        <f t="shared" si="0"/>
        <v>30429</v>
      </c>
      <c r="L15" s="466">
        <v>53989</v>
      </c>
    </row>
    <row r="16" spans="1:14" x14ac:dyDescent="0.2">
      <c r="A16" s="1526" t="s">
        <v>1044</v>
      </c>
      <c r="B16" s="615" t="s">
        <v>444</v>
      </c>
      <c r="C16" s="466">
        <v>209810</v>
      </c>
      <c r="D16" s="466">
        <v>20719</v>
      </c>
      <c r="E16" s="466">
        <v>0</v>
      </c>
      <c r="F16" s="466">
        <v>0</v>
      </c>
      <c r="G16" s="466">
        <v>0</v>
      </c>
      <c r="H16" s="466">
        <v>0</v>
      </c>
      <c r="I16" s="467">
        <v>0</v>
      </c>
      <c r="J16" s="467">
        <v>0</v>
      </c>
      <c r="K16" s="1693">
        <f t="shared" si="0"/>
        <v>230529</v>
      </c>
      <c r="L16" s="466">
        <v>179836</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29</v>
      </c>
      <c r="E18" s="466">
        <v>0</v>
      </c>
      <c r="F18" s="466">
        <v>18298</v>
      </c>
      <c r="G18" s="466">
        <v>0</v>
      </c>
      <c r="H18" s="466">
        <v>0</v>
      </c>
      <c r="I18" s="467">
        <v>0</v>
      </c>
      <c r="J18" s="467">
        <v>0</v>
      </c>
      <c r="K18" s="1693">
        <f t="shared" si="0"/>
        <v>18327</v>
      </c>
      <c r="L18" s="466">
        <v>35670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1170</v>
      </c>
      <c r="I21" s="617"/>
      <c r="J21" s="477"/>
      <c r="K21" s="1693">
        <f t="shared" si="0"/>
        <v>1170</v>
      </c>
      <c r="L21" s="471">
        <v>0</v>
      </c>
    </row>
    <row r="22" spans="1:12" x14ac:dyDescent="0.2">
      <c r="A22" s="1527" t="s">
        <v>764</v>
      </c>
      <c r="B22" s="603" t="s">
        <v>751</v>
      </c>
      <c r="C22" s="477"/>
      <c r="D22" s="477"/>
      <c r="E22" s="477"/>
      <c r="F22" s="477"/>
      <c r="G22" s="477"/>
      <c r="H22" s="474">
        <v>719496</v>
      </c>
      <c r="I22" s="617"/>
      <c r="J22" s="477"/>
      <c r="K22" s="1693">
        <f t="shared" si="0"/>
        <v>719496</v>
      </c>
      <c r="L22" s="471">
        <v>533014</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11291698</v>
      </c>
      <c r="D33" s="1692">
        <f t="shared" ref="D33:L33" si="1">SUM(D5:D32)</f>
        <v>2209194</v>
      </c>
      <c r="E33" s="1692">
        <f t="shared" si="1"/>
        <v>51134</v>
      </c>
      <c r="F33" s="1692">
        <f t="shared" si="1"/>
        <v>410000</v>
      </c>
      <c r="G33" s="1692">
        <f t="shared" si="1"/>
        <v>37118</v>
      </c>
      <c r="H33" s="1692">
        <f t="shared" si="1"/>
        <v>721026</v>
      </c>
      <c r="I33" s="1692">
        <f t="shared" si="1"/>
        <v>17635</v>
      </c>
      <c r="J33" s="1692">
        <f t="shared" si="1"/>
        <v>0</v>
      </c>
      <c r="K33" s="1692">
        <f t="shared" si="1"/>
        <v>14737805</v>
      </c>
      <c r="L33" s="1692">
        <f t="shared" si="1"/>
        <v>15481277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387146</v>
      </c>
      <c r="D36" s="481">
        <v>48887</v>
      </c>
      <c r="E36" s="481">
        <v>9656</v>
      </c>
      <c r="F36" s="481">
        <v>961</v>
      </c>
      <c r="G36" s="481">
        <v>0</v>
      </c>
      <c r="H36" s="481">
        <v>0</v>
      </c>
      <c r="I36" s="467">
        <v>0</v>
      </c>
      <c r="J36" s="467">
        <v>0</v>
      </c>
      <c r="K36" s="1693">
        <f t="shared" ref="K36:K41" si="2">SUM(C36:J36)</f>
        <v>446650</v>
      </c>
      <c r="L36" s="466">
        <v>355024</v>
      </c>
    </row>
    <row r="37" spans="1:14" x14ac:dyDescent="0.2">
      <c r="A37" s="1526" t="s">
        <v>1151</v>
      </c>
      <c r="B37" s="615">
        <v>2120</v>
      </c>
      <c r="C37" s="466">
        <v>0</v>
      </c>
      <c r="D37" s="466">
        <v>9378</v>
      </c>
      <c r="E37" s="466">
        <v>0</v>
      </c>
      <c r="F37" s="466">
        <v>0</v>
      </c>
      <c r="G37" s="466">
        <v>0</v>
      </c>
      <c r="H37" s="466">
        <v>0</v>
      </c>
      <c r="I37" s="467">
        <v>0</v>
      </c>
      <c r="J37" s="467">
        <v>0</v>
      </c>
      <c r="K37" s="1693">
        <f t="shared" si="2"/>
        <v>9378</v>
      </c>
      <c r="L37" s="466">
        <v>87745</v>
      </c>
    </row>
    <row r="38" spans="1:14" x14ac:dyDescent="0.2">
      <c r="A38" s="1526" t="s">
        <v>207</v>
      </c>
      <c r="B38" s="615">
        <v>2130</v>
      </c>
      <c r="C38" s="466">
        <v>192775</v>
      </c>
      <c r="D38" s="466">
        <v>47746</v>
      </c>
      <c r="E38" s="466">
        <v>13580</v>
      </c>
      <c r="F38" s="466">
        <v>2730</v>
      </c>
      <c r="G38" s="466">
        <v>0</v>
      </c>
      <c r="H38" s="466">
        <v>0</v>
      </c>
      <c r="I38" s="467">
        <v>1704</v>
      </c>
      <c r="J38" s="467">
        <v>0</v>
      </c>
      <c r="K38" s="1693">
        <f t="shared" si="2"/>
        <v>258535</v>
      </c>
      <c r="L38" s="466">
        <v>242383</v>
      </c>
    </row>
    <row r="39" spans="1:14" x14ac:dyDescent="0.2">
      <c r="A39" s="1526" t="s">
        <v>208</v>
      </c>
      <c r="B39" s="615">
        <v>2140</v>
      </c>
      <c r="C39" s="466">
        <v>0</v>
      </c>
      <c r="D39" s="466">
        <v>0</v>
      </c>
      <c r="E39" s="466">
        <v>0</v>
      </c>
      <c r="F39" s="466">
        <v>2505</v>
      </c>
      <c r="G39" s="466">
        <v>0</v>
      </c>
      <c r="H39" s="466">
        <v>0</v>
      </c>
      <c r="I39" s="467">
        <v>0</v>
      </c>
      <c r="J39" s="467">
        <v>0</v>
      </c>
      <c r="K39" s="1693">
        <f t="shared" si="2"/>
        <v>2505</v>
      </c>
      <c r="L39" s="466">
        <v>8000</v>
      </c>
    </row>
    <row r="40" spans="1:14" x14ac:dyDescent="0.2">
      <c r="A40" s="1526" t="s">
        <v>209</v>
      </c>
      <c r="B40" s="615">
        <v>2150</v>
      </c>
      <c r="C40" s="466">
        <v>293685</v>
      </c>
      <c r="D40" s="466">
        <v>54295</v>
      </c>
      <c r="E40" s="466">
        <v>31454</v>
      </c>
      <c r="F40" s="466">
        <v>2168</v>
      </c>
      <c r="G40" s="466">
        <v>0</v>
      </c>
      <c r="H40" s="466">
        <v>0</v>
      </c>
      <c r="I40" s="467">
        <v>0</v>
      </c>
      <c r="J40" s="467">
        <v>0</v>
      </c>
      <c r="K40" s="1693">
        <f t="shared" si="2"/>
        <v>381602</v>
      </c>
      <c r="L40" s="466">
        <v>403049</v>
      </c>
    </row>
    <row r="41" spans="1:14" x14ac:dyDescent="0.2">
      <c r="A41" s="1526" t="s">
        <v>1768</v>
      </c>
      <c r="B41" s="615">
        <v>2190</v>
      </c>
      <c r="C41" s="466">
        <v>67314</v>
      </c>
      <c r="D41" s="466">
        <v>0</v>
      </c>
      <c r="E41" s="466">
        <v>7883</v>
      </c>
      <c r="F41" s="466">
        <v>0</v>
      </c>
      <c r="G41" s="466">
        <v>0</v>
      </c>
      <c r="H41" s="466">
        <v>0</v>
      </c>
      <c r="I41" s="467">
        <v>0</v>
      </c>
      <c r="J41" s="467">
        <v>0</v>
      </c>
      <c r="K41" s="1693">
        <f t="shared" si="2"/>
        <v>75197</v>
      </c>
      <c r="L41" s="466">
        <v>122749</v>
      </c>
    </row>
    <row r="42" spans="1:14" ht="12.75" customHeight="1" thickBot="1" x14ac:dyDescent="0.25">
      <c r="A42" s="1690" t="s">
        <v>581</v>
      </c>
      <c r="B42" s="1691" t="s">
        <v>740</v>
      </c>
      <c r="C42" s="1692">
        <f>SUM(C36:C41)</f>
        <v>940920</v>
      </c>
      <c r="D42" s="1692">
        <f t="shared" ref="D42:L42" si="3">SUM(D36:D41)</f>
        <v>160306</v>
      </c>
      <c r="E42" s="1692">
        <f t="shared" si="3"/>
        <v>62573</v>
      </c>
      <c r="F42" s="1692">
        <f t="shared" si="3"/>
        <v>8364</v>
      </c>
      <c r="G42" s="1692">
        <f t="shared" si="3"/>
        <v>0</v>
      </c>
      <c r="H42" s="1692">
        <f t="shared" si="3"/>
        <v>0</v>
      </c>
      <c r="I42" s="1692">
        <f t="shared" si="3"/>
        <v>1704</v>
      </c>
      <c r="J42" s="1692">
        <f t="shared" si="3"/>
        <v>0</v>
      </c>
      <c r="K42" s="1692">
        <f t="shared" si="3"/>
        <v>1173867</v>
      </c>
      <c r="L42" s="1692">
        <f t="shared" si="3"/>
        <v>1218950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25731</v>
      </c>
      <c r="D44" s="481">
        <v>7842</v>
      </c>
      <c r="E44" s="481">
        <v>214021</v>
      </c>
      <c r="F44" s="481">
        <v>282493</v>
      </c>
      <c r="G44" s="481">
        <v>0</v>
      </c>
      <c r="H44" s="481">
        <v>0</v>
      </c>
      <c r="I44" s="467">
        <v>0</v>
      </c>
      <c r="J44" s="467">
        <v>0</v>
      </c>
      <c r="K44" s="1694">
        <f>SUM(C44:J44)</f>
        <v>530087</v>
      </c>
      <c r="L44" s="481">
        <v>468379</v>
      </c>
    </row>
    <row r="45" spans="1:14" x14ac:dyDescent="0.2">
      <c r="A45" s="1526" t="s">
        <v>869</v>
      </c>
      <c r="B45" s="615">
        <v>2220</v>
      </c>
      <c r="C45" s="466">
        <v>503250</v>
      </c>
      <c r="D45" s="466">
        <v>109503</v>
      </c>
      <c r="E45" s="466">
        <v>128150</v>
      </c>
      <c r="F45" s="466">
        <v>407560</v>
      </c>
      <c r="G45" s="466">
        <v>110631</v>
      </c>
      <c r="H45" s="466">
        <v>0</v>
      </c>
      <c r="I45" s="467">
        <v>20544</v>
      </c>
      <c r="J45" s="467">
        <v>0</v>
      </c>
      <c r="K45" s="1694">
        <f>SUM(C45:J45)</f>
        <v>1279638</v>
      </c>
      <c r="L45" s="466">
        <v>1205734</v>
      </c>
    </row>
    <row r="46" spans="1:14" x14ac:dyDescent="0.2">
      <c r="A46" s="1526" t="s">
        <v>870</v>
      </c>
      <c r="B46" s="615">
        <v>2230</v>
      </c>
      <c r="C46" s="466">
        <v>0</v>
      </c>
      <c r="D46" s="466">
        <v>0</v>
      </c>
      <c r="E46" s="466">
        <v>8750</v>
      </c>
      <c r="F46" s="466">
        <v>7469</v>
      </c>
      <c r="G46" s="466">
        <v>0</v>
      </c>
      <c r="H46" s="466">
        <v>0</v>
      </c>
      <c r="I46" s="467">
        <v>0</v>
      </c>
      <c r="J46" s="467">
        <v>0</v>
      </c>
      <c r="K46" s="1694">
        <f>SUM(C46:J46)</f>
        <v>16219</v>
      </c>
      <c r="L46" s="466">
        <v>20500</v>
      </c>
    </row>
    <row r="47" spans="1:14" ht="12.75" customHeight="1" thickBot="1" x14ac:dyDescent="0.25">
      <c r="A47" s="1690" t="s">
        <v>582</v>
      </c>
      <c r="B47" s="1691" t="s">
        <v>32</v>
      </c>
      <c r="C47" s="1692">
        <f>SUM(C44:C46)</f>
        <v>528981</v>
      </c>
      <c r="D47" s="1692">
        <f t="shared" ref="D47:K47" si="4">SUM(D44:D46)</f>
        <v>117345</v>
      </c>
      <c r="E47" s="1692">
        <f t="shared" si="4"/>
        <v>350921</v>
      </c>
      <c r="F47" s="1692">
        <f t="shared" si="4"/>
        <v>697522</v>
      </c>
      <c r="G47" s="1692">
        <f t="shared" si="4"/>
        <v>110631</v>
      </c>
      <c r="H47" s="1692">
        <f t="shared" si="4"/>
        <v>0</v>
      </c>
      <c r="I47" s="1692">
        <f t="shared" si="4"/>
        <v>20544</v>
      </c>
      <c r="J47" s="1692">
        <f t="shared" si="4"/>
        <v>0</v>
      </c>
      <c r="K47" s="1692">
        <f t="shared" si="4"/>
        <v>1825944</v>
      </c>
      <c r="L47" s="1692">
        <f>SUM(L44:L46)</f>
        <v>1694613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183488</v>
      </c>
      <c r="D49" s="481">
        <v>24042</v>
      </c>
      <c r="E49" s="481">
        <v>155271</v>
      </c>
      <c r="F49" s="481">
        <v>3923</v>
      </c>
      <c r="G49" s="481">
        <v>0</v>
      </c>
      <c r="H49" s="481">
        <v>12715</v>
      </c>
      <c r="I49" s="467">
        <v>0</v>
      </c>
      <c r="J49" s="467">
        <v>0</v>
      </c>
      <c r="K49" s="1694">
        <f>SUM(C49:J49)</f>
        <v>379439</v>
      </c>
      <c r="L49" s="481">
        <v>412184</v>
      </c>
    </row>
    <row r="50" spans="1:14" x14ac:dyDescent="0.2">
      <c r="A50" s="1526" t="s">
        <v>872</v>
      </c>
      <c r="B50" s="615">
        <v>2320</v>
      </c>
      <c r="C50" s="466">
        <v>306133</v>
      </c>
      <c r="D50" s="466">
        <v>68242</v>
      </c>
      <c r="E50" s="466">
        <v>54916</v>
      </c>
      <c r="F50" s="466">
        <v>2494</v>
      </c>
      <c r="G50" s="466">
        <v>0</v>
      </c>
      <c r="H50" s="466">
        <v>8591</v>
      </c>
      <c r="I50" s="467">
        <v>0</v>
      </c>
      <c r="J50" s="467">
        <v>0</v>
      </c>
      <c r="K50" s="1694">
        <f>SUM(C50:J50)</f>
        <v>440376</v>
      </c>
      <c r="L50" s="466">
        <v>411486</v>
      </c>
    </row>
    <row r="51" spans="1:14" x14ac:dyDescent="0.2">
      <c r="A51" s="1526" t="s">
        <v>44</v>
      </c>
      <c r="B51" s="615">
        <v>2330</v>
      </c>
      <c r="C51" s="466">
        <v>228450</v>
      </c>
      <c r="D51" s="466">
        <v>32729</v>
      </c>
      <c r="E51" s="466">
        <v>0</v>
      </c>
      <c r="F51" s="466">
        <v>0</v>
      </c>
      <c r="G51" s="466">
        <v>0</v>
      </c>
      <c r="H51" s="466">
        <v>0</v>
      </c>
      <c r="I51" s="467">
        <v>0</v>
      </c>
      <c r="J51" s="467">
        <v>0</v>
      </c>
      <c r="K51" s="1694">
        <f>SUM(C51:J51)</f>
        <v>261179</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718071</v>
      </c>
      <c r="D53" s="1692">
        <f t="shared" ref="D53:L53" si="5">SUM(D49:D52)</f>
        <v>125013</v>
      </c>
      <c r="E53" s="1692">
        <f t="shared" si="5"/>
        <v>210187</v>
      </c>
      <c r="F53" s="1692">
        <f t="shared" si="5"/>
        <v>6417</v>
      </c>
      <c r="G53" s="1692">
        <f t="shared" si="5"/>
        <v>0</v>
      </c>
      <c r="H53" s="1692">
        <f t="shared" si="5"/>
        <v>21306</v>
      </c>
      <c r="I53" s="1692">
        <f t="shared" si="5"/>
        <v>0</v>
      </c>
      <c r="J53" s="1692">
        <f t="shared" si="5"/>
        <v>0</v>
      </c>
      <c r="K53" s="1692">
        <f t="shared" si="5"/>
        <v>1080994</v>
      </c>
      <c r="L53" s="1692">
        <f t="shared" si="5"/>
        <v>823670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982873</v>
      </c>
      <c r="D55" s="481">
        <v>272563</v>
      </c>
      <c r="E55" s="481">
        <v>27135</v>
      </c>
      <c r="F55" s="481">
        <v>21889</v>
      </c>
      <c r="G55" s="481">
        <v>0</v>
      </c>
      <c r="H55" s="481">
        <v>3053</v>
      </c>
      <c r="I55" s="467">
        <v>0</v>
      </c>
      <c r="J55" s="467">
        <v>0</v>
      </c>
      <c r="K55" s="1694">
        <f>SUM(C55:J55)</f>
        <v>1307513</v>
      </c>
      <c r="L55" s="481">
        <v>1349427</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982873</v>
      </c>
      <c r="D57" s="1696">
        <f t="shared" ref="D57:K57" si="6">SUM(D55:D56)</f>
        <v>272563</v>
      </c>
      <c r="E57" s="1696">
        <f t="shared" si="6"/>
        <v>27135</v>
      </c>
      <c r="F57" s="1696">
        <f t="shared" si="6"/>
        <v>21889</v>
      </c>
      <c r="G57" s="1696">
        <f t="shared" si="6"/>
        <v>0</v>
      </c>
      <c r="H57" s="1696">
        <f t="shared" si="6"/>
        <v>3053</v>
      </c>
      <c r="I57" s="1696">
        <f t="shared" si="6"/>
        <v>0</v>
      </c>
      <c r="J57" s="1696">
        <f t="shared" si="6"/>
        <v>0</v>
      </c>
      <c r="K57" s="1696">
        <f t="shared" si="6"/>
        <v>1307513</v>
      </c>
      <c r="L57" s="1692">
        <f>SUM(L55:L56)</f>
        <v>1349427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63454</v>
      </c>
      <c r="D59" s="481">
        <v>473</v>
      </c>
      <c r="E59" s="481">
        <v>0</v>
      </c>
      <c r="F59" s="481">
        <v>0</v>
      </c>
      <c r="G59" s="481">
        <v>0</v>
      </c>
      <c r="H59" s="481">
        <v>0</v>
      </c>
      <c r="I59" s="467">
        <v>0</v>
      </c>
      <c r="J59" s="467">
        <v>0</v>
      </c>
      <c r="K59" s="1694">
        <f t="shared" ref="K59:K64" si="7">SUM(C59:J59)</f>
        <v>63927</v>
      </c>
      <c r="L59" s="481">
        <v>121880</v>
      </c>
      <c r="M59" s="610"/>
      <c r="N59" s="610"/>
    </row>
    <row r="60" spans="1:14" s="343" customFormat="1" x14ac:dyDescent="0.2">
      <c r="A60" s="1526" t="s">
        <v>483</v>
      </c>
      <c r="B60" s="615">
        <v>2520</v>
      </c>
      <c r="C60" s="466">
        <v>101794</v>
      </c>
      <c r="D60" s="466">
        <v>33696</v>
      </c>
      <c r="E60" s="466">
        <v>79083</v>
      </c>
      <c r="F60" s="466">
        <v>14624</v>
      </c>
      <c r="G60" s="466">
        <v>0</v>
      </c>
      <c r="H60" s="466">
        <v>0</v>
      </c>
      <c r="I60" s="467">
        <v>0</v>
      </c>
      <c r="J60" s="467">
        <v>0</v>
      </c>
      <c r="K60" s="1694">
        <f t="shared" si="7"/>
        <v>229197</v>
      </c>
      <c r="L60" s="466">
        <v>218820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91240</v>
      </c>
      <c r="D63" s="466">
        <v>34331</v>
      </c>
      <c r="E63" s="466">
        <v>526</v>
      </c>
      <c r="F63" s="466">
        <v>69176</v>
      </c>
      <c r="G63" s="466">
        <v>3238</v>
      </c>
      <c r="H63" s="466">
        <v>53</v>
      </c>
      <c r="I63" s="467">
        <v>0</v>
      </c>
      <c r="J63" s="467">
        <v>0</v>
      </c>
      <c r="K63" s="1694">
        <f t="shared" si="7"/>
        <v>198564</v>
      </c>
      <c r="L63" s="466">
        <v>199809</v>
      </c>
    </row>
    <row r="64" spans="1:14" s="610" customFormat="1" x14ac:dyDescent="0.2">
      <c r="A64" s="1531" t="s">
        <v>103</v>
      </c>
      <c r="B64" s="631">
        <v>2570</v>
      </c>
      <c r="C64" s="481">
        <v>0</v>
      </c>
      <c r="D64" s="481">
        <v>0</v>
      </c>
      <c r="E64" s="481">
        <v>9157</v>
      </c>
      <c r="F64" s="481">
        <v>0</v>
      </c>
      <c r="G64" s="481">
        <v>0</v>
      </c>
      <c r="H64" s="481">
        <v>0</v>
      </c>
      <c r="I64" s="467">
        <v>0</v>
      </c>
      <c r="J64" s="467">
        <v>0</v>
      </c>
      <c r="K64" s="1694">
        <f t="shared" si="7"/>
        <v>9157</v>
      </c>
      <c r="L64" s="481">
        <v>11500</v>
      </c>
    </row>
    <row r="65" spans="1:14" s="343" customFormat="1" ht="12.75" customHeight="1" thickBot="1" x14ac:dyDescent="0.25">
      <c r="A65" s="1690" t="s">
        <v>743</v>
      </c>
      <c r="B65" s="1691" t="s">
        <v>35</v>
      </c>
      <c r="C65" s="1692">
        <f>SUM(C59:C64)</f>
        <v>256488</v>
      </c>
      <c r="D65" s="1692">
        <f t="shared" ref="D65:L65" si="8">SUM(D59:D64)</f>
        <v>68500</v>
      </c>
      <c r="E65" s="1692">
        <f t="shared" si="8"/>
        <v>88766</v>
      </c>
      <c r="F65" s="1692">
        <f t="shared" si="8"/>
        <v>83800</v>
      </c>
      <c r="G65" s="1692">
        <f t="shared" si="8"/>
        <v>3238</v>
      </c>
      <c r="H65" s="1692">
        <f t="shared" si="8"/>
        <v>53</v>
      </c>
      <c r="I65" s="1692">
        <f t="shared" si="8"/>
        <v>0</v>
      </c>
      <c r="J65" s="1692">
        <f t="shared" si="8"/>
        <v>0</v>
      </c>
      <c r="K65" s="1692">
        <f t="shared" si="8"/>
        <v>500845</v>
      </c>
      <c r="L65" s="1692">
        <f t="shared" si="8"/>
        <v>552009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1062</v>
      </c>
      <c r="G73" s="573">
        <v>0</v>
      </c>
      <c r="H73" s="573">
        <v>0</v>
      </c>
      <c r="I73" s="531">
        <v>0</v>
      </c>
      <c r="J73" s="531">
        <v>0</v>
      </c>
      <c r="K73" s="1692">
        <f>SUM(C73:J73)</f>
        <v>1062</v>
      </c>
      <c r="L73" s="576">
        <v>1800</v>
      </c>
      <c r="M73" s="610"/>
      <c r="N73" s="610"/>
    </row>
    <row r="74" spans="1:14" ht="12.75" customHeight="1" thickTop="1" thickBot="1" x14ac:dyDescent="0.25">
      <c r="A74" s="1690" t="s">
        <v>865</v>
      </c>
      <c r="B74" s="1698">
        <v>2000</v>
      </c>
      <c r="C74" s="1699">
        <f>SUM(C42,C47,C53,C57,C65,C72,C73)</f>
        <v>3427333</v>
      </c>
      <c r="D74" s="1699">
        <f t="shared" ref="D74:K74" si="10">SUM(D42,D47,D53,D57,D65,D72,D73)</f>
        <v>743727</v>
      </c>
      <c r="E74" s="1699">
        <f t="shared" si="10"/>
        <v>739582</v>
      </c>
      <c r="F74" s="1699">
        <f t="shared" si="10"/>
        <v>819054</v>
      </c>
      <c r="G74" s="1699">
        <f t="shared" si="10"/>
        <v>113869</v>
      </c>
      <c r="H74" s="1699">
        <f t="shared" si="10"/>
        <v>24412</v>
      </c>
      <c r="I74" s="1699">
        <f t="shared" si="10"/>
        <v>22248</v>
      </c>
      <c r="J74" s="1699">
        <f t="shared" si="10"/>
        <v>0</v>
      </c>
      <c r="K74" s="1699">
        <f t="shared" si="10"/>
        <v>5890225</v>
      </c>
      <c r="L74" s="1699">
        <f>SUM(L42,L47,L53,L57,L65,L72,L73)</f>
        <v>5640469</v>
      </c>
    </row>
    <row r="75" spans="1:14" s="259" customFormat="1" ht="15.75" customHeight="1" thickTop="1" thickBot="1" x14ac:dyDescent="0.25">
      <c r="A75" s="1632" t="s">
        <v>49</v>
      </c>
      <c r="B75" s="1633" t="s">
        <v>596</v>
      </c>
      <c r="C75" s="573">
        <v>4139</v>
      </c>
      <c r="D75" s="573">
        <v>442</v>
      </c>
      <c r="E75" s="573">
        <v>22311</v>
      </c>
      <c r="F75" s="573">
        <v>511</v>
      </c>
      <c r="G75" s="573">
        <v>0</v>
      </c>
      <c r="H75" s="573">
        <v>0</v>
      </c>
      <c r="I75" s="531">
        <v>0</v>
      </c>
      <c r="J75" s="531">
        <v>0</v>
      </c>
      <c r="K75" s="1692">
        <f>SUM(C75:J75)</f>
        <v>27403</v>
      </c>
      <c r="L75" s="576">
        <v>29992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772418</v>
      </c>
      <c r="F79" s="617"/>
      <c r="G79" s="617"/>
      <c r="H79" s="466">
        <v>0</v>
      </c>
      <c r="I79" s="477"/>
      <c r="J79" s="477"/>
      <c r="K79" s="1693">
        <f t="shared" si="11"/>
        <v>772418</v>
      </c>
      <c r="L79" s="466">
        <v>1321032</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772418</v>
      </c>
      <c r="F84" s="617"/>
      <c r="G84" s="617"/>
      <c r="H84" s="1692">
        <f>SUM(H78:H83)</f>
        <v>0</v>
      </c>
      <c r="I84" s="477"/>
      <c r="J84" s="477"/>
      <c r="K84" s="1692">
        <f>SUM(K78:K83)</f>
        <v>772418</v>
      </c>
      <c r="L84" s="1692">
        <f>SUM(L78:L83)</f>
        <v>1321032</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726711</v>
      </c>
      <c r="I86" s="477"/>
      <c r="J86" s="477"/>
      <c r="K86" s="1699">
        <f t="shared" ref="K86:K98" si="12">H86</f>
        <v>726711</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726711</v>
      </c>
      <c r="I92" s="477"/>
      <c r="J92" s="477"/>
      <c r="K92" s="1699">
        <f t="shared" si="12"/>
        <v>726711</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772418</v>
      </c>
      <c r="F102" s="617"/>
      <c r="G102" s="617"/>
      <c r="H102" s="1699">
        <f>SUM(H84,H92,H100,H101)</f>
        <v>726711</v>
      </c>
      <c r="I102" s="477"/>
      <c r="J102" s="477"/>
      <c r="K102" s="1699">
        <f>SUM(K84,K92,K100,K101)</f>
        <v>1499129</v>
      </c>
      <c r="L102" s="1699">
        <f>SUM(L84,L92,L100,L101)</f>
        <v>1321032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14723170</v>
      </c>
      <c r="D114" s="1692">
        <f t="shared" ref="D114:K114" si="13">SUM(D33,D74,D75,D102,D112,D113)</f>
        <v>2953363</v>
      </c>
      <c r="E114" s="1692">
        <f t="shared" si="13"/>
        <v>1585445</v>
      </c>
      <c r="F114" s="1692">
        <f t="shared" si="13"/>
        <v>1229565</v>
      </c>
      <c r="G114" s="1692">
        <f t="shared" si="13"/>
        <v>150987</v>
      </c>
      <c r="H114" s="1692">
        <f>SUM(H33,H74,H75,H102,H112,H113)</f>
        <v>1472149</v>
      </c>
      <c r="I114" s="1692">
        <f t="shared" si="13"/>
        <v>39883</v>
      </c>
      <c r="J114" s="1692">
        <f t="shared" si="13"/>
        <v>0</v>
      </c>
      <c r="K114" s="1692">
        <f t="shared" si="13"/>
        <v>22154562</v>
      </c>
      <c r="L114" s="1692">
        <f>SUM(L33,L74,L75,L102,L112,L113)</f>
        <v>22472770</v>
      </c>
    </row>
    <row r="115" spans="1:14" ht="13.5" thickTop="1" x14ac:dyDescent="0.2">
      <c r="A115" s="2197" t="s">
        <v>1053</v>
      </c>
      <c r="B115" s="2198"/>
      <c r="C115" s="619"/>
      <c r="D115" s="619"/>
      <c r="E115" s="619"/>
      <c r="F115" s="619"/>
      <c r="G115" s="619"/>
      <c r="H115" s="619"/>
      <c r="I115" s="619"/>
      <c r="J115" s="619"/>
      <c r="K115" s="1706">
        <f>'Revenues 9-14'!C275-'Expenditures 15-22'!K114</f>
        <v>-1273463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963176</v>
      </c>
      <c r="D124" s="466">
        <v>250732</v>
      </c>
      <c r="E124" s="466">
        <v>453256</v>
      </c>
      <c r="F124" s="466">
        <v>411716</v>
      </c>
      <c r="G124" s="466">
        <v>544290</v>
      </c>
      <c r="H124" s="466">
        <v>0</v>
      </c>
      <c r="I124" s="467">
        <v>575</v>
      </c>
      <c r="J124" s="467">
        <v>0</v>
      </c>
      <c r="K124" s="1692">
        <f>SUM(C124:J124)</f>
        <v>2623745</v>
      </c>
      <c r="L124" s="466">
        <v>2955643</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963176</v>
      </c>
      <c r="D127" s="1692">
        <f t="shared" ref="D127:L127" si="14">SUM(D122:D126)</f>
        <v>250732</v>
      </c>
      <c r="E127" s="1692">
        <f t="shared" si="14"/>
        <v>453256</v>
      </c>
      <c r="F127" s="1692">
        <f t="shared" si="14"/>
        <v>411716</v>
      </c>
      <c r="G127" s="1692">
        <f t="shared" si="14"/>
        <v>544290</v>
      </c>
      <c r="H127" s="1692">
        <f t="shared" si="14"/>
        <v>0</v>
      </c>
      <c r="I127" s="1692">
        <f t="shared" si="14"/>
        <v>575</v>
      </c>
      <c r="J127" s="1692">
        <f t="shared" si="14"/>
        <v>0</v>
      </c>
      <c r="K127" s="1692">
        <f t="shared" si="14"/>
        <v>2623745</v>
      </c>
      <c r="L127" s="1692">
        <f t="shared" si="14"/>
        <v>2955643</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963176</v>
      </c>
      <c r="D129" s="1699">
        <f t="shared" ref="D129:L129" si="15">SUM(D120,D127,D128)</f>
        <v>250732</v>
      </c>
      <c r="E129" s="1699">
        <f t="shared" si="15"/>
        <v>453256</v>
      </c>
      <c r="F129" s="1699">
        <f t="shared" si="15"/>
        <v>411716</v>
      </c>
      <c r="G129" s="1699">
        <f t="shared" si="15"/>
        <v>544290</v>
      </c>
      <c r="H129" s="1699">
        <f t="shared" si="15"/>
        <v>0</v>
      </c>
      <c r="I129" s="1699">
        <f t="shared" si="15"/>
        <v>575</v>
      </c>
      <c r="J129" s="1699">
        <f t="shared" si="15"/>
        <v>0</v>
      </c>
      <c r="K129" s="1699">
        <f t="shared" si="15"/>
        <v>2623745</v>
      </c>
      <c r="L129" s="1699">
        <f t="shared" si="15"/>
        <v>2955643</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7" t="s">
        <v>641</v>
      </c>
      <c r="B151" s="2169"/>
      <c r="C151" s="1692">
        <f>SUM(C129,C130,C139,C149,C150)</f>
        <v>963176</v>
      </c>
      <c r="D151" s="1692">
        <f t="shared" ref="D151:K151" si="16">SUM(D129,D130,D139,D149,D150)</f>
        <v>250732</v>
      </c>
      <c r="E151" s="1692">
        <f t="shared" si="16"/>
        <v>453256</v>
      </c>
      <c r="F151" s="1692">
        <f t="shared" si="16"/>
        <v>411716</v>
      </c>
      <c r="G151" s="1692">
        <f t="shared" si="16"/>
        <v>544290</v>
      </c>
      <c r="H151" s="1692">
        <f t="shared" si="16"/>
        <v>0</v>
      </c>
      <c r="I151" s="1692">
        <f t="shared" si="16"/>
        <v>575</v>
      </c>
      <c r="J151" s="1692">
        <f t="shared" si="16"/>
        <v>0</v>
      </c>
      <c r="K151" s="1692">
        <f t="shared" si="16"/>
        <v>2623745</v>
      </c>
      <c r="L151" s="1692">
        <f>SUM(L129,L130,L139,L149,L150)</f>
        <v>2955643</v>
      </c>
    </row>
    <row r="152" spans="1:14" ht="12.75" customHeight="1" thickTop="1" x14ac:dyDescent="0.2">
      <c r="A152" s="2190" t="s">
        <v>1240</v>
      </c>
      <c r="B152" s="2191"/>
      <c r="C152" s="619"/>
      <c r="D152" s="619"/>
      <c r="E152" s="619"/>
      <c r="F152" s="619"/>
      <c r="G152" s="619"/>
      <c r="H152" s="619"/>
      <c r="I152" s="619"/>
      <c r="J152" s="617"/>
      <c r="K152" s="1706">
        <f>'Revenues 9-14'!D275-'Expenditures 15-22'!K151</f>
        <v>36199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137200</v>
      </c>
      <c r="I169" s="617"/>
      <c r="J169" s="617"/>
      <c r="K169" s="1693">
        <f>SUM(C169:H169)</f>
        <v>137200</v>
      </c>
      <c r="L169" s="657">
        <v>198275</v>
      </c>
    </row>
    <row r="170" spans="1:14" ht="33.75" customHeight="1" x14ac:dyDescent="0.2">
      <c r="A170" s="670" t="s">
        <v>1769</v>
      </c>
      <c r="B170" s="672" t="s">
        <v>31</v>
      </c>
      <c r="C170" s="617"/>
      <c r="D170" s="617"/>
      <c r="E170" s="617"/>
      <c r="F170" s="617"/>
      <c r="G170" s="617"/>
      <c r="H170" s="569">
        <v>1010000</v>
      </c>
      <c r="I170" s="617"/>
      <c r="J170" s="617"/>
      <c r="K170" s="1693">
        <f>SUM(C170:J170)</f>
        <v>1010000</v>
      </c>
      <c r="L170" s="569">
        <v>945000</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1147200</v>
      </c>
      <c r="I172" s="639"/>
      <c r="J172" s="617"/>
      <c r="K172" s="1699">
        <f>SUM(K168,K169,K170,K171)</f>
        <v>1147200</v>
      </c>
      <c r="L172" s="1699">
        <f>SUM(L168,L169,L170,L171)</f>
        <v>1143275</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1147200</v>
      </c>
      <c r="I174" s="639"/>
      <c r="J174" s="617"/>
      <c r="K174" s="1699">
        <f>SUM(K160,K172,K173)</f>
        <v>1147200</v>
      </c>
      <c r="L174" s="1699">
        <f>SUM(L160,L172,L173)</f>
        <v>1143275</v>
      </c>
    </row>
    <row r="175" spans="1:14" ht="13.5" thickTop="1" x14ac:dyDescent="0.2">
      <c r="A175" s="2197" t="s">
        <v>1053</v>
      </c>
      <c r="B175" s="2198"/>
      <c r="C175" s="617"/>
      <c r="D175" s="617"/>
      <c r="E175" s="617"/>
      <c r="F175" s="617"/>
      <c r="G175" s="617"/>
      <c r="H175" s="619"/>
      <c r="I175" s="617"/>
      <c r="J175" s="617"/>
      <c r="K175" s="1706">
        <f>'Revenues 9-14'!E275-'Expenditures 15-22'!K174</f>
        <v>-1111575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678449</v>
      </c>
      <c r="F182" s="466">
        <v>0</v>
      </c>
      <c r="G182" s="466">
        <v>0</v>
      </c>
      <c r="H182" s="466">
        <v>0</v>
      </c>
      <c r="I182" s="467">
        <v>0</v>
      </c>
      <c r="J182" s="467">
        <v>0</v>
      </c>
      <c r="K182" s="1693">
        <f>SUM(C182:J182)</f>
        <v>678449</v>
      </c>
      <c r="L182" s="466">
        <v>656223</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678449</v>
      </c>
      <c r="F184" s="1699">
        <f t="shared" si="17"/>
        <v>0</v>
      </c>
      <c r="G184" s="1699">
        <f t="shared" si="17"/>
        <v>0</v>
      </c>
      <c r="H184" s="1699">
        <f t="shared" si="17"/>
        <v>0</v>
      </c>
      <c r="I184" s="1699">
        <f t="shared" si="17"/>
        <v>0</v>
      </c>
      <c r="J184" s="1699">
        <f t="shared" si="17"/>
        <v>0</v>
      </c>
      <c r="K184" s="1699">
        <f>SUM(K180,K182,K183)</f>
        <v>678449</v>
      </c>
      <c r="L184" s="1699">
        <f>SUM(L180, L182:L183)</f>
        <v>656223</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678449</v>
      </c>
      <c r="F210" s="1692">
        <f>SUM(F184,F185)</f>
        <v>0</v>
      </c>
      <c r="G210" s="1692">
        <f>SUM(G184,G185)</f>
        <v>0</v>
      </c>
      <c r="H210" s="1692">
        <f>SUM(H184,H185,H196,H208,H209)</f>
        <v>0</v>
      </c>
      <c r="I210" s="1692">
        <f>SUM(I184,I185)</f>
        <v>0</v>
      </c>
      <c r="J210" s="1692">
        <f>SUM(J184,J185)</f>
        <v>0</v>
      </c>
      <c r="K210" s="1693">
        <f>SUM(K184,K185,K196,K208,K209)</f>
        <v>678449</v>
      </c>
      <c r="L210" s="1692">
        <f>SUM(L184,L185,L196,L208,L209)</f>
        <v>656223</v>
      </c>
    </row>
    <row r="211" spans="1:14" ht="13.5" thickTop="1" x14ac:dyDescent="0.2">
      <c r="A211" s="2197" t="s">
        <v>1053</v>
      </c>
      <c r="B211" s="2198"/>
      <c r="C211" s="619"/>
      <c r="D211" s="619"/>
      <c r="E211" s="619"/>
      <c r="F211" s="619"/>
      <c r="G211" s="619"/>
      <c r="H211" s="619"/>
      <c r="I211" s="617"/>
      <c r="J211" s="617"/>
      <c r="K211" s="1706">
        <f>'Revenues 9-14'!F275-'Expenditures 15-22'!K210</f>
        <v>2632070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150286</v>
      </c>
      <c r="E215" s="617"/>
      <c r="F215" s="617"/>
      <c r="G215" s="617"/>
      <c r="H215" s="617"/>
      <c r="I215" s="617"/>
      <c r="J215" s="617"/>
      <c r="K215" s="1693">
        <f>D215</f>
        <v>150286</v>
      </c>
      <c r="L215" s="466">
        <v>151635</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203230</v>
      </c>
      <c r="E217" s="617"/>
      <c r="F217" s="617"/>
      <c r="G217" s="617"/>
      <c r="H217" s="617"/>
      <c r="I217" s="617"/>
      <c r="J217" s="617"/>
      <c r="K217" s="1693">
        <f t="shared" si="19"/>
        <v>203230</v>
      </c>
      <c r="L217" s="466">
        <v>208903</v>
      </c>
    </row>
    <row r="218" spans="1:14" x14ac:dyDescent="0.2">
      <c r="A218" s="1526" t="s">
        <v>296</v>
      </c>
      <c r="B218" s="615" t="s">
        <v>1025</v>
      </c>
      <c r="C218" s="617"/>
      <c r="D218" s="467">
        <v>0</v>
      </c>
      <c r="E218" s="617"/>
      <c r="F218" s="617"/>
      <c r="G218" s="617"/>
      <c r="H218" s="617"/>
      <c r="I218" s="617"/>
      <c r="J218" s="617"/>
      <c r="K218" s="1693">
        <f t="shared" si="19"/>
        <v>0</v>
      </c>
      <c r="L218" s="466">
        <v>20010</v>
      </c>
    </row>
    <row r="219" spans="1:14" x14ac:dyDescent="0.2">
      <c r="A219" s="1526" t="s">
        <v>297</v>
      </c>
      <c r="B219" s="615">
        <v>1250</v>
      </c>
      <c r="C219" s="617"/>
      <c r="D219" s="466">
        <v>1248</v>
      </c>
      <c r="E219" s="617"/>
      <c r="F219" s="617"/>
      <c r="G219" s="617"/>
      <c r="H219" s="617"/>
      <c r="I219" s="617"/>
      <c r="J219" s="617"/>
      <c r="K219" s="1693">
        <f t="shared" si="19"/>
        <v>1248</v>
      </c>
      <c r="L219" s="466">
        <v>5390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8886</v>
      </c>
      <c r="E223" s="617"/>
      <c r="F223" s="617"/>
      <c r="G223" s="617"/>
      <c r="H223" s="617"/>
      <c r="I223" s="617"/>
      <c r="J223" s="617"/>
      <c r="K223" s="1693">
        <f t="shared" si="19"/>
        <v>8886</v>
      </c>
      <c r="L223" s="466">
        <v>8813</v>
      </c>
    </row>
    <row r="224" spans="1:14" x14ac:dyDescent="0.2">
      <c r="A224" s="1526" t="s">
        <v>1021</v>
      </c>
      <c r="B224" s="615">
        <v>1600</v>
      </c>
      <c r="C224" s="617"/>
      <c r="D224" s="466">
        <v>1470</v>
      </c>
      <c r="E224" s="617"/>
      <c r="F224" s="617"/>
      <c r="G224" s="617"/>
      <c r="H224" s="617"/>
      <c r="I224" s="617"/>
      <c r="J224" s="617"/>
      <c r="K224" s="1693">
        <f t="shared" si="19"/>
        <v>1470</v>
      </c>
      <c r="L224" s="466">
        <v>2332</v>
      </c>
    </row>
    <row r="225" spans="1:12" x14ac:dyDescent="0.2">
      <c r="A225" s="1526" t="s">
        <v>1044</v>
      </c>
      <c r="B225" s="615">
        <v>1650</v>
      </c>
      <c r="C225" s="617"/>
      <c r="D225" s="466">
        <v>2914</v>
      </c>
      <c r="E225" s="617"/>
      <c r="F225" s="617"/>
      <c r="G225" s="617"/>
      <c r="H225" s="617"/>
      <c r="I225" s="617"/>
      <c r="J225" s="617"/>
      <c r="K225" s="1693">
        <f t="shared" si="19"/>
        <v>2914</v>
      </c>
      <c r="L225" s="466">
        <v>3185</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73</v>
      </c>
      <c r="E227" s="617"/>
      <c r="F227" s="617"/>
      <c r="G227" s="617"/>
      <c r="H227" s="617"/>
      <c r="I227" s="617"/>
      <c r="J227" s="617"/>
      <c r="K227" s="1693">
        <f t="shared" si="19"/>
        <v>73</v>
      </c>
      <c r="L227" s="466">
        <v>20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368107</v>
      </c>
      <c r="E229" s="617"/>
      <c r="F229" s="617"/>
      <c r="G229" s="617"/>
      <c r="H229" s="617"/>
      <c r="I229" s="617"/>
      <c r="J229" s="617"/>
      <c r="K229" s="1692">
        <f>SUM(K215:K228)</f>
        <v>368107</v>
      </c>
      <c r="L229" s="1692">
        <f>SUM(L215:L228)</f>
        <v>400288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5378</v>
      </c>
      <c r="E232" s="617"/>
      <c r="F232" s="617"/>
      <c r="G232" s="617"/>
      <c r="H232" s="617"/>
      <c r="I232" s="617"/>
      <c r="J232" s="617"/>
      <c r="K232" s="1693">
        <f t="shared" ref="K232:K237" si="20">D232</f>
        <v>5378</v>
      </c>
      <c r="L232" s="466">
        <v>4316</v>
      </c>
    </row>
    <row r="233" spans="1:12" x14ac:dyDescent="0.2">
      <c r="A233" s="1526" t="s">
        <v>1151</v>
      </c>
      <c r="B233" s="615">
        <v>2120</v>
      </c>
      <c r="C233" s="617"/>
      <c r="D233" s="466">
        <v>0</v>
      </c>
      <c r="E233" s="617"/>
      <c r="F233" s="617"/>
      <c r="G233" s="617"/>
      <c r="H233" s="617"/>
      <c r="I233" s="617"/>
      <c r="J233" s="617"/>
      <c r="K233" s="1693">
        <f t="shared" si="20"/>
        <v>0</v>
      </c>
      <c r="L233" s="466">
        <v>1170</v>
      </c>
    </row>
    <row r="234" spans="1:12" x14ac:dyDescent="0.2">
      <c r="A234" s="1526" t="s">
        <v>207</v>
      </c>
      <c r="B234" s="615">
        <v>2130</v>
      </c>
      <c r="C234" s="617"/>
      <c r="D234" s="466">
        <v>32765</v>
      </c>
      <c r="E234" s="617"/>
      <c r="F234" s="617"/>
      <c r="G234" s="617"/>
      <c r="H234" s="617"/>
      <c r="I234" s="617"/>
      <c r="J234" s="617"/>
      <c r="K234" s="1693">
        <f t="shared" si="20"/>
        <v>32765</v>
      </c>
      <c r="L234" s="466">
        <v>36560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3990</v>
      </c>
      <c r="E236" s="617"/>
      <c r="F236" s="617"/>
      <c r="G236" s="617"/>
      <c r="H236" s="617"/>
      <c r="I236" s="617"/>
      <c r="J236" s="617"/>
      <c r="K236" s="1693">
        <f t="shared" si="20"/>
        <v>3990</v>
      </c>
      <c r="L236" s="466">
        <v>4342</v>
      </c>
    </row>
    <row r="237" spans="1:12" x14ac:dyDescent="0.2">
      <c r="A237" s="1526" t="s">
        <v>167</v>
      </c>
      <c r="B237" s="615">
        <v>2190</v>
      </c>
      <c r="C237" s="617"/>
      <c r="D237" s="466">
        <v>8541</v>
      </c>
      <c r="E237" s="617"/>
      <c r="F237" s="617"/>
      <c r="G237" s="617"/>
      <c r="H237" s="617"/>
      <c r="I237" s="617"/>
      <c r="J237" s="617"/>
      <c r="K237" s="1693">
        <f t="shared" si="20"/>
        <v>8541</v>
      </c>
      <c r="L237" s="466">
        <v>11902</v>
      </c>
    </row>
    <row r="238" spans="1:12" ht="12.75" customHeight="1" thickBot="1" x14ac:dyDescent="0.25">
      <c r="A238" s="1690" t="s">
        <v>581</v>
      </c>
      <c r="B238" s="1697" t="s">
        <v>740</v>
      </c>
      <c r="C238" s="617"/>
      <c r="D238" s="1692">
        <f>SUM(D232:D237)</f>
        <v>50674</v>
      </c>
      <c r="E238" s="617"/>
      <c r="F238" s="617"/>
      <c r="G238" s="617"/>
      <c r="H238" s="617"/>
      <c r="I238" s="617"/>
      <c r="J238" s="617"/>
      <c r="K238" s="1692">
        <f>SUM(K232:K237)</f>
        <v>50674</v>
      </c>
      <c r="L238" s="1692">
        <f>SUM(L232:L237)</f>
        <v>58290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218</v>
      </c>
      <c r="E240" s="617"/>
      <c r="F240" s="617"/>
      <c r="G240" s="617"/>
      <c r="H240" s="617"/>
      <c r="I240" s="617"/>
      <c r="J240" s="617"/>
      <c r="K240" s="1694">
        <f>D240</f>
        <v>218</v>
      </c>
      <c r="L240" s="481">
        <v>80</v>
      </c>
    </row>
    <row r="241" spans="1:12" x14ac:dyDescent="0.2">
      <c r="A241" s="1526" t="s">
        <v>869</v>
      </c>
      <c r="B241" s="615">
        <v>2220</v>
      </c>
      <c r="C241" s="617"/>
      <c r="D241" s="466">
        <v>14193</v>
      </c>
      <c r="E241" s="617"/>
      <c r="F241" s="617"/>
      <c r="G241" s="617"/>
      <c r="H241" s="617"/>
      <c r="I241" s="617"/>
      <c r="J241" s="617"/>
      <c r="K241" s="1694">
        <f>D241</f>
        <v>14193</v>
      </c>
      <c r="L241" s="466">
        <v>14603</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14411</v>
      </c>
      <c r="E243" s="617"/>
      <c r="F243" s="617"/>
      <c r="G243" s="617"/>
      <c r="H243" s="617"/>
      <c r="I243" s="617"/>
      <c r="J243" s="617"/>
      <c r="K243" s="1692">
        <f>SUM(K240:K242)</f>
        <v>14411</v>
      </c>
      <c r="L243" s="1692">
        <f>SUM(L240:L242)</f>
        <v>14683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6987</v>
      </c>
      <c r="E245" s="617"/>
      <c r="F245" s="617"/>
      <c r="G245" s="617"/>
      <c r="H245" s="617"/>
      <c r="I245" s="617"/>
      <c r="J245" s="617"/>
      <c r="K245" s="1694">
        <f>D245</f>
        <v>6987</v>
      </c>
      <c r="L245" s="481">
        <v>6352</v>
      </c>
    </row>
    <row r="246" spans="1:12" x14ac:dyDescent="0.2">
      <c r="A246" s="1526" t="s">
        <v>872</v>
      </c>
      <c r="B246" s="615">
        <v>2320</v>
      </c>
      <c r="C246" s="617"/>
      <c r="D246" s="466">
        <v>21525</v>
      </c>
      <c r="E246" s="617"/>
      <c r="F246" s="617"/>
      <c r="G246" s="617"/>
      <c r="H246" s="617"/>
      <c r="I246" s="617"/>
      <c r="J246" s="617"/>
      <c r="K246" s="1694">
        <f t="shared" ref="K246:K256" si="21">D246</f>
        <v>21525</v>
      </c>
      <c r="L246" s="466">
        <v>21955</v>
      </c>
    </row>
    <row r="247" spans="1:12" x14ac:dyDescent="0.2">
      <c r="A247" s="1526" t="s">
        <v>873</v>
      </c>
      <c r="B247" s="615">
        <v>2330</v>
      </c>
      <c r="C247" s="617"/>
      <c r="D247" s="466">
        <v>12565</v>
      </c>
      <c r="E247" s="617"/>
      <c r="F247" s="617"/>
      <c r="G247" s="617"/>
      <c r="H247" s="617"/>
      <c r="I247" s="617"/>
      <c r="J247" s="617"/>
      <c r="K247" s="1694">
        <f t="shared" si="21"/>
        <v>12565</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41077</v>
      </c>
      <c r="E257" s="617"/>
      <c r="F257" s="617"/>
      <c r="G257" s="617"/>
      <c r="H257" s="617"/>
      <c r="I257" s="617"/>
      <c r="J257" s="617"/>
      <c r="K257" s="1692">
        <f>SUM(K245:K256)</f>
        <v>41077</v>
      </c>
      <c r="L257" s="1692">
        <f>SUM(L245:L256)</f>
        <v>28307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62717</v>
      </c>
      <c r="E259" s="617"/>
      <c r="F259" s="617"/>
      <c r="G259" s="617"/>
      <c r="H259" s="617"/>
      <c r="I259" s="617"/>
      <c r="J259" s="617"/>
      <c r="K259" s="1694">
        <f>D259</f>
        <v>62717</v>
      </c>
      <c r="L259" s="481">
        <v>63192</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62717</v>
      </c>
      <c r="E261" s="617"/>
      <c r="F261" s="617"/>
      <c r="G261" s="617"/>
      <c r="H261" s="617"/>
      <c r="I261" s="617"/>
      <c r="J261" s="617"/>
      <c r="K261" s="1692">
        <f>SUM(K259:K260)</f>
        <v>62717</v>
      </c>
      <c r="L261" s="1692">
        <f>SUM(L259:L260)</f>
        <v>63192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913</v>
      </c>
      <c r="E263" s="617"/>
      <c r="F263" s="617"/>
      <c r="G263" s="617"/>
      <c r="H263" s="617"/>
      <c r="I263" s="617"/>
      <c r="J263" s="617"/>
      <c r="K263" s="1694">
        <f>D263</f>
        <v>913</v>
      </c>
      <c r="L263" s="481">
        <v>0</v>
      </c>
    </row>
    <row r="264" spans="1:14" x14ac:dyDescent="0.2">
      <c r="A264" s="1526" t="s">
        <v>483</v>
      </c>
      <c r="B264" s="686">
        <v>2520</v>
      </c>
      <c r="C264" s="617"/>
      <c r="D264" s="466">
        <v>17808</v>
      </c>
      <c r="E264" s="617"/>
      <c r="F264" s="617"/>
      <c r="G264" s="617"/>
      <c r="H264" s="617"/>
      <c r="I264" s="617"/>
      <c r="J264" s="617"/>
      <c r="K264" s="1694">
        <f t="shared" ref="K264:K269" si="22">D264</f>
        <v>17808</v>
      </c>
      <c r="L264" s="466">
        <v>18038</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158008</v>
      </c>
      <c r="E266" s="617"/>
      <c r="F266" s="617"/>
      <c r="G266" s="617"/>
      <c r="H266" s="617"/>
      <c r="I266" s="617"/>
      <c r="J266" s="617"/>
      <c r="K266" s="1694">
        <f t="shared" si="22"/>
        <v>158008</v>
      </c>
      <c r="L266" s="466">
        <v>159002</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13644</v>
      </c>
      <c r="E268" s="617"/>
      <c r="F268" s="617"/>
      <c r="G268" s="617"/>
      <c r="H268" s="617"/>
      <c r="I268" s="617"/>
      <c r="J268" s="617"/>
      <c r="K268" s="1694">
        <f t="shared" si="22"/>
        <v>13644</v>
      </c>
      <c r="L268" s="466">
        <v>13857</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190373</v>
      </c>
      <c r="E270" s="617"/>
      <c r="F270" s="617"/>
      <c r="G270" s="617"/>
      <c r="H270" s="617"/>
      <c r="I270" s="617"/>
      <c r="J270" s="617"/>
      <c r="K270" s="1692">
        <f>SUM(K263:K269)</f>
        <v>190373</v>
      </c>
      <c r="L270" s="1692">
        <f>SUM(L263:L269)</f>
        <v>190897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359252</v>
      </c>
      <c r="E279" s="617"/>
      <c r="F279" s="617"/>
      <c r="G279" s="617"/>
      <c r="H279" s="617"/>
      <c r="I279" s="617"/>
      <c r="J279" s="617"/>
      <c r="K279" s="1699">
        <f>SUM(K238,K243,K257,K261,K270,K277,K278)</f>
        <v>359252</v>
      </c>
      <c r="L279" s="1699">
        <f>SUM(L238,L243,L257,L261,L270,L277,L278)</f>
        <v>355369</v>
      </c>
    </row>
    <row r="280" spans="1:12" ht="15.75" customHeight="1" thickTop="1" thickBot="1" x14ac:dyDescent="0.25">
      <c r="A280" s="1646" t="s">
        <v>930</v>
      </c>
      <c r="B280" s="1635">
        <v>3000</v>
      </c>
      <c r="C280" s="617"/>
      <c r="D280" s="576">
        <v>60</v>
      </c>
      <c r="E280" s="617"/>
      <c r="F280" s="617"/>
      <c r="G280" s="617"/>
      <c r="H280" s="617"/>
      <c r="I280" s="617"/>
      <c r="J280" s="617"/>
      <c r="K280" s="1701">
        <f>D280</f>
        <v>60</v>
      </c>
      <c r="L280" s="576">
        <v>122</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92">
        <f>SUM(D229,D279,D280,D285)</f>
        <v>727419</v>
      </c>
      <c r="E295" s="617"/>
      <c r="F295" s="617"/>
      <c r="G295" s="617"/>
      <c r="H295" s="1692">
        <f>H293</f>
        <v>0</v>
      </c>
      <c r="I295" s="617"/>
      <c r="J295" s="617"/>
      <c r="K295" s="1692">
        <f>SUM(K229,K279,K280,K285,K293,K294)</f>
        <v>727419</v>
      </c>
      <c r="L295" s="1692">
        <f>SUM(L229,L279,L280,L285,L293,L294)</f>
        <v>755779</v>
      </c>
    </row>
    <row r="296" spans="1:14" ht="13.5" thickTop="1" x14ac:dyDescent="0.2">
      <c r="A296" s="2197" t="s">
        <v>1053</v>
      </c>
      <c r="B296" s="2198"/>
      <c r="C296" s="617"/>
      <c r="D296" s="619"/>
      <c r="E296" s="617"/>
      <c r="F296" s="617"/>
      <c r="G296" s="617"/>
      <c r="H296" s="688"/>
      <c r="I296" s="617"/>
      <c r="J296" s="617"/>
      <c r="K296" s="1706">
        <f>'Revenues 9-14'!G275-'Expenditures 15-22'!K295</f>
        <v>301971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54050</v>
      </c>
      <c r="H301" s="466">
        <v>0</v>
      </c>
      <c r="I301" s="467">
        <v>0</v>
      </c>
      <c r="J301" s="467">
        <v>0</v>
      </c>
      <c r="K301" s="1693">
        <f>SUM(C301:J301)</f>
        <v>54050</v>
      </c>
      <c r="L301" s="467">
        <v>600000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54050</v>
      </c>
      <c r="H303" s="1699">
        <f t="shared" si="23"/>
        <v>0</v>
      </c>
      <c r="I303" s="1699">
        <f t="shared" si="23"/>
        <v>0</v>
      </c>
      <c r="J303" s="1699">
        <f t="shared" si="23"/>
        <v>0</v>
      </c>
      <c r="K303" s="1699">
        <f t="shared" si="23"/>
        <v>54050</v>
      </c>
      <c r="L303" s="1699">
        <f t="shared" si="23"/>
        <v>600000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54050</v>
      </c>
      <c r="H312" s="1692">
        <f>SUM(H303,H310)</f>
        <v>0</v>
      </c>
      <c r="I312" s="1692">
        <f>SUM(I303)</f>
        <v>0</v>
      </c>
      <c r="J312" s="1692">
        <f>SUM(J303)</f>
        <v>0</v>
      </c>
      <c r="K312" s="1692">
        <f>SUM(K303,K310,K311)</f>
        <v>54050</v>
      </c>
      <c r="L312" s="1692">
        <f>SUM(L303,L310,L311)</f>
        <v>600000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-36116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62327</v>
      </c>
      <c r="F320" s="467">
        <v>0</v>
      </c>
      <c r="G320" s="467">
        <v>0</v>
      </c>
      <c r="H320" s="467">
        <v>0</v>
      </c>
      <c r="I320" s="467">
        <v>0</v>
      </c>
      <c r="J320" s="467">
        <v>0</v>
      </c>
      <c r="K320" s="1693">
        <f t="shared" ref="K320:K327" si="24">SUM(C320:J320)</f>
        <v>62327</v>
      </c>
      <c r="L320" s="467">
        <v>88920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44000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37408</v>
      </c>
      <c r="F328" s="474">
        <v>0</v>
      </c>
      <c r="G328" s="474">
        <v>0</v>
      </c>
      <c r="H328" s="474">
        <v>0</v>
      </c>
      <c r="I328" s="474">
        <v>0</v>
      </c>
      <c r="J328" s="474">
        <v>0</v>
      </c>
      <c r="K328" s="1721">
        <f>SUM(C328:J328)</f>
        <v>37408</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99735</v>
      </c>
      <c r="F330" s="1692">
        <f t="shared" si="25"/>
        <v>0</v>
      </c>
      <c r="G330" s="1692">
        <f t="shared" si="25"/>
        <v>0</v>
      </c>
      <c r="H330" s="1692">
        <f t="shared" si="25"/>
        <v>0</v>
      </c>
      <c r="I330" s="1692">
        <f t="shared" si="25"/>
        <v>0</v>
      </c>
      <c r="J330" s="1692">
        <f t="shared" si="25"/>
        <v>0</v>
      </c>
      <c r="K330" s="1692">
        <f>SUM(K319:K329)</f>
        <v>99735</v>
      </c>
      <c r="L330" s="1692">
        <f>SUM(L319:L329)</f>
        <v>132920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99735</v>
      </c>
      <c r="F342" s="1692">
        <f>SUM(F330)</f>
        <v>0</v>
      </c>
      <c r="G342" s="1692">
        <f>SUM(G330)</f>
        <v>0</v>
      </c>
      <c r="H342" s="1692">
        <f>SUM(H330,H334,H340)</f>
        <v>0</v>
      </c>
      <c r="I342" s="1692">
        <f>SUM(I330)</f>
        <v>0</v>
      </c>
      <c r="J342" s="1692">
        <f>SUM(J330)</f>
        <v>0</v>
      </c>
      <c r="K342" s="1692">
        <f>SUM(K330,K334,K340)</f>
        <v>99735</v>
      </c>
      <c r="L342" s="1699">
        <f>SUM(L330,L340,L341)</f>
        <v>132920</v>
      </c>
    </row>
    <row r="343" spans="1:14" ht="12.75" customHeight="1" thickTop="1" x14ac:dyDescent="0.2">
      <c r="A343" s="2183" t="s">
        <v>1053</v>
      </c>
      <c r="B343" s="2184"/>
      <c r="C343" s="617"/>
      <c r="D343" s="617"/>
      <c r="E343" s="617"/>
      <c r="F343" s="617"/>
      <c r="G343" s="617"/>
      <c r="H343" s="617"/>
      <c r="I343" s="617"/>
      <c r="J343" s="617"/>
      <c r="K343" s="1706">
        <f>'Revenues 9-14'!J275-'Expenditures 15-22'!K342</f>
        <v>29548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1330</v>
      </c>
      <c r="I356" s="702"/>
      <c r="J356" s="617"/>
      <c r="K356" s="1762">
        <f>H356</f>
        <v>1330</v>
      </c>
      <c r="L356" s="479">
        <v>0</v>
      </c>
    </row>
    <row r="357" spans="1:14" ht="12.75" customHeight="1" thickBot="1" x14ac:dyDescent="0.25">
      <c r="A357" s="1690" t="s">
        <v>1567</v>
      </c>
      <c r="B357" s="1691" t="s">
        <v>915</v>
      </c>
      <c r="C357" s="617"/>
      <c r="D357" s="617"/>
      <c r="E357" s="617"/>
      <c r="F357" s="617"/>
      <c r="G357" s="617"/>
      <c r="H357" s="1710">
        <f>SUM(H354:H356)</f>
        <v>1330</v>
      </c>
      <c r="I357" s="702"/>
      <c r="J357" s="617"/>
      <c r="K357" s="1710">
        <f>SUM(K354:K356)</f>
        <v>1330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1330</v>
      </c>
      <c r="I367" s="1692">
        <f t="shared" si="28"/>
        <v>0</v>
      </c>
      <c r="J367" s="1692">
        <f t="shared" si="28"/>
        <v>0</v>
      </c>
      <c r="K367" s="1692">
        <f t="shared" si="28"/>
        <v>1330</v>
      </c>
      <c r="L367" s="1692">
        <f t="shared" si="28"/>
        <v>0</v>
      </c>
    </row>
    <row r="368" spans="1:14" ht="13.5" thickTop="1" x14ac:dyDescent="0.2">
      <c r="A368" s="2197" t="s">
        <v>1053</v>
      </c>
      <c r="B368" s="2198"/>
      <c r="C368" s="655"/>
      <c r="D368" s="655"/>
      <c r="E368" s="627"/>
      <c r="F368" s="627"/>
      <c r="G368" s="627"/>
      <c r="H368" s="627"/>
      <c r="I368" s="627"/>
      <c r="J368" s="624"/>
      <c r="K368" s="1693">
        <f>'Revenues 9-14'!K275-'Expenditures 15-22'!K367</f>
        <v>-977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B1" colorId="8" zoomScale="110" zoomScaleNormal="110" workbookViewId="0">
      <selection activeCell="D12" sqref="D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v>15862092</v>
      </c>
      <c r="C4" s="1546">
        <v>8876058</v>
      </c>
      <c r="D4" s="1774">
        <f>B4-C4</f>
        <v>6986034</v>
      </c>
      <c r="E4" s="1546">
        <v>17158837</v>
      </c>
      <c r="F4" s="1774">
        <f>E4-C4</f>
        <v>8282779</v>
      </c>
    </row>
    <row r="5" spans="1:6" ht="13.7" customHeight="1" x14ac:dyDescent="0.2">
      <c r="A5" s="716" t="s">
        <v>925</v>
      </c>
      <c r="B5" s="1772">
        <v>2419613</v>
      </c>
      <c r="C5" s="585">
        <v>1321807</v>
      </c>
      <c r="D5" s="1775">
        <f t="shared" ref="D5:D18" si="0">B5-C5</f>
        <v>1097806</v>
      </c>
      <c r="E5" s="585">
        <v>2555264</v>
      </c>
      <c r="F5" s="1775">
        <f>E5-C5</f>
        <v>1233457</v>
      </c>
    </row>
    <row r="6" spans="1:6" ht="13.7" customHeight="1" x14ac:dyDescent="0.2">
      <c r="A6" s="716" t="s">
        <v>431</v>
      </c>
      <c r="B6" s="1772">
        <f>'Revenues 9-14'!E5</f>
        <v>0</v>
      </c>
      <c r="C6" s="585">
        <v>0</v>
      </c>
      <c r="D6" s="1775">
        <f t="shared" si="0"/>
        <v>0</v>
      </c>
      <c r="E6" s="585">
        <v>0</v>
      </c>
      <c r="F6" s="1775">
        <f t="shared" ref="F6:F18" si="1">E6-C6</f>
        <v>0</v>
      </c>
    </row>
    <row r="7" spans="1:6" ht="13.7" customHeight="1" x14ac:dyDescent="0.2">
      <c r="A7" s="716" t="s">
        <v>157</v>
      </c>
      <c r="B7" s="1772">
        <v>2814736</v>
      </c>
      <c r="C7" s="585">
        <v>1028607</v>
      </c>
      <c r="D7" s="1775">
        <f t="shared" si="0"/>
        <v>1786129</v>
      </c>
      <c r="E7" s="585">
        <v>1988462</v>
      </c>
      <c r="F7" s="1775">
        <f t="shared" si="1"/>
        <v>959855</v>
      </c>
    </row>
    <row r="8" spans="1:6" ht="13.7" customHeight="1" x14ac:dyDescent="0.2">
      <c r="A8" s="716" t="s">
        <v>1241</v>
      </c>
      <c r="B8" s="1772">
        <v>442805</v>
      </c>
      <c r="C8" s="585">
        <v>239254</v>
      </c>
      <c r="D8" s="1775">
        <f t="shared" si="0"/>
        <v>203551</v>
      </c>
      <c r="E8" s="585">
        <v>462516</v>
      </c>
      <c r="F8" s="1775">
        <f t="shared" si="1"/>
        <v>223262</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v>219965</v>
      </c>
      <c r="C10" s="585">
        <v>120164</v>
      </c>
      <c r="D10" s="1775">
        <f t="shared" si="0"/>
        <v>99801</v>
      </c>
      <c r="E10" s="585">
        <v>232296</v>
      </c>
      <c r="F10" s="1775">
        <f t="shared" si="1"/>
        <v>112132</v>
      </c>
    </row>
    <row r="11" spans="1:6" x14ac:dyDescent="0.2">
      <c r="A11" s="716" t="s">
        <v>429</v>
      </c>
      <c r="B11" s="1772">
        <v>125508</v>
      </c>
      <c r="C11" s="585">
        <v>125508</v>
      </c>
      <c r="D11" s="1775">
        <f t="shared" si="0"/>
        <v>0</v>
      </c>
      <c r="E11" s="585">
        <v>242627</v>
      </c>
      <c r="F11" s="1775">
        <f t="shared" si="1"/>
        <v>117119</v>
      </c>
    </row>
    <row r="12" spans="1:6" ht="13.7" customHeight="1" x14ac:dyDescent="0.2">
      <c r="A12" s="716" t="s">
        <v>159</v>
      </c>
      <c r="B12" s="1772">
        <f>'Revenues 9-14'!K5</f>
        <v>0</v>
      </c>
      <c r="C12" s="585">
        <v>0</v>
      </c>
      <c r="D12" s="1775">
        <f t="shared" si="0"/>
        <v>0</v>
      </c>
      <c r="E12" s="585">
        <v>0</v>
      </c>
      <c r="F12" s="1775">
        <f t="shared" si="1"/>
        <v>0</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v>1759718</v>
      </c>
      <c r="C14" s="585">
        <v>961314</v>
      </c>
      <c r="D14" s="1775">
        <f t="shared" si="0"/>
        <v>798404</v>
      </c>
      <c r="E14" s="585">
        <v>1858373</v>
      </c>
      <c r="F14" s="1775">
        <f t="shared" si="1"/>
        <v>897059</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v>550558</v>
      </c>
      <c r="C16" s="585">
        <v>292454</v>
      </c>
      <c r="D16" s="1775">
        <f t="shared" si="0"/>
        <v>258104</v>
      </c>
      <c r="E16" s="585">
        <v>565360</v>
      </c>
      <c r="F16" s="1775">
        <f t="shared" si="1"/>
        <v>272906</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24194995</v>
      </c>
      <c r="C19" s="1773">
        <f>SUM(C4:C18)</f>
        <v>12965166</v>
      </c>
      <c r="D19" s="1773">
        <f>SUM(D4:D18)</f>
        <v>11229829</v>
      </c>
      <c r="E19" s="1773">
        <f>SUM(E4:E18)</f>
        <v>25063735</v>
      </c>
      <c r="F19" s="1773">
        <f>SUM(F4:F18)</f>
        <v>12098569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10"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2038</v>
      </c>
      <c r="D2" s="724" t="s">
        <v>2045</v>
      </c>
      <c r="E2" s="724" t="s">
        <v>2046</v>
      </c>
      <c r="F2" s="1909"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2097</v>
      </c>
      <c r="B31" s="734">
        <v>40883</v>
      </c>
      <c r="C31" s="735">
        <v>9975000</v>
      </c>
      <c r="D31" s="736">
        <v>7</v>
      </c>
      <c r="E31" s="735">
        <v>5335000</v>
      </c>
      <c r="F31" s="735"/>
      <c r="G31" s="735"/>
      <c r="H31" s="735">
        <v>1010000</v>
      </c>
      <c r="I31" s="1778">
        <f>((E31+F31)-H31)+G31</f>
        <v>4325000</v>
      </c>
      <c r="J31" s="735">
        <v>1170245</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9975000</v>
      </c>
      <c r="D49" s="746"/>
      <c r="E49" s="1778">
        <f t="shared" ref="E49:J49" si="2">SUM(E31:E48)</f>
        <v>5335000</v>
      </c>
      <c r="F49" s="1778">
        <f t="shared" si="2"/>
        <v>0</v>
      </c>
      <c r="G49" s="1778">
        <f t="shared" si="2"/>
        <v>0</v>
      </c>
      <c r="H49" s="1778">
        <f t="shared" si="2"/>
        <v>1010000</v>
      </c>
      <c r="I49" s="1778">
        <f t="shared" si="2"/>
        <v>4325000</v>
      </c>
      <c r="J49" s="1778">
        <f t="shared" si="2"/>
        <v>1170245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2097</v>
      </c>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K48"/>
  <sheetViews>
    <sheetView showGridLines="0" defaultGridColor="0" colorId="8" zoomScale="110" zoomScaleNormal="110" workbookViewId="0">
      <selection activeCell="J32" sqref="J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1757215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1757215</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1757215</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1757215</v>
      </c>
      <c r="I23" s="1780">
        <f>SUM(I14:I16,I21,I22)</f>
        <v>0</v>
      </c>
      <c r="J23" s="1780">
        <f>SUM(J14:J16,J21,J22)</f>
        <v>0</v>
      </c>
      <c r="K23" s="1780">
        <f>SUM(K14:K16,K21,K22)</f>
        <v>0</v>
      </c>
    </row>
    <row r="24" spans="1:11" ht="14.25" thickTop="1" thickBot="1" x14ac:dyDescent="0.25">
      <c r="A24" s="2251" t="s">
        <v>2026</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colorId="8" zoomScale="110" zoomScaleNormal="110" workbookViewId="0">
      <selection activeCell="L12" activeCellId="2" sqref="L8 L10 L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534849</v>
      </c>
      <c r="D5" s="842"/>
      <c r="E5" s="842"/>
      <c r="F5" s="1782">
        <f>(C5+D5)-E5</f>
        <v>534849</v>
      </c>
      <c r="G5" s="838"/>
      <c r="H5" s="843"/>
      <c r="I5" s="843"/>
      <c r="J5" s="843"/>
      <c r="K5" s="794"/>
      <c r="L5" s="1791">
        <f>F5-K5</f>
        <v>534849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29117876</v>
      </c>
      <c r="D8" s="845">
        <v>492157</v>
      </c>
      <c r="E8" s="845"/>
      <c r="F8" s="1782">
        <f>(C8+D8)-E8</f>
        <v>29610033</v>
      </c>
      <c r="G8" s="844">
        <v>50</v>
      </c>
      <c r="H8" s="766">
        <v>7556622</v>
      </c>
      <c r="I8" s="766">
        <v>614991</v>
      </c>
      <c r="J8" s="766"/>
      <c r="K8" s="1791">
        <f>(H8+I8)-J8</f>
        <v>8171613</v>
      </c>
      <c r="L8" s="1791">
        <f>F8-K8</f>
        <v>21438420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812312</v>
      </c>
      <c r="D10" s="847">
        <v>55505</v>
      </c>
      <c r="E10" s="847"/>
      <c r="F10" s="1786">
        <f>(C10+D10)-E10</f>
        <v>867817</v>
      </c>
      <c r="G10" s="844">
        <v>20</v>
      </c>
      <c r="H10" s="848">
        <v>296664</v>
      </c>
      <c r="I10" s="848">
        <v>53679</v>
      </c>
      <c r="J10" s="848"/>
      <c r="K10" s="1791">
        <f>(H10+I10)-J10</f>
        <v>350343</v>
      </c>
      <c r="L10" s="1791">
        <f>F10-K10</f>
        <v>517474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7590596</v>
      </c>
      <c r="D12" s="845">
        <v>201665</v>
      </c>
      <c r="E12" s="845"/>
      <c r="F12" s="1782">
        <f>(C12+D12)-E12</f>
        <v>7792261</v>
      </c>
      <c r="G12" s="844">
        <v>10</v>
      </c>
      <c r="H12" s="766">
        <v>6601155</v>
      </c>
      <c r="I12" s="766">
        <v>254131</v>
      </c>
      <c r="J12" s="766"/>
      <c r="K12" s="1791">
        <f>(H12+I12)-J12</f>
        <v>6855286</v>
      </c>
      <c r="L12" s="1791">
        <f>F12-K12</f>
        <v>936975</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38055633</v>
      </c>
      <c r="D16" s="1782">
        <f>SUM(D3,D5:D6,D8:D10,D12:D15)</f>
        <v>749327</v>
      </c>
      <c r="E16" s="1782">
        <f>SUM(E3,E5:E6,E8:E10,E12:E15)</f>
        <v>0</v>
      </c>
      <c r="F16" s="1782">
        <f>SUM(F3,F5:F6,F8:F10,F12:F15)</f>
        <v>38804960</v>
      </c>
      <c r="G16" s="844"/>
      <c r="H16" s="1782">
        <f>SUM(H3,H6,H8:H10,H12:H14,)</f>
        <v>14454441</v>
      </c>
      <c r="I16" s="1782">
        <f>SUM(I3,I6,I8:I10,I12:I14,)</f>
        <v>922801</v>
      </c>
      <c r="J16" s="1782">
        <f>SUM(J3,J6,J8:J10,J12:J14,)</f>
        <v>0</v>
      </c>
      <c r="K16" s="1782">
        <f>(H16+I16)-J16</f>
        <v>15377242</v>
      </c>
      <c r="L16" s="1782">
        <f>F16-K16</f>
        <v>23427718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40458</v>
      </c>
      <c r="G17" s="838">
        <v>10</v>
      </c>
      <c r="H17" s="770"/>
      <c r="I17" s="1791">
        <f>F17/G17</f>
        <v>4045.8</v>
      </c>
      <c r="J17" s="770"/>
      <c r="K17" s="796"/>
      <c r="L17" s="796"/>
    </row>
    <row r="18" spans="1:12" ht="14.25" thickTop="1" thickBot="1" x14ac:dyDescent="0.25">
      <c r="A18" s="1789" t="s">
        <v>706</v>
      </c>
      <c r="B18" s="1790"/>
      <c r="C18" s="772"/>
      <c r="D18" s="772"/>
      <c r="E18" s="772"/>
      <c r="F18" s="851"/>
      <c r="G18" s="852"/>
      <c r="H18" s="774"/>
      <c r="I18" s="1782">
        <f>SUM(I16,I17)</f>
        <v>926846.8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6"/>
  <sheetViews>
    <sheetView showGridLines="0" defaultGridColor="0" colorId="8" zoomScale="110" zoomScaleNormal="110" workbookViewId="0">
      <pane ySplit="5" topLeftCell="A129" activePane="bottomLeft" state="frozen"/>
      <selection activeCell="J32" sqref="J32"/>
      <selection pane="bottomLeft" activeCell="D175" sqref="D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22154562</v>
      </c>
      <c r="G8" s="866"/>
    </row>
    <row r="9" spans="1:7" x14ac:dyDescent="0.2">
      <c r="A9" s="870" t="s">
        <v>480</v>
      </c>
      <c r="B9" s="871" t="s">
        <v>1989</v>
      </c>
      <c r="C9" s="872"/>
      <c r="D9" s="870" t="s">
        <v>522</v>
      </c>
      <c r="E9" s="869"/>
      <c r="F9" s="1935">
        <f>'Expenditures 15-22'!K151</f>
        <v>2623745</v>
      </c>
      <c r="G9" s="873"/>
    </row>
    <row r="10" spans="1:7" x14ac:dyDescent="0.2">
      <c r="A10" s="870" t="s">
        <v>520</v>
      </c>
      <c r="B10" s="871" t="s">
        <v>1990</v>
      </c>
      <c r="C10" s="872"/>
      <c r="D10" s="870" t="s">
        <v>522</v>
      </c>
      <c r="E10" s="869"/>
      <c r="F10" s="1935">
        <f>'Expenditures 15-22'!K174</f>
        <v>1147200</v>
      </c>
      <c r="G10" s="873"/>
    </row>
    <row r="11" spans="1:7" x14ac:dyDescent="0.2">
      <c r="A11" s="870" t="s">
        <v>481</v>
      </c>
      <c r="B11" s="871" t="s">
        <v>1991</v>
      </c>
      <c r="C11" s="872"/>
      <c r="D11" s="870" t="s">
        <v>522</v>
      </c>
      <c r="E11" s="869"/>
      <c r="F11" s="1935">
        <f>'Expenditures 15-22'!K210</f>
        <v>678449</v>
      </c>
      <c r="G11" s="873"/>
    </row>
    <row r="12" spans="1:7" x14ac:dyDescent="0.2">
      <c r="A12" s="870" t="s">
        <v>482</v>
      </c>
      <c r="B12" s="871" t="s">
        <v>1992</v>
      </c>
      <c r="C12" s="872"/>
      <c r="D12" s="870" t="s">
        <v>522</v>
      </c>
      <c r="E12" s="869"/>
      <c r="F12" s="1935">
        <f>'Expenditures 15-22'!K295</f>
        <v>727419</v>
      </c>
      <c r="G12" s="873"/>
    </row>
    <row r="13" spans="1:7" x14ac:dyDescent="0.2">
      <c r="A13" s="870" t="s">
        <v>108</v>
      </c>
      <c r="B13" s="871" t="s">
        <v>1993</v>
      </c>
      <c r="C13" s="872"/>
      <c r="D13" s="870" t="s">
        <v>522</v>
      </c>
      <c r="E13" s="869"/>
      <c r="F13" s="1935">
        <f>'Expenditures 15-22'!K342</f>
        <v>99735</v>
      </c>
      <c r="G13" s="874"/>
    </row>
    <row r="14" spans="1:7" ht="12" customHeight="1" thickBot="1" x14ac:dyDescent="0.25">
      <c r="A14" s="1792"/>
      <c r="B14" s="1793"/>
      <c r="C14" s="1794"/>
      <c r="D14" s="1795" t="s">
        <v>522</v>
      </c>
      <c r="E14" s="1796" t="s">
        <v>1015</v>
      </c>
      <c r="F14" s="1797">
        <f>SUM(F8:F13)</f>
        <v>27431110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30429</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1170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719496</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27403</v>
      </c>
      <c r="G52" s="866"/>
    </row>
    <row r="53" spans="1:7" x14ac:dyDescent="0.2">
      <c r="A53" s="870" t="s">
        <v>479</v>
      </c>
      <c r="B53" s="870" t="s">
        <v>1551</v>
      </c>
      <c r="C53" s="890">
        <f>'Expenditures 15-22'!B102</f>
        <v>4000</v>
      </c>
      <c r="D53" s="889" t="str">
        <f>'Expenditures 15-22'!A102</f>
        <v>Total Payments to Other Govt Units</v>
      </c>
      <c r="E53" s="869"/>
      <c r="F53" s="1939">
        <f>'Expenditures 15-22'!K102</f>
        <v>1499129</v>
      </c>
      <c r="G53" s="866"/>
    </row>
    <row r="54" spans="1:7" x14ac:dyDescent="0.2">
      <c r="A54" s="870" t="s">
        <v>479</v>
      </c>
      <c r="B54" s="870" t="s">
        <v>1552</v>
      </c>
      <c r="C54" s="890" t="s">
        <v>1039</v>
      </c>
      <c r="D54" s="886" t="s">
        <v>1157</v>
      </c>
      <c r="E54" s="869"/>
      <c r="F54" s="1939">
        <f>'Expenditures 15-22'!G114</f>
        <v>150987</v>
      </c>
      <c r="G54" s="866"/>
    </row>
    <row r="55" spans="1:7" x14ac:dyDescent="0.2">
      <c r="A55" s="870" t="s">
        <v>479</v>
      </c>
      <c r="B55" s="870" t="s">
        <v>1553</v>
      </c>
      <c r="C55" s="890" t="s">
        <v>1039</v>
      </c>
      <c r="D55" s="886" t="s">
        <v>309</v>
      </c>
      <c r="E55" s="869"/>
      <c r="F55" s="1939">
        <f>'Expenditures 15-22'!I114</f>
        <v>39883</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544290</v>
      </c>
      <c r="G58" s="866"/>
    </row>
    <row r="59" spans="1:7" x14ac:dyDescent="0.2">
      <c r="A59" s="894" t="s">
        <v>480</v>
      </c>
      <c r="B59" s="857" t="s">
        <v>1996</v>
      </c>
      <c r="C59" s="895" t="s">
        <v>1039</v>
      </c>
      <c r="D59" s="857" t="s">
        <v>309</v>
      </c>
      <c r="F59" s="1942">
        <f>'Expenditures 15-22'!I151</f>
        <v>575</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1010000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1470</v>
      </c>
      <c r="G71" s="866"/>
    </row>
    <row r="72" spans="1:8" x14ac:dyDescent="0.2">
      <c r="A72" s="870" t="s">
        <v>482</v>
      </c>
      <c r="B72" s="870" t="s">
        <v>2008</v>
      </c>
      <c r="C72" s="887">
        <f>'Expenditures 15-22'!B280</f>
        <v>3000</v>
      </c>
      <c r="D72" s="877" t="s">
        <v>469</v>
      </c>
      <c r="E72" s="869"/>
      <c r="F72" s="1939">
        <f>'Expenditures 15-22'!K280</f>
        <v>60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4024892</v>
      </c>
      <c r="G76" s="866"/>
    </row>
    <row r="77" spans="1:8" s="894" customFormat="1" ht="12" customHeight="1" thickTop="1" thickBot="1" x14ac:dyDescent="0.25">
      <c r="A77" s="1801"/>
      <c r="B77" s="1798"/>
      <c r="C77" s="1794"/>
      <c r="D77" s="1799" t="s">
        <v>2012</v>
      </c>
      <c r="E77" s="1796"/>
      <c r="F77" s="1802">
        <f>(F14-F76)</f>
        <v>23406218</v>
      </c>
      <c r="G77" s="870"/>
    </row>
    <row r="78" spans="1:8" s="894" customFormat="1" ht="12" customHeight="1" thickTop="1" x14ac:dyDescent="0.2">
      <c r="A78" s="1803"/>
      <c r="B78" s="1798"/>
      <c r="C78" s="1794"/>
      <c r="D78" s="1799" t="s">
        <v>2059</v>
      </c>
      <c r="E78" s="1796"/>
      <c r="F78" s="899">
        <v>1629.35</v>
      </c>
      <c r="G78" s="900"/>
      <c r="H78" s="870"/>
    </row>
    <row r="79" spans="1:8" s="894" customFormat="1" ht="12" customHeight="1" thickBot="1" x14ac:dyDescent="0.25">
      <c r="A79" s="1804"/>
      <c r="B79" s="1798"/>
      <c r="C79" s="1794"/>
      <c r="D79" s="1799" t="s">
        <v>2013</v>
      </c>
      <c r="E79" s="1796" t="s">
        <v>1015</v>
      </c>
      <c r="F79" s="1805">
        <f>IF(F78&gt;0,F77/F78," Complete Line 78")</f>
        <v>14365.371467149478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122540</v>
      </c>
      <c r="G94" s="913"/>
    </row>
    <row r="95" spans="1:7" x14ac:dyDescent="0.2">
      <c r="A95" s="909" t="s">
        <v>142</v>
      </c>
      <c r="B95" s="909" t="s">
        <v>177</v>
      </c>
      <c r="C95" s="911">
        <v>1700</v>
      </c>
      <c r="D95" s="919" t="str">
        <f>'Revenues 9-14'!A82</f>
        <v>Total District/School Activity Income</v>
      </c>
      <c r="E95" s="907"/>
      <c r="F95" s="1811">
        <f>SUM('Revenues 9-14'!C82,'Revenues 9-14'!D82)</f>
        <v>5700</v>
      </c>
      <c r="G95" s="913"/>
    </row>
    <row r="96" spans="1:7" x14ac:dyDescent="0.2">
      <c r="A96" s="909" t="s">
        <v>479</v>
      </c>
      <c r="B96" s="909" t="s">
        <v>178</v>
      </c>
      <c r="C96" s="911">
        <f>'Revenues 9-14'!B84</f>
        <v>1811</v>
      </c>
      <c r="D96" s="912" t="str">
        <f>'Revenues 9-14'!A84</f>
        <v>Rentals - Regular Textbooks</v>
      </c>
      <c r="E96" s="907"/>
      <c r="F96" s="1811">
        <f>'Revenues 9-14'!C84</f>
        <v>215365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33428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323410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2621</v>
      </c>
      <c r="G107" s="913"/>
    </row>
    <row r="108" spans="1:7" x14ac:dyDescent="0.2">
      <c r="A108" s="909" t="s">
        <v>479</v>
      </c>
      <c r="B108" s="909" t="s">
        <v>844</v>
      </c>
      <c r="C108" s="921">
        <f>'Revenues 9-14'!B145</f>
        <v>3360</v>
      </c>
      <c r="D108" s="912" t="str">
        <f>'Revenues 9-14'!A145</f>
        <v>State Free Lunch &amp; Breakfast</v>
      </c>
      <c r="E108" s="907"/>
      <c r="F108" s="1811">
        <f>'Revenues 9-14'!C145</f>
        <v>729</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390555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7069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89321</v>
      </c>
      <c r="G129" s="931"/>
    </row>
    <row r="130" spans="1:7" x14ac:dyDescent="0.2">
      <c r="A130" s="928" t="s">
        <v>689</v>
      </c>
      <c r="B130" s="928" t="s">
        <v>804</v>
      </c>
      <c r="C130" s="933">
        <v>4300</v>
      </c>
      <c r="D130" s="934" t="str">
        <f>'Revenues 9-14'!A211</f>
        <v>Total Title I</v>
      </c>
      <c r="E130" s="907"/>
      <c r="F130" s="1811">
        <f>SUM('Revenues 9-14'!C211,'Revenues 9-14'!D211,'Revenues 9-14'!F211,'Revenues 9-14'!G211)</f>
        <v>130765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4651</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11725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4034</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12937</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38820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38313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153020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616415</v>
      </c>
      <c r="G175" s="928"/>
    </row>
    <row r="176" spans="1:7" x14ac:dyDescent="0.2">
      <c r="A176" s="1944" t="s">
        <v>685</v>
      </c>
      <c r="B176" s="1945" t="s">
        <v>2058</v>
      </c>
      <c r="C176" s="1946">
        <v>3300</v>
      </c>
      <c r="D176" s="1947" t="s">
        <v>2062</v>
      </c>
      <c r="E176" s="907"/>
      <c r="F176" s="1931">
        <v>15794</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2217212</v>
      </c>
    </row>
    <row r="179" spans="1:7" ht="12" customHeight="1" x14ac:dyDescent="0.2">
      <c r="A179" s="1792"/>
      <c r="B179" s="1806"/>
      <c r="C179" s="1807"/>
      <c r="D179" s="1808" t="s">
        <v>2015</v>
      </c>
      <c r="E179" s="1809"/>
      <c r="F179" s="1811">
        <f>'PCTC-OEPP 27-28'!F77-F178</f>
        <v>21189006</v>
      </c>
    </row>
    <row r="180" spans="1:7" ht="12" customHeight="1" x14ac:dyDescent="0.2">
      <c r="A180" s="1792"/>
      <c r="B180" s="1806"/>
      <c r="C180" s="1807"/>
      <c r="D180" s="1808" t="s">
        <v>1924</v>
      </c>
      <c r="E180" s="1809"/>
      <c r="F180" s="1811">
        <f>'Cap Outlay Deprec 26'!I18</f>
        <v>926846.8</v>
      </c>
    </row>
    <row r="181" spans="1:7" ht="12" customHeight="1" x14ac:dyDescent="0.2">
      <c r="A181" s="1792"/>
      <c r="B181" s="1806"/>
      <c r="C181" s="1807"/>
      <c r="D181" s="1808" t="s">
        <v>2016</v>
      </c>
      <c r="E181" s="1809"/>
      <c r="F181" s="1811">
        <f>F179+F180</f>
        <v>22115852.800000001</v>
      </c>
    </row>
    <row r="182" spans="1:7" ht="12" customHeight="1" x14ac:dyDescent="0.2">
      <c r="A182" s="1792"/>
      <c r="B182" s="1812"/>
      <c r="C182" s="1807"/>
      <c r="D182" s="1808" t="str">
        <f>D78</f>
        <v>9 Month ADA from District Average Daily Attendance/Prior General State Aid Inquiry 2017-2018</v>
      </c>
      <c r="E182" s="1809"/>
      <c r="F182" s="1813">
        <f>'PCTC-OEPP 27-28'!F78</f>
        <v>1629.35</v>
      </c>
      <c r="G182" s="931"/>
    </row>
    <row r="183" spans="1:7" ht="12" customHeight="1" thickBot="1" x14ac:dyDescent="0.25">
      <c r="A183" s="1792"/>
      <c r="B183" s="1812"/>
      <c r="C183" s="1807"/>
      <c r="D183" s="1808" t="s">
        <v>2017</v>
      </c>
      <c r="E183" s="1809" t="s">
        <v>1626</v>
      </c>
      <c r="F183" s="1814">
        <f>F181/F182</f>
        <v>13573.420566483568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3" activePane="bottomLeft" state="frozen"/>
      <selection pane="bottomLeft" activeCell="A24" sqref="A2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956" t="s">
        <v>2112</v>
      </c>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69176</v>
      </c>
      <c r="F10" s="975"/>
      <c r="G10" s="976"/>
      <c r="H10" s="162"/>
      <c r="I10" s="162"/>
    </row>
    <row r="11" spans="1:9" s="669" customFormat="1" ht="22.5" customHeight="1" x14ac:dyDescent="0.2">
      <c r="A11" s="2303" t="s">
        <v>1945</v>
      </c>
      <c r="B11" s="2304"/>
      <c r="C11" s="2304"/>
      <c r="D11" s="2305"/>
      <c r="E11" s="978">
        <v>17829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15051159</v>
      </c>
      <c r="F19" s="1822"/>
      <c r="G19" s="1824">
        <f>'Expenditures 15-22'!K33-SUM('Expenditures 15-22'!G33,'Expenditures 15-22'!I33)+'Expenditures 15-22'!D229</f>
        <v>15051159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1222837</v>
      </c>
      <c r="F21" s="1825"/>
      <c r="G21" s="1828">
        <f>'Expenditures 15-22'!K42-SUM('Expenditures 15-22'!G42,'Expenditures 15-22'!I42)+'Expenditures 15-22'!K120-SUM('Expenditures 15-22'!G120,'Expenditures 15-22'!I120)+'Expenditures 15-22'!K180-SUM('Expenditures 15-22'!G180,'Expenditures 15-22'!I180)+'Expenditures 15-22'!D238</f>
        <v>1222837</v>
      </c>
      <c r="H21" s="988"/>
      <c r="I21" s="162"/>
    </row>
    <row r="22" spans="1:9" s="669" customFormat="1" ht="12" customHeight="1" x14ac:dyDescent="0.2">
      <c r="A22" s="995" t="s">
        <v>585</v>
      </c>
      <c r="B22" s="996"/>
      <c r="C22" s="994">
        <v>2200</v>
      </c>
      <c r="D22" s="1825"/>
      <c r="E22" s="1827">
        <f>'Expenditures 15-22'!K47-SUM('Expenditures 15-22'!G47,'Expenditures 15-22'!I47)+'Expenditures 15-22'!D243</f>
        <v>1709180</v>
      </c>
      <c r="F22" s="1825"/>
      <c r="G22" s="1828">
        <f>'Expenditures 15-22'!K47-SUM('Expenditures 15-22'!G47,'Expenditures 15-22'!I47)+'Expenditures 15-22'!D243</f>
        <v>1709180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1221806</v>
      </c>
      <c r="F23" s="1825"/>
      <c r="G23" s="1827">
        <f>'Expenditures 15-22'!K53-SUM('Expenditures 15-22'!G53,'Expenditures 15-22'!I53)+'Expenditures 15-22'!D257+'Expenditures 15-22'!K330-SUM('Expenditures 15-22'!G330,'Expenditures 15-22'!I330)</f>
        <v>1221806</v>
      </c>
      <c r="H23" s="988"/>
      <c r="I23" s="162"/>
    </row>
    <row r="24" spans="1:9" s="669" customFormat="1" ht="12" customHeight="1" x14ac:dyDescent="0.2">
      <c r="A24" s="995" t="s">
        <v>587</v>
      </c>
      <c r="B24" s="996"/>
      <c r="C24" s="994">
        <v>2400</v>
      </c>
      <c r="D24" s="1825"/>
      <c r="E24" s="1827">
        <f>'Expenditures 15-22'!K57-SUM('Expenditures 15-22'!G57,'Expenditures 15-22'!I57)+'Expenditures 15-22'!D261</f>
        <v>1370230</v>
      </c>
      <c r="F24" s="1825"/>
      <c r="G24" s="1828">
        <f>'Expenditures 15-22'!K57-SUM('Expenditures 15-22'!G57,'Expenditures 15-22'!I57)+'Expenditures 15-22'!D261</f>
        <v>1370230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64840</v>
      </c>
      <c r="E26" s="1827">
        <f>'Expenditures 15-22'!K122-SUM('Expenditures 15-22'!G122,'Expenditures 15-22'!I122)+E7</f>
        <v>0</v>
      </c>
      <c r="F26" s="1827">
        <f>'Expenditures 15-22'!K59-SUM('Expenditures 15-22'!G59,'Expenditures 15-22'!I59)+'Expenditures 15-22'!D263-E7</f>
        <v>64840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247005</v>
      </c>
      <c r="E27" s="1827">
        <f>E8</f>
        <v>0</v>
      </c>
      <c r="F27" s="1827">
        <f>'Expenditures 15-22'!K60-SUM('Expenditures 15-22'!G60,'Expenditures 15-22'!I60)+'Expenditures 15-22'!D264-E8</f>
        <v>247005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2236888</v>
      </c>
      <c r="F28" s="1829">
        <f>'Expenditures 15-22'!K61-SUM('Expenditures 15-22'!G61,'Expenditures 15-22'!I61)+'Expenditures 15-22'!K124-SUM('Expenditures 15-22'!G124,'Expenditures 15-22'!I124)+'Expenditures 15-22'!D266-E9</f>
        <v>2236888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678449</v>
      </c>
      <c r="F29" s="1825"/>
      <c r="G29" s="1828">
        <f>'Expenditures 15-22'!K62-SUM('Expenditures 15-22'!G62,'Expenditures 15-22'!I62)+'Expenditures 15-22'!K125-SUM('Expenditures 15-22'!G125,'Expenditures 15-22'!I125)+'Expenditures 15-22'!K182-SUM('Expenditures 15-22'!G182,'Expenditures 15-22'!I182)+'Expenditures 15-22'!D267</f>
        <v>678449</v>
      </c>
      <c r="H29" s="986"/>
    </row>
    <row r="30" spans="1:9" ht="12" customHeight="1" x14ac:dyDescent="0.2">
      <c r="A30" s="995" t="s">
        <v>102</v>
      </c>
      <c r="B30" s="998"/>
      <c r="C30" s="994">
        <v>2560</v>
      </c>
      <c r="D30" s="1825"/>
      <c r="E30" s="1827">
        <f>'Expenditures 15-22'!K63-SUM('Expenditures 15-22'!G63,'Expenditures 15-22'!I63)+'Expenditures 15-22'!D268-E10</f>
        <v>139794</v>
      </c>
      <c r="F30" s="1825"/>
      <c r="G30" s="1827">
        <f>'Expenditures 15-22'!K63-SUM('Expenditures 15-22'!G63,'Expenditures 15-22'!I63)+'Expenditures 15-22'!D268-E10</f>
        <v>139794</v>
      </c>
    </row>
    <row r="31" spans="1:9" ht="12" customHeight="1" x14ac:dyDescent="0.2">
      <c r="A31" s="995" t="s">
        <v>103</v>
      </c>
      <c r="B31" s="998"/>
      <c r="C31" s="994">
        <v>2570</v>
      </c>
      <c r="D31" s="1827">
        <f>'Expenditures 15-22'!K64-SUM('Expenditures 15-22'!G64,'Expenditures 15-22'!I64)+'Expenditures 15-22'!D269-E12</f>
        <v>9157</v>
      </c>
      <c r="E31" s="1827">
        <f>E12</f>
        <v>0</v>
      </c>
      <c r="F31" s="1827">
        <f>'Expenditures 15-22'!K64-SUM('Expenditures 15-22'!G64,'Expenditures 15-22'!I64)+'Expenditures 15-22'!D269-E12</f>
        <v>9157</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1062</v>
      </c>
      <c r="F38" s="1825"/>
      <c r="G38" s="1827">
        <f>'Expenditures 15-22'!K73-SUM('Expenditures 15-22'!G73,'Expenditures 15-22'!I73)+'Expenditures 15-22'!K128-SUM('Expenditures 15-22'!G128,'Expenditures 15-22'!I128)+'Expenditures 15-22'!K183-SUM('Expenditures 15-22'!G183,'Expenditures 15-22'!I183)+'Expenditures 15-22'!D278</f>
        <v>1062</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27463</v>
      </c>
      <c r="F39" s="1825"/>
      <c r="G39" s="1827">
        <f>'Expenditures 15-22'!K75-SUM('Expenditures 15-22'!G75,'Expenditures 15-22'!I75)+'Expenditures 15-22'!K130-SUM('Expenditures 15-22'!G130,'Expenditures 15-22'!I130)+'Expenditures 15-22'!K185-SUM('Expenditures 15-22'!G185,'Expenditures 15-22'!I185)+'Expenditures 15-22'!D280</f>
        <v>27463</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321002</v>
      </c>
      <c r="E41" s="1829">
        <f>SUM(E19:E40)</f>
        <v>23658868</v>
      </c>
      <c r="F41" s="1829">
        <f>SUM(F19:F39)</f>
        <v>2557890</v>
      </c>
      <c r="G41" s="1829">
        <f>SUM(G19:G40)</f>
        <v>21421980</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321002</v>
      </c>
      <c r="F43" s="1830" t="s">
        <v>495</v>
      </c>
      <c r="G43" s="1831">
        <f>F41</f>
        <v>2557890</v>
      </c>
    </row>
    <row r="44" spans="1:7" ht="12" customHeight="1" x14ac:dyDescent="0.2">
      <c r="A44" s="988"/>
      <c r="B44" s="162"/>
      <c r="C44" s="1002"/>
      <c r="D44" s="1830" t="s">
        <v>494</v>
      </c>
      <c r="E44" s="1831">
        <f>E41</f>
        <v>23658868</v>
      </c>
      <c r="F44" s="1830" t="s">
        <v>494</v>
      </c>
      <c r="G44" s="1831">
        <f>G41</f>
        <v>21421980</v>
      </c>
    </row>
    <row r="45" spans="1:7" ht="12" customHeight="1" x14ac:dyDescent="0.2">
      <c r="A45" s="988"/>
      <c r="B45" s="162"/>
      <c r="C45" s="162"/>
      <c r="D45" s="1832" t="s">
        <v>1063</v>
      </c>
      <c r="E45" s="1833">
        <f>(E43/E44)</f>
        <v>1.3567935710195433E-2</v>
      </c>
      <c r="F45" s="1832" t="s">
        <v>1063</v>
      </c>
      <c r="G45" s="1833">
        <f>(G43/G44)</f>
        <v>0.11940492895614691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5" activePane="bottomLeft" state="frozen"/>
      <selection activeCell="C12" sqref="C12:F15"/>
      <selection pane="bottomLeft" activeCell="C12" sqref="C12:F1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RIVERSIDE PUBLIC SCHOOL DISTRICT NO. 96</v>
      </c>
      <c r="D6" s="2313"/>
      <c r="E6" s="2313"/>
      <c r="F6" s="1877"/>
    </row>
    <row r="7" spans="1:10" ht="11.25" customHeight="1" thickBot="1" x14ac:dyDescent="0.3">
      <c r="A7" s="1875"/>
      <c r="B7" s="1876"/>
      <c r="C7" s="2314" t="str">
        <f>COVER!A13</f>
        <v>06-016-0960-02</v>
      </c>
      <c r="D7" s="2314"/>
      <c r="E7" s="231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c r="F14" s="1892" t="s">
        <v>2098</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c r="F19" s="1892" t="s">
        <v>2099</v>
      </c>
      <c r="H19" s="1903">
        <f t="shared" si="0"/>
        <v>5</v>
      </c>
      <c r="I19" s="1903">
        <f t="shared" si="1"/>
        <v>5</v>
      </c>
      <c r="J19" s="1903">
        <f t="shared" si="2"/>
        <v>0</v>
      </c>
    </row>
    <row r="20" spans="1:12" ht="12" customHeight="1" x14ac:dyDescent="0.2">
      <c r="A20" s="1888" t="s">
        <v>1609</v>
      </c>
      <c r="B20" s="1889"/>
      <c r="C20" s="1890" t="s">
        <v>2077</v>
      </c>
      <c r="D20" s="1890" t="s">
        <v>2077</v>
      </c>
      <c r="E20" s="1893"/>
      <c r="F20" s="1892" t="s">
        <v>2100</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2101</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0</v>
      </c>
      <c r="K34" s="1903">
        <f>SUM(H34:J34)</f>
        <v>40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colorId="8" zoomScale="110" zoomScaleNormal="110" workbookViewId="0">
      <selection activeCell="C12" sqref="C12:F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RIVERSIDE PUBLIC SCHOOL DISTRICT NO. 96</v>
      </c>
      <c r="J6" s="2334"/>
      <c r="Q6" s="1686"/>
    </row>
    <row r="7" spans="1:17" x14ac:dyDescent="0.2">
      <c r="A7" s="2335" t="s">
        <v>924</v>
      </c>
      <c r="B7" s="2336"/>
      <c r="C7" s="2336"/>
      <c r="D7" s="2336"/>
      <c r="E7" s="2337"/>
      <c r="F7" s="1018"/>
      <c r="G7" s="1010"/>
      <c r="H7" s="1017" t="s">
        <v>390</v>
      </c>
      <c r="I7" s="2338" t="str">
        <f>COVER!A13</f>
        <v>06-016-0960-02</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440376</v>
      </c>
      <c r="F12" s="1040"/>
      <c r="G12" s="1834">
        <f t="shared" ref="G12:G18" si="0">SUM(E12:F12)</f>
        <v>440376</v>
      </c>
      <c r="H12" s="1041">
        <v>483332</v>
      </c>
      <c r="I12" s="1040"/>
      <c r="J12" s="1834">
        <f t="shared" ref="J12:J18" si="1">SUM(H12:I12)</f>
        <v>483332</v>
      </c>
    </row>
    <row r="13" spans="1:17" ht="15" customHeight="1" x14ac:dyDescent="0.2">
      <c r="A13" s="1036">
        <v>2</v>
      </c>
      <c r="B13" s="1037" t="s">
        <v>44</v>
      </c>
      <c r="C13" s="1038"/>
      <c r="D13" s="1039">
        <v>2330</v>
      </c>
      <c r="E13" s="1834">
        <f>'Expenditures 15-22'!K51</f>
        <v>261179</v>
      </c>
      <c r="F13" s="1040"/>
      <c r="G13" s="1834">
        <f t="shared" si="0"/>
        <v>261179</v>
      </c>
      <c r="H13" s="1041">
        <v>230977</v>
      </c>
      <c r="I13" s="1040"/>
      <c r="J13" s="1834">
        <f t="shared" si="1"/>
        <v>230977</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63927</v>
      </c>
      <c r="F15" s="1834">
        <f>'Expenditures 15-22'!K122</f>
        <v>0</v>
      </c>
      <c r="G15" s="1834">
        <f t="shared" si="0"/>
        <v>63927</v>
      </c>
      <c r="H15" s="1041">
        <v>64066</v>
      </c>
      <c r="I15" s="1041"/>
      <c r="J15" s="1834">
        <f t="shared" si="1"/>
        <v>64066</v>
      </c>
    </row>
    <row r="16" spans="1:17" ht="15" customHeight="1" x14ac:dyDescent="0.2">
      <c r="A16" s="1036">
        <v>5</v>
      </c>
      <c r="B16" s="1037" t="s">
        <v>103</v>
      </c>
      <c r="C16" s="1038"/>
      <c r="D16" s="1039">
        <v>2570</v>
      </c>
      <c r="E16" s="1834">
        <f>'Expenditures 15-22'!K64</f>
        <v>9157</v>
      </c>
      <c r="F16" s="1040"/>
      <c r="G16" s="1834">
        <f t="shared" si="0"/>
        <v>9157</v>
      </c>
      <c r="H16" s="1041">
        <v>9000</v>
      </c>
      <c r="I16" s="1040"/>
      <c r="J16" s="1834">
        <f t="shared" si="1"/>
        <v>9000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774639</v>
      </c>
      <c r="F19" s="1836">
        <f t="shared" si="2"/>
        <v>0</v>
      </c>
      <c r="G19" s="1836">
        <f t="shared" si="2"/>
        <v>774639</v>
      </c>
      <c r="H19" s="1836">
        <f t="shared" si="2"/>
        <v>787375</v>
      </c>
      <c r="I19" s="1836">
        <f t="shared" si="2"/>
        <v>0</v>
      </c>
      <c r="J19" s="1836">
        <f t="shared" si="2"/>
        <v>787375</v>
      </c>
    </row>
    <row r="20" spans="1:10" ht="13.5" thickTop="1" x14ac:dyDescent="0.2">
      <c r="A20" s="1036">
        <v>9</v>
      </c>
      <c r="B20" s="2345" t="s">
        <v>1703</v>
      </c>
      <c r="C20" s="2345"/>
      <c r="D20" s="2346"/>
      <c r="E20" s="1047"/>
      <c r="F20" s="1047"/>
      <c r="G20" s="1047"/>
      <c r="H20" s="1047"/>
      <c r="I20" s="1047"/>
      <c r="J20" s="1837">
        <f>IF(AND(G19&gt;0,J19&gt;0),(((J19-G19)/G19)),"Enter Budget Data")</f>
        <v>1.6441206807299918E-2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D65"/>
  <sheetViews>
    <sheetView showGridLines="0" zoomScale="110" zoomScaleNormal="110" workbookViewId="0">
      <selection activeCell="G4" sqref="G4"/>
    </sheetView>
  </sheetViews>
  <sheetFormatPr defaultColWidth="9.140625" defaultRowHeight="12.75" x14ac:dyDescent="0.2"/>
  <cols>
    <col min="1" max="1" width="3" style="329" customWidth="1"/>
    <col min="2" max="2" width="51.85546875" style="329" customWidth="1"/>
    <col min="3" max="3" width="3.140625" style="329" customWidth="1"/>
    <col min="4" max="4" width="43.28515625" style="329" customWidth="1"/>
    <col min="5" max="16384" width="9.140625" style="329"/>
  </cols>
  <sheetData>
    <row r="2" spans="1:4" x14ac:dyDescent="0.2">
      <c r="A2" s="389" t="s">
        <v>276</v>
      </c>
    </row>
    <row r="3" spans="1:4" x14ac:dyDescent="0.2">
      <c r="A3" s="329" t="s">
        <v>277</v>
      </c>
    </row>
    <row r="5" spans="1:4" x14ac:dyDescent="0.2">
      <c r="A5" s="1069">
        <v>1</v>
      </c>
      <c r="B5" s="329" t="s">
        <v>2102</v>
      </c>
      <c r="D5" s="329" t="s">
        <v>2103</v>
      </c>
    </row>
    <row r="6" spans="1:4" x14ac:dyDescent="0.2">
      <c r="A6" s="1069">
        <v>2</v>
      </c>
      <c r="B6" s="329" t="s">
        <v>2104</v>
      </c>
      <c r="D6" s="329" t="s">
        <v>2105</v>
      </c>
    </row>
    <row r="7" spans="1:4" x14ac:dyDescent="0.2">
      <c r="A7" s="1069">
        <v>3</v>
      </c>
      <c r="B7" s="329" t="s">
        <v>2107</v>
      </c>
      <c r="D7" s="329" t="s">
        <v>2106</v>
      </c>
    </row>
    <row r="8" spans="1:4" x14ac:dyDescent="0.2">
      <c r="A8" s="1069">
        <v>4</v>
      </c>
      <c r="B8" s="329" t="s">
        <v>2108</v>
      </c>
      <c r="D8" s="329" t="s">
        <v>2109</v>
      </c>
    </row>
    <row r="9" spans="1:4" x14ac:dyDescent="0.2">
      <c r="A9" s="1069">
        <v>5</v>
      </c>
      <c r="B9" s="329" t="s">
        <v>2113</v>
      </c>
      <c r="D9" s="329" t="s">
        <v>2106</v>
      </c>
    </row>
    <row r="10" spans="1:4" x14ac:dyDescent="0.2">
      <c r="A10" s="1069">
        <v>6</v>
      </c>
      <c r="B10" s="329" t="s">
        <v>2110</v>
      </c>
      <c r="D10" s="329" t="s">
        <v>2111</v>
      </c>
    </row>
    <row r="11" spans="1:4" x14ac:dyDescent="0.2">
      <c r="A11" s="1070"/>
    </row>
    <row r="12" spans="1:4" x14ac:dyDescent="0.2">
      <c r="A12" s="1070"/>
    </row>
    <row r="13" spans="1:4" x14ac:dyDescent="0.2">
      <c r="A13" s="1070"/>
    </row>
    <row r="14" spans="1:4" x14ac:dyDescent="0.2">
      <c r="A14" s="1070"/>
    </row>
    <row r="15" spans="1:4" x14ac:dyDescent="0.2">
      <c r="A15" s="1070"/>
    </row>
    <row r="16" spans="1:4"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RIVERSIDE PUBLIC SCHOOL DISTRICT NO. 96</v>
      </c>
    </row>
    <row r="65" spans="2:2" x14ac:dyDescent="0.2">
      <c r="B65" s="1071" t="str">
        <f>COVER!A13</f>
        <v>06-016-0960-02</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12" sqref="C12:F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20881099</v>
      </c>
      <c r="C8" s="1838">
        <f>'Acct Summary 7-8'!D8</f>
        <v>2659944</v>
      </c>
      <c r="D8" s="1838">
        <f>'Acct Summary 7-8'!F8</f>
        <v>3310519</v>
      </c>
      <c r="E8" s="1838">
        <f>'Acct Summary 7-8'!I8</f>
        <v>226639</v>
      </c>
      <c r="F8" s="1838">
        <f>SUM(B8:E8)</f>
        <v>27078201</v>
      </c>
    </row>
    <row r="9" spans="1:8" s="1080" customFormat="1" ht="14.25" customHeight="1" thickBot="1" x14ac:dyDescent="0.25">
      <c r="A9" s="1079" t="s">
        <v>1436</v>
      </c>
      <c r="B9" s="1839">
        <f>'Acct Summary 7-8'!C17</f>
        <v>22154562</v>
      </c>
      <c r="C9" s="1839">
        <f>'Acct Summary 7-8'!D17</f>
        <v>2623745</v>
      </c>
      <c r="D9" s="1839">
        <f>'Acct Summary 7-8'!F17</f>
        <v>678449</v>
      </c>
      <c r="E9" s="1838"/>
      <c r="F9" s="1838">
        <f>SUM(B9:E9)</f>
        <v>25456756</v>
      </c>
    </row>
    <row r="10" spans="1:8" s="1080" customFormat="1" ht="14.25" thickTop="1" thickBot="1" x14ac:dyDescent="0.25">
      <c r="A10" s="1081" t="s">
        <v>1437</v>
      </c>
      <c r="B10" s="1840">
        <f>(B8-B9)</f>
        <v>-1273463</v>
      </c>
      <c r="C10" s="1840">
        <f>(C8-C9)</f>
        <v>36199</v>
      </c>
      <c r="D10" s="1840">
        <f>(D8-D9)</f>
        <v>2632070</v>
      </c>
      <c r="E10" s="1839">
        <f>(E8-E9)</f>
        <v>226639</v>
      </c>
      <c r="F10" s="1841">
        <f>SUM(F8-F9)</f>
        <v>1621445</v>
      </c>
    </row>
    <row r="11" spans="1:8" s="1080" customFormat="1" ht="14.25" thickTop="1" thickBot="1" x14ac:dyDescent="0.25">
      <c r="A11" s="1082" t="s">
        <v>1785</v>
      </c>
      <c r="B11" s="1842">
        <f>'Acct Summary 7-8'!C81</f>
        <v>21871290</v>
      </c>
      <c r="C11" s="1842">
        <f>'Acct Summary 7-8'!D81</f>
        <v>3349129</v>
      </c>
      <c r="D11" s="1842">
        <f>'Acct Summary 7-8'!F81</f>
        <v>-1073047</v>
      </c>
      <c r="E11" s="1842">
        <f>'Acct Summary 7-8'!I81</f>
        <v>4273842</v>
      </c>
      <c r="F11" s="1843">
        <f>SUM(B11:E11)</f>
        <v>28421214</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44" sqref="D4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3568" activePane="bottomLeft" state="frozen"/>
      <selection activeCell="W22" sqref="W22"/>
      <selection pane="bottomLeft" activeCell="B3573" sqref="B3573"/>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06-016-0960-02</v>
      </c>
    </row>
    <row r="3" spans="1:2" x14ac:dyDescent="0.2">
      <c r="A3" t="s">
        <v>1013</v>
      </c>
      <c r="B3" s="138" t="str">
        <f>COVER!A15</f>
        <v>COOK</v>
      </c>
    </row>
    <row r="4" spans="1:2" x14ac:dyDescent="0.2">
      <c r="A4" t="s">
        <v>1064</v>
      </c>
      <c r="B4" s="138" t="str">
        <f>COVER!A17</f>
        <v>RIVERSIDE PUBLIC SCHOOL DISTRICT NO. 96</v>
      </c>
    </row>
    <row r="5" spans="1:2" x14ac:dyDescent="0.2">
      <c r="A5" t="s">
        <v>728</v>
      </c>
      <c r="B5" s="138" t="str">
        <f>COVER!A38</f>
        <v>JAMES FITTON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ANTHONY MICHELOTTI</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34608</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8924272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31185978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7770</v>
      </c>
      <c r="D86" s="2" t="str">
        <f t="shared" si="0"/>
        <v>Error?</v>
      </c>
    </row>
    <row r="87" spans="1:4" x14ac:dyDescent="0.2">
      <c r="A87" s="10">
        <v>26</v>
      </c>
      <c r="D87" s="2" t="str">
        <f t="shared" si="0"/>
        <v>OK</v>
      </c>
    </row>
    <row r="88" spans="1:4" x14ac:dyDescent="0.2">
      <c r="A88" s="5">
        <v>27</v>
      </c>
      <c r="B88" s="138">
        <f>'Assets-Liab 5-6'!C32</f>
        <v>9243686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9314688</v>
      </c>
      <c r="C91" s="2" t="s">
        <v>594</v>
      </c>
      <c r="D91" s="2" t="str">
        <f t="shared" si="0"/>
        <v>Error?</v>
      </c>
    </row>
    <row r="92" spans="1:4" x14ac:dyDescent="0.2">
      <c r="A92" s="5">
        <v>31</v>
      </c>
      <c r="B92" s="138">
        <f>'Assets-Liab 5-6'!C39</f>
        <v>21871290</v>
      </c>
      <c r="D92" s="2" t="str">
        <f t="shared" si="0"/>
        <v>Error?</v>
      </c>
    </row>
    <row r="93" spans="1:4" x14ac:dyDescent="0.2">
      <c r="A93" s="5">
        <v>32</v>
      </c>
      <c r="B93" s="138">
        <f>'Assets-Liab 5-6'!C41</f>
        <v>31185978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1224820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5010742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1233298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1661613</v>
      </c>
      <c r="C122" s="2" t="s">
        <v>594</v>
      </c>
      <c r="D122" s="2" t="str">
        <f t="shared" si="0"/>
        <v>Error?</v>
      </c>
    </row>
    <row r="123" spans="1:4" x14ac:dyDescent="0.2">
      <c r="A123" s="5">
        <v>62</v>
      </c>
      <c r="B123" s="138">
        <f>'Assets-Liab 5-6'!D39</f>
        <v>3349129</v>
      </c>
      <c r="D123" s="2" t="str">
        <f t="shared" si="0"/>
        <v>Error?</v>
      </c>
    </row>
    <row r="124" spans="1:4" x14ac:dyDescent="0.2">
      <c r="A124" s="5">
        <v>63</v>
      </c>
      <c r="B124" s="138">
        <f>'Assets-Liab 5-6'!D41</f>
        <v>5010742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3154755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3154755</v>
      </c>
      <c r="D140" s="2" t="str">
        <f t="shared" si="1"/>
        <v>Error?</v>
      </c>
    </row>
    <row r="141" spans="1:4" x14ac:dyDescent="0.2">
      <c r="A141" s="5">
        <v>80</v>
      </c>
      <c r="B141" s="138">
        <f>'Assets-Liab 5-6'!E41</f>
        <v>3154755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930028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2315677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959731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3388724</v>
      </c>
      <c r="C169" s="2" t="s">
        <v>594</v>
      </c>
      <c r="D169" s="2" t="str">
        <f t="shared" si="1"/>
        <v>Error?</v>
      </c>
    </row>
    <row r="170" spans="1:4" x14ac:dyDescent="0.2">
      <c r="A170" s="5">
        <v>109</v>
      </c>
      <c r="B170" s="138">
        <f>'Assets-Liab 5-6'!F39</f>
        <v>-1073047</v>
      </c>
      <c r="D170" s="2" t="str">
        <f t="shared" si="1"/>
        <v>Error?</v>
      </c>
    </row>
    <row r="171" spans="1:4" x14ac:dyDescent="0.2">
      <c r="A171" s="5">
        <v>110</v>
      </c>
      <c r="B171" s="138">
        <f>'Assets-Liab 5-6'!F41</f>
        <v>2315677</v>
      </c>
      <c r="C171" s="2" t="s">
        <v>594</v>
      </c>
      <c r="D171" s="2" t="str">
        <f t="shared" si="1"/>
        <v>Error?</v>
      </c>
    </row>
    <row r="172" spans="1:4" x14ac:dyDescent="0.2">
      <c r="A172" s="10">
        <v>111</v>
      </c>
      <c r="D172" s="2" t="str">
        <f t="shared" si="1"/>
        <v>OK</v>
      </c>
    </row>
    <row r="173" spans="1:4" x14ac:dyDescent="0.2">
      <c r="A173" s="5">
        <v>112</v>
      </c>
      <c r="B173" s="138">
        <f>'Assets-Liab 5-6'!G6</f>
        <v>480750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1854167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496104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496104</v>
      </c>
      <c r="C188" s="2" t="s">
        <v>594</v>
      </c>
      <c r="D188" s="2" t="str">
        <f t="shared" si="1"/>
        <v>Error?</v>
      </c>
    </row>
    <row r="189" spans="1:4" x14ac:dyDescent="0.2">
      <c r="A189" s="5">
        <v>128</v>
      </c>
      <c r="B189" s="138">
        <f>'Assets-Liab 5-6'!G39</f>
        <v>1358063</v>
      </c>
      <c r="D189" s="2" t="str">
        <f t="shared" si="1"/>
        <v>Error?</v>
      </c>
    </row>
    <row r="190" spans="1:4" x14ac:dyDescent="0.2">
      <c r="A190" s="5">
        <v>129</v>
      </c>
      <c r="B190" s="138">
        <f>'Assets-Liab 5-6'!G41</f>
        <v>1854167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1988648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27830</v>
      </c>
      <c r="C211" s="2" t="s">
        <v>594</v>
      </c>
      <c r="D211" s="2" t="str">
        <f t="shared" si="2"/>
        <v>Error?</v>
      </c>
    </row>
    <row r="212" spans="1:4" x14ac:dyDescent="0.2">
      <c r="A212" s="5">
        <v>151</v>
      </c>
      <c r="B212" s="138">
        <f>'Assets-Liab 5-6'!H39</f>
        <v>1960818</v>
      </c>
      <c r="D212" s="2" t="str">
        <f t="shared" si="2"/>
        <v>Error?</v>
      </c>
    </row>
    <row r="213" spans="1:4" x14ac:dyDescent="0.2">
      <c r="A213" s="12">
        <v>152</v>
      </c>
      <c r="B213" s="138">
        <f>'Assets-Liab 5-6'!H41</f>
        <v>1988648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534849</v>
      </c>
      <c r="D273" s="2" t="str">
        <f t="shared" si="3"/>
        <v>Error?</v>
      </c>
    </row>
    <row r="274" spans="1:4" x14ac:dyDescent="0.2">
      <c r="A274" s="5">
        <v>213</v>
      </c>
      <c r="B274" s="138">
        <f>'Assets-Liab 5-6'!M17</f>
        <v>29610033</v>
      </c>
      <c r="D274" s="2" t="str">
        <f t="shared" si="3"/>
        <v>Error?</v>
      </c>
    </row>
    <row r="275" spans="1:4" x14ac:dyDescent="0.2">
      <c r="A275" s="5">
        <v>214</v>
      </c>
      <c r="B275" s="138">
        <f>'Assets-Liab 5-6'!M18</f>
        <v>867817</v>
      </c>
      <c r="D275" s="2" t="str">
        <f t="shared" si="3"/>
        <v>Error?</v>
      </c>
    </row>
    <row r="276" spans="1:4" x14ac:dyDescent="0.2">
      <c r="A276" s="5">
        <v>215</v>
      </c>
      <c r="B276" s="138">
        <f>'Assets-Liab 5-6'!M19</f>
        <v>7792261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38804960</v>
      </c>
      <c r="C279" s="2" t="s">
        <v>594</v>
      </c>
      <c r="D279" s="2" t="str">
        <f t="shared" si="3"/>
        <v>Error?</v>
      </c>
    </row>
    <row r="280" spans="1:4" x14ac:dyDescent="0.2">
      <c r="A280" s="5">
        <v>219</v>
      </c>
      <c r="B280" s="138">
        <f>'Assets-Liab 5-6'!M40</f>
        <v>38804960</v>
      </c>
      <c r="D280" s="2" t="str">
        <f t="shared" si="3"/>
        <v>Error?</v>
      </c>
    </row>
    <row r="281" spans="1:4" x14ac:dyDescent="0.2">
      <c r="A281" s="5">
        <v>220</v>
      </c>
      <c r="B281" s="138">
        <f>'Assets-Liab 5-6'!M41</f>
        <v>38804960</v>
      </c>
      <c r="C281" s="2" t="s">
        <v>594</v>
      </c>
      <c r="D281" s="2" t="str">
        <f t="shared" si="3"/>
        <v>Error?</v>
      </c>
    </row>
    <row r="282" spans="1:4" x14ac:dyDescent="0.2">
      <c r="A282" s="5">
        <v>221</v>
      </c>
      <c r="B282" s="138">
        <f>'Assets-Liab 5-6'!N21</f>
        <v>3154755</v>
      </c>
      <c r="D282" s="2" t="str">
        <f t="shared" si="3"/>
        <v>Error?</v>
      </c>
    </row>
    <row r="283" spans="1:4" x14ac:dyDescent="0.2">
      <c r="A283" s="5">
        <v>222</v>
      </c>
      <c r="B283" s="138">
        <f>'Assets-Liab 5-6'!N22</f>
        <v>1170245</v>
      </c>
      <c r="D283" s="2" t="str">
        <f t="shared" si="3"/>
        <v>Error?</v>
      </c>
    </row>
    <row r="284" spans="1:4" x14ac:dyDescent="0.2">
      <c r="A284" s="5">
        <v>223</v>
      </c>
      <c r="B284" s="138">
        <f>'Assets-Liab 5-6'!N23</f>
        <v>4325000</v>
      </c>
      <c r="C284" s="2" t="s">
        <v>594</v>
      </c>
      <c r="D284" s="2" t="str">
        <f t="shared" si="3"/>
        <v>Error?</v>
      </c>
    </row>
    <row r="285" spans="1:4" x14ac:dyDescent="0.2">
      <c r="A285" s="5">
        <v>224</v>
      </c>
      <c r="B285" s="138">
        <f>'Assets-Liab 5-6'!N36</f>
        <v>4325000</v>
      </c>
      <c r="D285" s="2" t="str">
        <f t="shared" si="3"/>
        <v>Error?</v>
      </c>
    </row>
    <row r="286" spans="1:4" x14ac:dyDescent="0.2">
      <c r="A286" s="10">
        <v>225</v>
      </c>
      <c r="D286" s="2" t="str">
        <f t="shared" si="3"/>
        <v>OK</v>
      </c>
    </row>
    <row r="287" spans="1:4" x14ac:dyDescent="0.2">
      <c r="A287" s="5">
        <v>226</v>
      </c>
      <c r="B287" s="138">
        <f>'Assets-Liab 5-6'!N37</f>
        <v>4325000</v>
      </c>
      <c r="C287" s="2" t="s">
        <v>594</v>
      </c>
      <c r="D287" s="2" t="str">
        <f t="shared" si="3"/>
        <v>Error?</v>
      </c>
    </row>
    <row r="288" spans="1:4" x14ac:dyDescent="0.2">
      <c r="A288" s="5">
        <v>227</v>
      </c>
      <c r="B288" s="138">
        <f>'Assets-Liab 5-6'!N41</f>
        <v>4325000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8246113</v>
      </c>
      <c r="D705" s="2" t="str">
        <f t="shared" si="10"/>
        <v>Error?</v>
      </c>
    </row>
    <row r="706" spans="1:4" x14ac:dyDescent="0.2">
      <c r="A706" s="5">
        <v>645</v>
      </c>
      <c r="B706" s="138">
        <f>'Expenditures 15-22'!C16</f>
        <v>209810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188651</v>
      </c>
      <c r="D718" s="2" t="str">
        <f t="shared" si="10"/>
        <v>Error?</v>
      </c>
    </row>
    <row r="719" spans="1:4" x14ac:dyDescent="0.2">
      <c r="A719" s="5">
        <v>658</v>
      </c>
      <c r="B719" s="138">
        <f>'Expenditures 15-22'!C15</f>
        <v>26620</v>
      </c>
      <c r="D719" s="2" t="str">
        <f t="shared" si="10"/>
        <v>Error?</v>
      </c>
    </row>
    <row r="720" spans="1:4" x14ac:dyDescent="0.2">
      <c r="A720" s="5">
        <v>659</v>
      </c>
      <c r="B720" s="138">
        <f>'Expenditures 15-22'!C33</f>
        <v>11291698</v>
      </c>
      <c r="C720" s="2" t="s">
        <v>594</v>
      </c>
      <c r="D720" s="2" t="str">
        <f t="shared" si="10"/>
        <v>Error?</v>
      </c>
    </row>
    <row r="721" spans="1:4" x14ac:dyDescent="0.2">
      <c r="A721" s="5">
        <v>660</v>
      </c>
      <c r="B721" s="138">
        <f>'Expenditures 15-22'!C36</f>
        <v>387146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192775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293685</v>
      </c>
      <c r="D725" s="2" t="str">
        <f t="shared" si="10"/>
        <v>Error?</v>
      </c>
    </row>
    <row r="726" spans="1:4" x14ac:dyDescent="0.2">
      <c r="A726" s="5">
        <v>665</v>
      </c>
      <c r="B726" s="138">
        <f>'Expenditures 15-22'!C41</f>
        <v>67314</v>
      </c>
      <c r="D726" s="2" t="str">
        <f t="shared" si="10"/>
        <v>Error?</v>
      </c>
    </row>
    <row r="727" spans="1:4" x14ac:dyDescent="0.2">
      <c r="A727" s="5">
        <v>666</v>
      </c>
      <c r="B727" s="138">
        <f>'Expenditures 15-22'!C42</f>
        <v>940920</v>
      </c>
      <c r="C727" s="2" t="s">
        <v>594</v>
      </c>
      <c r="D727" s="2" t="str">
        <f t="shared" si="10"/>
        <v>Error?</v>
      </c>
    </row>
    <row r="728" spans="1:4" x14ac:dyDescent="0.2">
      <c r="A728" s="5">
        <v>667</v>
      </c>
      <c r="B728" s="138">
        <f>'Expenditures 15-22'!C44</f>
        <v>25731</v>
      </c>
      <c r="D728" s="2" t="str">
        <f t="shared" si="10"/>
        <v>Error?</v>
      </c>
    </row>
    <row r="729" spans="1:4" x14ac:dyDescent="0.2">
      <c r="A729" s="5">
        <v>668</v>
      </c>
      <c r="B729" s="138">
        <f>'Expenditures 15-22'!C45</f>
        <v>503250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528981</v>
      </c>
      <c r="C731" s="2" t="s">
        <v>594</v>
      </c>
      <c r="D731" s="2" t="str">
        <f t="shared" si="10"/>
        <v>Error?</v>
      </c>
    </row>
    <row r="732" spans="1:4" x14ac:dyDescent="0.2">
      <c r="A732" s="5">
        <v>671</v>
      </c>
      <c r="B732" s="138">
        <f>'Expenditures 15-22'!C49</f>
        <v>183488</v>
      </c>
      <c r="D732" s="2" t="str">
        <f t="shared" si="10"/>
        <v>Error?</v>
      </c>
    </row>
    <row r="733" spans="1:4" x14ac:dyDescent="0.2">
      <c r="A733" s="5">
        <v>672</v>
      </c>
      <c r="B733" s="138">
        <f>'Expenditures 15-22'!C50</f>
        <v>306133</v>
      </c>
      <c r="D733" s="2" t="str">
        <f t="shared" si="10"/>
        <v>Error?</v>
      </c>
    </row>
    <row r="734" spans="1:4" x14ac:dyDescent="0.2">
      <c r="A734" s="5">
        <v>673</v>
      </c>
      <c r="B734" s="138">
        <f>'Expenditures 15-22'!C53</f>
        <v>718071</v>
      </c>
      <c r="C734" s="2" t="s">
        <v>594</v>
      </c>
      <c r="D734" s="2" t="str">
        <f t="shared" si="10"/>
        <v>Error?</v>
      </c>
    </row>
    <row r="735" spans="1:4" x14ac:dyDescent="0.2">
      <c r="A735" s="5">
        <v>674</v>
      </c>
      <c r="B735" s="138">
        <f>'Expenditures 15-22'!C55</f>
        <v>982873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982873</v>
      </c>
      <c r="C737" s="2" t="s">
        <v>594</v>
      </c>
      <c r="D737" s="2" t="str">
        <f t="shared" si="10"/>
        <v>Error?</v>
      </c>
    </row>
    <row r="738" spans="1:4" x14ac:dyDescent="0.2">
      <c r="A738" s="5">
        <v>677</v>
      </c>
      <c r="B738" s="138">
        <f>'Expenditures 15-22'!C59</f>
        <v>63454</v>
      </c>
      <c r="D738" s="2" t="str">
        <f t="shared" si="10"/>
        <v>Error?</v>
      </c>
    </row>
    <row r="739" spans="1:4" x14ac:dyDescent="0.2">
      <c r="A739" s="5">
        <v>678</v>
      </c>
      <c r="B739" s="138">
        <f>'Expenditures 15-22'!C60</f>
        <v>101794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91240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256488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3427333</v>
      </c>
      <c r="C755" s="2" t="s">
        <v>594</v>
      </c>
      <c r="D755" s="2" t="str">
        <f t="shared" si="10"/>
        <v>Error?</v>
      </c>
    </row>
    <row r="756" spans="1:4" x14ac:dyDescent="0.2">
      <c r="A756" s="5">
        <v>695</v>
      </c>
      <c r="B756" s="138">
        <f>'Expenditures 15-22'!C75</f>
        <v>4139</v>
      </c>
      <c r="D756" s="2" t="str">
        <f t="shared" si="10"/>
        <v>Error?</v>
      </c>
    </row>
    <row r="757" spans="1:4" x14ac:dyDescent="0.2">
      <c r="A757" s="5">
        <v>696</v>
      </c>
      <c r="B757" s="138">
        <f>'Expenditures 15-22'!C114</f>
        <v>14723170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1519107</v>
      </c>
      <c r="D763" s="2" t="str">
        <f t="shared" si="10"/>
        <v>Error?</v>
      </c>
    </row>
    <row r="764" spans="1:4" x14ac:dyDescent="0.2">
      <c r="A764" s="5">
        <v>703</v>
      </c>
      <c r="B764" s="138">
        <f>'Expenditures 15-22'!D16</f>
        <v>20719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870</v>
      </c>
      <c r="D776" s="2" t="str">
        <f t="shared" si="11"/>
        <v>Error?</v>
      </c>
    </row>
    <row r="777" spans="1:4" x14ac:dyDescent="0.2">
      <c r="A777" s="5">
        <v>716</v>
      </c>
      <c r="B777" s="138">
        <f>'Expenditures 15-22'!D15</f>
        <v>3643</v>
      </c>
      <c r="D777" s="2" t="str">
        <f t="shared" si="11"/>
        <v>Error?</v>
      </c>
    </row>
    <row r="778" spans="1:4" x14ac:dyDescent="0.2">
      <c r="A778" s="5">
        <v>717</v>
      </c>
      <c r="B778" s="138">
        <f>'Expenditures 15-22'!D33</f>
        <v>2209194</v>
      </c>
      <c r="C778" s="2" t="s">
        <v>594</v>
      </c>
      <c r="D778" s="2" t="str">
        <f t="shared" si="11"/>
        <v>Error?</v>
      </c>
    </row>
    <row r="779" spans="1:4" x14ac:dyDescent="0.2">
      <c r="A779" s="5">
        <v>718</v>
      </c>
      <c r="B779" s="138">
        <f>'Expenditures 15-22'!D36</f>
        <v>48887</v>
      </c>
      <c r="D779" s="2" t="str">
        <f t="shared" si="11"/>
        <v>Error?</v>
      </c>
    </row>
    <row r="780" spans="1:4" x14ac:dyDescent="0.2">
      <c r="A780" s="5">
        <v>719</v>
      </c>
      <c r="B780" s="138">
        <f>'Expenditures 15-22'!D37</f>
        <v>9378</v>
      </c>
      <c r="D780" s="2" t="str">
        <f t="shared" si="11"/>
        <v>Error?</v>
      </c>
    </row>
    <row r="781" spans="1:4" x14ac:dyDescent="0.2">
      <c r="A781" s="5">
        <v>720</v>
      </c>
      <c r="B781" s="138">
        <f>'Expenditures 15-22'!D38</f>
        <v>47746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54295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160306</v>
      </c>
      <c r="C785" s="2" t="s">
        <v>594</v>
      </c>
      <c r="D785" s="2" t="str">
        <f t="shared" si="11"/>
        <v>Error?</v>
      </c>
    </row>
    <row r="786" spans="1:4" x14ac:dyDescent="0.2">
      <c r="A786" s="5">
        <v>725</v>
      </c>
      <c r="B786" s="138">
        <f>'Expenditures 15-22'!D44</f>
        <v>7842</v>
      </c>
      <c r="D786" s="2" t="str">
        <f t="shared" si="11"/>
        <v>Error?</v>
      </c>
    </row>
    <row r="787" spans="1:4" x14ac:dyDescent="0.2">
      <c r="A787" s="5">
        <v>726</v>
      </c>
      <c r="B787" s="138">
        <f>'Expenditures 15-22'!D45</f>
        <v>109503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117345</v>
      </c>
      <c r="C789" s="2" t="s">
        <v>594</v>
      </c>
      <c r="D789" s="2" t="str">
        <f t="shared" si="11"/>
        <v>Error?</v>
      </c>
    </row>
    <row r="790" spans="1:4" x14ac:dyDescent="0.2">
      <c r="A790" s="5">
        <v>729</v>
      </c>
      <c r="B790" s="138">
        <f>'Expenditures 15-22'!D49</f>
        <v>24042</v>
      </c>
      <c r="D790" s="2" t="str">
        <f t="shared" si="11"/>
        <v>Error?</v>
      </c>
    </row>
    <row r="791" spans="1:4" x14ac:dyDescent="0.2">
      <c r="A791" s="5">
        <v>730</v>
      </c>
      <c r="B791" s="138">
        <f>'Expenditures 15-22'!D50</f>
        <v>68242</v>
      </c>
      <c r="D791" s="2" t="str">
        <f t="shared" si="11"/>
        <v>Error?</v>
      </c>
    </row>
    <row r="792" spans="1:4" x14ac:dyDescent="0.2">
      <c r="A792" s="5">
        <v>731</v>
      </c>
      <c r="B792" s="138">
        <f>'Expenditures 15-22'!D53</f>
        <v>125013</v>
      </c>
      <c r="C792" s="2" t="s">
        <v>594</v>
      </c>
      <c r="D792" s="2" t="str">
        <f t="shared" si="11"/>
        <v>Error?</v>
      </c>
    </row>
    <row r="793" spans="1:4" x14ac:dyDescent="0.2">
      <c r="A793" s="5">
        <v>732</v>
      </c>
      <c r="B793" s="138">
        <f>'Expenditures 15-22'!D55</f>
        <v>272563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272563</v>
      </c>
      <c r="C795" s="2" t="s">
        <v>594</v>
      </c>
      <c r="D795" s="2" t="str">
        <f t="shared" si="11"/>
        <v>Error?</v>
      </c>
    </row>
    <row r="796" spans="1:4" x14ac:dyDescent="0.2">
      <c r="A796" s="5">
        <v>735</v>
      </c>
      <c r="B796" s="138">
        <f>'Expenditures 15-22'!D59</f>
        <v>473</v>
      </c>
      <c r="D796" s="2" t="str">
        <f t="shared" si="11"/>
        <v>Error?</v>
      </c>
    </row>
    <row r="797" spans="1:4" x14ac:dyDescent="0.2">
      <c r="A797" s="5">
        <v>736</v>
      </c>
      <c r="B797" s="138">
        <f>'Expenditures 15-22'!D60</f>
        <v>33696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34331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68500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743727</v>
      </c>
      <c r="C813" s="2" t="s">
        <v>594</v>
      </c>
      <c r="D813" s="2" t="str">
        <f t="shared" si="11"/>
        <v>Error?</v>
      </c>
    </row>
    <row r="814" spans="1:4" x14ac:dyDescent="0.2">
      <c r="A814" s="5">
        <v>753</v>
      </c>
      <c r="B814" s="138">
        <f>'Expenditures 15-22'!D75</f>
        <v>442</v>
      </c>
      <c r="D814" s="2" t="str">
        <f t="shared" si="11"/>
        <v>Error?</v>
      </c>
    </row>
    <row r="815" spans="1:4" x14ac:dyDescent="0.2">
      <c r="A815" s="5">
        <v>754</v>
      </c>
      <c r="B815" s="138">
        <f>'Expenditures 15-22'!D114</f>
        <v>2953363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35234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10174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51134</v>
      </c>
      <c r="C836" s="2" t="s">
        <v>594</v>
      </c>
      <c r="D836" s="2" t="str">
        <f t="shared" si="12"/>
        <v>Error?</v>
      </c>
    </row>
    <row r="837" spans="1:4" x14ac:dyDescent="0.2">
      <c r="A837" s="5">
        <v>776</v>
      </c>
      <c r="B837" s="138">
        <f>'Expenditures 15-22'!E36</f>
        <v>9656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13580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31454</v>
      </c>
      <c r="D841" s="2" t="str">
        <f t="shared" si="12"/>
        <v>Error?</v>
      </c>
    </row>
    <row r="842" spans="1:4" x14ac:dyDescent="0.2">
      <c r="A842" s="5">
        <v>781</v>
      </c>
      <c r="B842" s="138">
        <f>'Expenditures 15-22'!E41</f>
        <v>7883</v>
      </c>
      <c r="D842" s="2" t="str">
        <f t="shared" si="12"/>
        <v>Error?</v>
      </c>
    </row>
    <row r="843" spans="1:4" x14ac:dyDescent="0.2">
      <c r="A843" s="5">
        <v>782</v>
      </c>
      <c r="B843" s="138">
        <f>'Expenditures 15-22'!E42</f>
        <v>62573</v>
      </c>
      <c r="C843" s="2" t="s">
        <v>594</v>
      </c>
      <c r="D843" s="2" t="str">
        <f t="shared" si="12"/>
        <v>Error?</v>
      </c>
    </row>
    <row r="844" spans="1:4" x14ac:dyDescent="0.2">
      <c r="A844" s="5">
        <v>783</v>
      </c>
      <c r="B844" s="138">
        <f>'Expenditures 15-22'!E44</f>
        <v>214021</v>
      </c>
      <c r="D844" s="2" t="str">
        <f t="shared" si="12"/>
        <v>Error?</v>
      </c>
    </row>
    <row r="845" spans="1:4" x14ac:dyDescent="0.2">
      <c r="A845" s="5">
        <v>784</v>
      </c>
      <c r="B845" s="138">
        <f>'Expenditures 15-22'!E45</f>
        <v>128150</v>
      </c>
      <c r="D845" s="2" t="str">
        <f t="shared" si="12"/>
        <v>Error?</v>
      </c>
    </row>
    <row r="846" spans="1:4" x14ac:dyDescent="0.2">
      <c r="A846" s="5">
        <v>785</v>
      </c>
      <c r="B846" s="138">
        <f>'Expenditures 15-22'!E46</f>
        <v>8750</v>
      </c>
      <c r="D846" s="2" t="str">
        <f t="shared" si="12"/>
        <v>Error?</v>
      </c>
    </row>
    <row r="847" spans="1:4" x14ac:dyDescent="0.2">
      <c r="A847" s="5">
        <v>786</v>
      </c>
      <c r="B847" s="138">
        <f>'Expenditures 15-22'!E47</f>
        <v>350921</v>
      </c>
      <c r="C847" s="2" t="s">
        <v>594</v>
      </c>
      <c r="D847" s="2" t="str">
        <f t="shared" si="12"/>
        <v>Error?</v>
      </c>
    </row>
    <row r="848" spans="1:4" x14ac:dyDescent="0.2">
      <c r="A848" s="5">
        <v>787</v>
      </c>
      <c r="B848" s="138">
        <f>'Expenditures 15-22'!E49</f>
        <v>155271</v>
      </c>
      <c r="D848" s="2" t="str">
        <f t="shared" si="12"/>
        <v>Error?</v>
      </c>
    </row>
    <row r="849" spans="1:4" x14ac:dyDescent="0.2">
      <c r="A849" s="5">
        <v>788</v>
      </c>
      <c r="B849" s="138">
        <f>'Expenditures 15-22'!E50</f>
        <v>54916</v>
      </c>
      <c r="D849" s="2" t="str">
        <f t="shared" si="12"/>
        <v>Error?</v>
      </c>
    </row>
    <row r="850" spans="1:4" x14ac:dyDescent="0.2">
      <c r="A850" s="5">
        <v>789</v>
      </c>
      <c r="B850" s="138">
        <f>'Expenditures 15-22'!E53</f>
        <v>210187</v>
      </c>
      <c r="C850" s="2" t="s">
        <v>594</v>
      </c>
      <c r="D850" s="2" t="str">
        <f t="shared" si="12"/>
        <v>Error?</v>
      </c>
    </row>
    <row r="851" spans="1:4" x14ac:dyDescent="0.2">
      <c r="A851" s="5">
        <v>790</v>
      </c>
      <c r="B851" s="138">
        <f>'Expenditures 15-22'!E55</f>
        <v>27135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27135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79083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526</v>
      </c>
      <c r="D858" s="2" t="str">
        <f t="shared" si="12"/>
        <v>Error?</v>
      </c>
    </row>
    <row r="859" spans="1:4" x14ac:dyDescent="0.2">
      <c r="A859" s="5">
        <v>798</v>
      </c>
      <c r="B859" s="138">
        <f>'Expenditures 15-22'!E64</f>
        <v>9157</v>
      </c>
      <c r="D859" s="2" t="str">
        <f t="shared" si="12"/>
        <v>Error?</v>
      </c>
    </row>
    <row r="860" spans="1:4" x14ac:dyDescent="0.2">
      <c r="A860" s="10">
        <v>799</v>
      </c>
      <c r="D860" s="2" t="str">
        <f t="shared" si="12"/>
        <v>OK</v>
      </c>
    </row>
    <row r="861" spans="1:4" x14ac:dyDescent="0.2">
      <c r="A861" s="5">
        <v>800</v>
      </c>
      <c r="B861" s="138">
        <f>'Expenditures 15-22'!E65</f>
        <v>88766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739582</v>
      </c>
      <c r="C871" s="2" t="s">
        <v>594</v>
      </c>
      <c r="D871" s="2" t="str">
        <f t="shared" si="12"/>
        <v>Error?</v>
      </c>
    </row>
    <row r="872" spans="1:4" x14ac:dyDescent="0.2">
      <c r="A872" s="5">
        <v>811</v>
      </c>
      <c r="B872" s="138">
        <f>'Expenditures 15-22'!E75</f>
        <v>22311</v>
      </c>
      <c r="D872" s="2" t="str">
        <f t="shared" si="12"/>
        <v>Error?</v>
      </c>
    </row>
    <row r="873" spans="1:4" x14ac:dyDescent="0.2">
      <c r="A873" s="5">
        <v>812</v>
      </c>
      <c r="B873" s="138">
        <f>'Expenditures 15-22'!E114</f>
        <v>1585445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354510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18298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4081</v>
      </c>
      <c r="D892" s="2" t="str">
        <f t="shared" si="12"/>
        <v>Error?</v>
      </c>
    </row>
    <row r="893" spans="1:4" x14ac:dyDescent="0.2">
      <c r="A893" s="5">
        <v>832</v>
      </c>
      <c r="B893" s="138">
        <f>'Expenditures 15-22'!F15</f>
        <v>166</v>
      </c>
      <c r="D893" s="2" t="str">
        <f t="shared" si="12"/>
        <v>Error?</v>
      </c>
    </row>
    <row r="894" spans="1:4" x14ac:dyDescent="0.2">
      <c r="A894" s="5">
        <v>833</v>
      </c>
      <c r="B894" s="138">
        <f>'Expenditures 15-22'!F33</f>
        <v>410000</v>
      </c>
      <c r="C894" s="2" t="s">
        <v>594</v>
      </c>
      <c r="D894" s="2" t="str">
        <f t="shared" si="12"/>
        <v>Error?</v>
      </c>
    </row>
    <row r="895" spans="1:4" x14ac:dyDescent="0.2">
      <c r="A895" s="5">
        <v>834</v>
      </c>
      <c r="B895" s="138">
        <f>'Expenditures 15-22'!F36</f>
        <v>961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2730</v>
      </c>
      <c r="D897" s="2" t="str">
        <f t="shared" si="13"/>
        <v>Error?</v>
      </c>
    </row>
    <row r="898" spans="1:4" x14ac:dyDescent="0.2">
      <c r="A898" s="5">
        <v>837</v>
      </c>
      <c r="B898" s="138">
        <f>'Expenditures 15-22'!F39</f>
        <v>2505</v>
      </c>
      <c r="D898" s="2" t="str">
        <f t="shared" si="13"/>
        <v>Error?</v>
      </c>
    </row>
    <row r="899" spans="1:4" x14ac:dyDescent="0.2">
      <c r="A899" s="5">
        <v>838</v>
      </c>
      <c r="B899" s="138">
        <f>'Expenditures 15-22'!F40</f>
        <v>2168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8364</v>
      </c>
      <c r="C901" s="2" t="s">
        <v>594</v>
      </c>
      <c r="D901" s="2" t="str">
        <f t="shared" si="13"/>
        <v>Error?</v>
      </c>
    </row>
    <row r="902" spans="1:4" x14ac:dyDescent="0.2">
      <c r="A902" s="5">
        <v>841</v>
      </c>
      <c r="B902" s="138">
        <f>'Expenditures 15-22'!F44</f>
        <v>282493</v>
      </c>
      <c r="D902" s="2" t="str">
        <f t="shared" si="13"/>
        <v>Error?</v>
      </c>
    </row>
    <row r="903" spans="1:4" x14ac:dyDescent="0.2">
      <c r="A903" s="5">
        <v>842</v>
      </c>
      <c r="B903" s="138">
        <f>'Expenditures 15-22'!F45</f>
        <v>407560</v>
      </c>
      <c r="D903" s="2" t="str">
        <f t="shared" si="13"/>
        <v>Error?</v>
      </c>
    </row>
    <row r="904" spans="1:4" x14ac:dyDescent="0.2">
      <c r="A904" s="5">
        <v>843</v>
      </c>
      <c r="B904" s="138">
        <f>'Expenditures 15-22'!F46</f>
        <v>7469</v>
      </c>
      <c r="D904" s="2" t="str">
        <f t="shared" si="13"/>
        <v>Error?</v>
      </c>
    </row>
    <row r="905" spans="1:4" x14ac:dyDescent="0.2">
      <c r="A905" s="5">
        <v>844</v>
      </c>
      <c r="B905" s="138">
        <f>'Expenditures 15-22'!F47</f>
        <v>697522</v>
      </c>
      <c r="C905" s="2" t="s">
        <v>594</v>
      </c>
      <c r="D905" s="2" t="str">
        <f t="shared" si="13"/>
        <v>Error?</v>
      </c>
    </row>
    <row r="906" spans="1:4" x14ac:dyDescent="0.2">
      <c r="A906" s="5">
        <v>845</v>
      </c>
      <c r="B906" s="138">
        <f>'Expenditures 15-22'!F49</f>
        <v>3923</v>
      </c>
      <c r="D906" s="2" t="str">
        <f t="shared" si="13"/>
        <v>Error?</v>
      </c>
    </row>
    <row r="907" spans="1:4" x14ac:dyDescent="0.2">
      <c r="A907" s="5">
        <v>846</v>
      </c>
      <c r="B907" s="138">
        <f>'Expenditures 15-22'!F50</f>
        <v>2494</v>
      </c>
      <c r="D907" s="2" t="str">
        <f t="shared" si="13"/>
        <v>Error?</v>
      </c>
    </row>
    <row r="908" spans="1:4" x14ac:dyDescent="0.2">
      <c r="A908" s="5">
        <v>847</v>
      </c>
      <c r="B908" s="138">
        <f>'Expenditures 15-22'!F53</f>
        <v>6417</v>
      </c>
      <c r="C908" s="2" t="s">
        <v>594</v>
      </c>
      <c r="D908" s="2" t="str">
        <f t="shared" si="13"/>
        <v>Error?</v>
      </c>
    </row>
    <row r="909" spans="1:4" x14ac:dyDescent="0.2">
      <c r="A909" s="5">
        <v>848</v>
      </c>
      <c r="B909" s="138">
        <f>'Expenditures 15-22'!F55</f>
        <v>21889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21889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14624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69176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83800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1062</v>
      </c>
      <c r="D928" s="2" t="str">
        <f t="shared" si="13"/>
        <v>Error?</v>
      </c>
    </row>
    <row r="929" spans="1:4" x14ac:dyDescent="0.2">
      <c r="A929" s="5">
        <v>868</v>
      </c>
      <c r="B929" s="138">
        <f>'Expenditures 15-22'!F74</f>
        <v>819054</v>
      </c>
      <c r="C929" s="2" t="s">
        <v>594</v>
      </c>
      <c r="D929" s="2" t="str">
        <f t="shared" si="13"/>
        <v>Error?</v>
      </c>
    </row>
    <row r="930" spans="1:4" x14ac:dyDescent="0.2">
      <c r="A930" s="5">
        <v>869</v>
      </c>
      <c r="B930" s="138">
        <f>'Expenditures 15-22'!F75</f>
        <v>511</v>
      </c>
      <c r="D930" s="2" t="str">
        <f t="shared" si="13"/>
        <v>Error?</v>
      </c>
    </row>
    <row r="931" spans="1:4" x14ac:dyDescent="0.2">
      <c r="A931" s="5">
        <v>870</v>
      </c>
      <c r="B931" s="138">
        <f>'Expenditures 15-22'!F114</f>
        <v>1229565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37118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37118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110631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110631</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113869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150987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721026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12715</v>
      </c>
      <c r="D1022" s="2" t="str">
        <f t="shared" si="14"/>
        <v>Error?</v>
      </c>
    </row>
    <row r="1023" spans="1:4" x14ac:dyDescent="0.2">
      <c r="A1023" s="5">
        <v>962</v>
      </c>
      <c r="B1023" s="138">
        <f>'Expenditures 15-22'!H50</f>
        <v>8591</v>
      </c>
      <c r="D1023" s="2" t="str">
        <f t="shared" ref="D1023:D1086" si="15">IF(ISBLANK(B1023),"OK",IF(A1023-B1023=0,"OK","Error?"))</f>
        <v>Error?</v>
      </c>
    </row>
    <row r="1024" spans="1:4" x14ac:dyDescent="0.2">
      <c r="A1024" s="5">
        <v>963</v>
      </c>
      <c r="B1024" s="138">
        <f>'Expenditures 15-22'!H53</f>
        <v>21306</v>
      </c>
      <c r="C1024" s="2" t="s">
        <v>594</v>
      </c>
      <c r="D1024" s="2" t="str">
        <f t="shared" si="15"/>
        <v>Error?</v>
      </c>
    </row>
    <row r="1025" spans="1:4" x14ac:dyDescent="0.2">
      <c r="A1025" s="5">
        <v>964</v>
      </c>
      <c r="B1025" s="138">
        <f>'Expenditures 15-22'!H55</f>
        <v>3053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3053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24412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726711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1472149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10209717</v>
      </c>
      <c r="C1093" s="2" t="s">
        <v>594</v>
      </c>
      <c r="D1093" s="2" t="str">
        <f t="shared" si="16"/>
        <v>Error?</v>
      </c>
    </row>
    <row r="1094" spans="1:4" x14ac:dyDescent="0.2">
      <c r="A1094" s="5">
        <v>1033</v>
      </c>
      <c r="B1094" s="138">
        <f>'Expenditures 15-22'!K16</f>
        <v>230529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18327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203776</v>
      </c>
      <c r="C1106" s="2" t="s">
        <v>594</v>
      </c>
      <c r="D1106" s="2" t="str">
        <f t="shared" si="16"/>
        <v>Error?</v>
      </c>
    </row>
    <row r="1107" spans="1:4" x14ac:dyDescent="0.2">
      <c r="A1107" s="5">
        <v>1046</v>
      </c>
      <c r="B1107" s="138">
        <f>'Expenditures 15-22'!K15</f>
        <v>30429</v>
      </c>
      <c r="C1107" s="2" t="s">
        <v>594</v>
      </c>
      <c r="D1107" s="2" t="str">
        <f t="shared" si="16"/>
        <v>Error?</v>
      </c>
    </row>
    <row r="1108" spans="1:4" x14ac:dyDescent="0.2">
      <c r="A1108" s="5">
        <v>1047</v>
      </c>
      <c r="B1108" s="138">
        <f>'Expenditures 15-22'!K33</f>
        <v>14737805</v>
      </c>
      <c r="C1108" s="2" t="s">
        <v>594</v>
      </c>
      <c r="D1108" s="2" t="str">
        <f t="shared" si="16"/>
        <v>Error?</v>
      </c>
    </row>
    <row r="1109" spans="1:4" x14ac:dyDescent="0.2">
      <c r="A1109" s="5">
        <v>1048</v>
      </c>
      <c r="B1109" s="138">
        <f>'Expenditures 15-22'!K36</f>
        <v>446650</v>
      </c>
      <c r="C1109" s="2" t="s">
        <v>594</v>
      </c>
      <c r="D1109" s="2" t="str">
        <f t="shared" si="16"/>
        <v>Error?</v>
      </c>
    </row>
    <row r="1110" spans="1:4" x14ac:dyDescent="0.2">
      <c r="A1110" s="5">
        <v>1049</v>
      </c>
      <c r="B1110" s="138">
        <f>'Expenditures 15-22'!K37</f>
        <v>9378</v>
      </c>
      <c r="C1110" s="2" t="s">
        <v>594</v>
      </c>
      <c r="D1110" s="2" t="str">
        <f t="shared" si="16"/>
        <v>Error?</v>
      </c>
    </row>
    <row r="1111" spans="1:4" x14ac:dyDescent="0.2">
      <c r="A1111" s="5">
        <v>1050</v>
      </c>
      <c r="B1111" s="138">
        <f>'Expenditures 15-22'!K38</f>
        <v>258535</v>
      </c>
      <c r="C1111" s="2" t="s">
        <v>594</v>
      </c>
      <c r="D1111" s="2" t="str">
        <f t="shared" si="16"/>
        <v>Error?</v>
      </c>
    </row>
    <row r="1112" spans="1:4" x14ac:dyDescent="0.2">
      <c r="A1112" s="5">
        <v>1051</v>
      </c>
      <c r="B1112" s="138">
        <f>'Expenditures 15-22'!K39</f>
        <v>2505</v>
      </c>
      <c r="C1112" s="2" t="s">
        <v>594</v>
      </c>
      <c r="D1112" s="2" t="str">
        <f t="shared" si="16"/>
        <v>Error?</v>
      </c>
    </row>
    <row r="1113" spans="1:4" x14ac:dyDescent="0.2">
      <c r="A1113" s="5">
        <v>1052</v>
      </c>
      <c r="B1113" s="138">
        <f>'Expenditures 15-22'!K40</f>
        <v>381602</v>
      </c>
      <c r="C1113" s="2" t="s">
        <v>594</v>
      </c>
      <c r="D1113" s="2" t="str">
        <f t="shared" si="16"/>
        <v>Error?</v>
      </c>
    </row>
    <row r="1114" spans="1:4" x14ac:dyDescent="0.2">
      <c r="A1114" s="5">
        <v>1053</v>
      </c>
      <c r="B1114" s="138">
        <f>'Expenditures 15-22'!K41</f>
        <v>75197</v>
      </c>
      <c r="C1114" s="2" t="s">
        <v>594</v>
      </c>
      <c r="D1114" s="2" t="str">
        <f t="shared" si="16"/>
        <v>Error?</v>
      </c>
    </row>
    <row r="1115" spans="1:4" x14ac:dyDescent="0.2">
      <c r="A1115" s="5">
        <v>1054</v>
      </c>
      <c r="B1115" s="138">
        <f>'Expenditures 15-22'!K42</f>
        <v>1173867</v>
      </c>
      <c r="C1115" s="2" t="s">
        <v>594</v>
      </c>
      <c r="D1115" s="2" t="str">
        <f t="shared" si="16"/>
        <v>Error?</v>
      </c>
    </row>
    <row r="1116" spans="1:4" x14ac:dyDescent="0.2">
      <c r="A1116" s="5">
        <v>1055</v>
      </c>
      <c r="B1116" s="138">
        <f>'Expenditures 15-22'!K44</f>
        <v>530087</v>
      </c>
      <c r="C1116" s="2" t="s">
        <v>594</v>
      </c>
      <c r="D1116" s="2" t="str">
        <f t="shared" si="16"/>
        <v>Error?</v>
      </c>
    </row>
    <row r="1117" spans="1:4" x14ac:dyDescent="0.2">
      <c r="A1117" s="5">
        <v>1056</v>
      </c>
      <c r="B1117" s="138">
        <f>'Expenditures 15-22'!K45</f>
        <v>1279638</v>
      </c>
      <c r="C1117" s="2" t="s">
        <v>594</v>
      </c>
      <c r="D1117" s="2" t="str">
        <f t="shared" si="16"/>
        <v>Error?</v>
      </c>
    </row>
    <row r="1118" spans="1:4" x14ac:dyDescent="0.2">
      <c r="A1118" s="5">
        <v>1057</v>
      </c>
      <c r="B1118" s="138">
        <f>'Expenditures 15-22'!K46</f>
        <v>16219</v>
      </c>
      <c r="C1118" s="2" t="s">
        <v>594</v>
      </c>
      <c r="D1118" s="2" t="str">
        <f t="shared" si="16"/>
        <v>Error?</v>
      </c>
    </row>
    <row r="1119" spans="1:4" x14ac:dyDescent="0.2">
      <c r="A1119" s="5">
        <v>1058</v>
      </c>
      <c r="B1119" s="138">
        <f>'Expenditures 15-22'!K47</f>
        <v>1825944</v>
      </c>
      <c r="C1119" s="2" t="s">
        <v>594</v>
      </c>
      <c r="D1119" s="2" t="str">
        <f t="shared" si="16"/>
        <v>Error?</v>
      </c>
    </row>
    <row r="1120" spans="1:4" x14ac:dyDescent="0.2">
      <c r="A1120" s="5">
        <v>1059</v>
      </c>
      <c r="B1120" s="138">
        <f>'Expenditures 15-22'!K49</f>
        <v>379439</v>
      </c>
      <c r="C1120" s="2" t="s">
        <v>594</v>
      </c>
      <c r="D1120" s="2" t="str">
        <f t="shared" si="16"/>
        <v>Error?</v>
      </c>
    </row>
    <row r="1121" spans="1:4" x14ac:dyDescent="0.2">
      <c r="A1121" s="5">
        <v>1060</v>
      </c>
      <c r="B1121" s="138">
        <f>'Expenditures 15-22'!K50</f>
        <v>440376</v>
      </c>
      <c r="C1121" s="2" t="s">
        <v>594</v>
      </c>
      <c r="D1121" s="2" t="str">
        <f t="shared" si="16"/>
        <v>Error?</v>
      </c>
    </row>
    <row r="1122" spans="1:4" x14ac:dyDescent="0.2">
      <c r="A1122" s="5">
        <v>1061</v>
      </c>
      <c r="B1122" s="138">
        <f>'Expenditures 15-22'!K53</f>
        <v>1080994</v>
      </c>
      <c r="C1122" s="2" t="s">
        <v>594</v>
      </c>
      <c r="D1122" s="2" t="str">
        <f t="shared" si="16"/>
        <v>Error?</v>
      </c>
    </row>
    <row r="1123" spans="1:4" x14ac:dyDescent="0.2">
      <c r="A1123" s="5">
        <v>1062</v>
      </c>
      <c r="B1123" s="138">
        <f>'Expenditures 15-22'!K55</f>
        <v>1307513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1307513</v>
      </c>
      <c r="C1125" s="2" t="s">
        <v>594</v>
      </c>
      <c r="D1125" s="2" t="str">
        <f t="shared" si="16"/>
        <v>Error?</v>
      </c>
    </row>
    <row r="1126" spans="1:4" x14ac:dyDescent="0.2">
      <c r="A1126" s="5">
        <v>1065</v>
      </c>
      <c r="B1126" s="138">
        <f>'Expenditures 15-22'!K59</f>
        <v>63927</v>
      </c>
      <c r="C1126" s="2" t="s">
        <v>594</v>
      </c>
      <c r="D1126" s="2" t="str">
        <f t="shared" si="16"/>
        <v>Error?</v>
      </c>
    </row>
    <row r="1127" spans="1:4" x14ac:dyDescent="0.2">
      <c r="A1127" s="5">
        <v>1066</v>
      </c>
      <c r="B1127" s="138">
        <f>'Expenditures 15-22'!K60</f>
        <v>229197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198564</v>
      </c>
      <c r="C1130" s="2" t="s">
        <v>594</v>
      </c>
      <c r="D1130" s="2" t="str">
        <f t="shared" si="16"/>
        <v>Error?</v>
      </c>
    </row>
    <row r="1131" spans="1:4" x14ac:dyDescent="0.2">
      <c r="A1131" s="5">
        <v>1070</v>
      </c>
      <c r="B1131" s="138">
        <f>'Expenditures 15-22'!K64</f>
        <v>9157</v>
      </c>
      <c r="C1131" s="2" t="s">
        <v>594</v>
      </c>
      <c r="D1131" s="2" t="str">
        <f t="shared" si="16"/>
        <v>Error?</v>
      </c>
    </row>
    <row r="1132" spans="1:4" x14ac:dyDescent="0.2">
      <c r="A1132" s="10">
        <v>1071</v>
      </c>
      <c r="D1132" s="2" t="str">
        <f t="shared" si="16"/>
        <v>OK</v>
      </c>
    </row>
    <row r="1133" spans="1:4" x14ac:dyDescent="0.2">
      <c r="A1133" s="5">
        <v>1072</v>
      </c>
      <c r="B1133" s="138">
        <f>'Expenditures 15-22'!K65</f>
        <v>500845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1062</v>
      </c>
      <c r="C1142" s="2" t="s">
        <v>594</v>
      </c>
      <c r="D1142" s="2" t="str">
        <f t="shared" si="16"/>
        <v>Error?</v>
      </c>
    </row>
    <row r="1143" spans="1:4" x14ac:dyDescent="0.2">
      <c r="A1143" s="5">
        <v>1082</v>
      </c>
      <c r="B1143" s="138">
        <f>'Expenditures 15-22'!K74</f>
        <v>5890225</v>
      </c>
      <c r="C1143" s="2" t="s">
        <v>594</v>
      </c>
      <c r="D1143" s="2" t="str">
        <f t="shared" si="16"/>
        <v>Error?</v>
      </c>
    </row>
    <row r="1144" spans="1:4" x14ac:dyDescent="0.2">
      <c r="A1144" s="5">
        <v>1083</v>
      </c>
      <c r="B1144" s="138">
        <f>'Expenditures 15-22'!K75</f>
        <v>27403</v>
      </c>
      <c r="C1144" s="2" t="s">
        <v>594</v>
      </c>
      <c r="D1144" s="2" t="str">
        <f t="shared" si="16"/>
        <v>Error?</v>
      </c>
    </row>
    <row r="1145" spans="1:4" x14ac:dyDescent="0.2">
      <c r="A1145" s="5">
        <v>1084</v>
      </c>
      <c r="B1145" s="138">
        <f>'Expenditures 15-22'!K102</f>
        <v>1499129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22154562</v>
      </c>
      <c r="C1152" s="2" t="s">
        <v>594</v>
      </c>
      <c r="D1152" s="2" t="str">
        <f t="shared" si="17"/>
        <v>Error?</v>
      </c>
    </row>
    <row r="1153" spans="1:4" x14ac:dyDescent="0.2">
      <c r="A1153" s="5">
        <v>1092</v>
      </c>
      <c r="B1153" s="138">
        <f>'Expenditures 15-22'!K115</f>
        <v>-1273463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963176</v>
      </c>
      <c r="D1221" s="2" t="str">
        <f t="shared" si="18"/>
        <v>Error?</v>
      </c>
    </row>
    <row r="1222" spans="1:4" x14ac:dyDescent="0.2">
      <c r="A1222" s="10">
        <v>1161</v>
      </c>
      <c r="D1222" s="2" t="str">
        <f t="shared" si="18"/>
        <v>OK</v>
      </c>
    </row>
    <row r="1223" spans="1:4" x14ac:dyDescent="0.2">
      <c r="A1223" s="5">
        <v>1162</v>
      </c>
      <c r="B1223" s="138">
        <f>'Expenditures 15-22'!C127</f>
        <v>963176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963176</v>
      </c>
      <c r="C1225" s="2" t="s">
        <v>594</v>
      </c>
      <c r="D1225" s="2" t="str">
        <f t="shared" si="18"/>
        <v>Error?</v>
      </c>
    </row>
    <row r="1226" spans="1:4" x14ac:dyDescent="0.2">
      <c r="A1226" s="5">
        <v>1165</v>
      </c>
      <c r="B1226" s="138">
        <f>'Expenditures 15-22'!C151</f>
        <v>963176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250732</v>
      </c>
      <c r="D1229" s="2" t="str">
        <f t="shared" si="18"/>
        <v>Error?</v>
      </c>
    </row>
    <row r="1230" spans="1:4" x14ac:dyDescent="0.2">
      <c r="A1230" s="10">
        <v>1169</v>
      </c>
      <c r="D1230" s="2" t="str">
        <f t="shared" si="18"/>
        <v>OK</v>
      </c>
    </row>
    <row r="1231" spans="1:4" x14ac:dyDescent="0.2">
      <c r="A1231" s="5">
        <v>1170</v>
      </c>
      <c r="B1231" s="138">
        <f>'Expenditures 15-22'!D127</f>
        <v>250732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250732</v>
      </c>
      <c r="C1233" s="2" t="s">
        <v>594</v>
      </c>
      <c r="D1233" s="2" t="str">
        <f t="shared" si="18"/>
        <v>Error?</v>
      </c>
    </row>
    <row r="1234" spans="1:4" x14ac:dyDescent="0.2">
      <c r="A1234" s="5">
        <v>1173</v>
      </c>
      <c r="B1234" s="138">
        <f>'Expenditures 15-22'!D151</f>
        <v>250732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453256</v>
      </c>
      <c r="D1237" s="2" t="str">
        <f t="shared" si="18"/>
        <v>Error?</v>
      </c>
    </row>
    <row r="1238" spans="1:4" x14ac:dyDescent="0.2">
      <c r="A1238" s="10">
        <v>1177</v>
      </c>
      <c r="D1238" s="2" t="str">
        <f t="shared" si="18"/>
        <v>OK</v>
      </c>
    </row>
    <row r="1239" spans="1:4" x14ac:dyDescent="0.2">
      <c r="A1239" s="5">
        <v>1178</v>
      </c>
      <c r="B1239" s="138">
        <f>'Expenditures 15-22'!E127</f>
        <v>453256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453256</v>
      </c>
      <c r="C1241" s="2" t="s">
        <v>594</v>
      </c>
      <c r="D1241" s="2" t="str">
        <f t="shared" si="18"/>
        <v>Error?</v>
      </c>
    </row>
    <row r="1242" spans="1:4" x14ac:dyDescent="0.2">
      <c r="A1242" s="5">
        <v>1181</v>
      </c>
      <c r="B1242" s="138">
        <f>'Expenditures 15-22'!E151</f>
        <v>453256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411716</v>
      </c>
      <c r="D1245" s="2" t="str">
        <f t="shared" si="18"/>
        <v>Error?</v>
      </c>
    </row>
    <row r="1246" spans="1:4" x14ac:dyDescent="0.2">
      <c r="A1246" s="10">
        <v>1185</v>
      </c>
      <c r="D1246" s="2" t="str">
        <f t="shared" si="18"/>
        <v>OK</v>
      </c>
    </row>
    <row r="1247" spans="1:4" x14ac:dyDescent="0.2">
      <c r="A1247" s="5">
        <v>1186</v>
      </c>
      <c r="B1247" s="138">
        <f>'Expenditures 15-22'!F127</f>
        <v>411716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411716</v>
      </c>
      <c r="C1249" s="2" t="s">
        <v>594</v>
      </c>
      <c r="D1249" s="2" t="str">
        <f t="shared" si="18"/>
        <v>Error?</v>
      </c>
    </row>
    <row r="1250" spans="1:4" x14ac:dyDescent="0.2">
      <c r="A1250" s="5">
        <v>1189</v>
      </c>
      <c r="B1250" s="138">
        <f>'Expenditures 15-22'!F151</f>
        <v>411716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544290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544290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544290</v>
      </c>
      <c r="C1258" s="2" t="s">
        <v>594</v>
      </c>
      <c r="D1258" s="2" t="str">
        <f t="shared" si="18"/>
        <v>Error?</v>
      </c>
    </row>
    <row r="1259" spans="1:4" x14ac:dyDescent="0.2">
      <c r="A1259" s="5">
        <v>1198</v>
      </c>
      <c r="B1259" s="138">
        <f>'Expenditures 15-22'!G151</f>
        <v>544290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2623745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2623745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2623745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2623745</v>
      </c>
      <c r="C1288" s="2" t="s">
        <v>594</v>
      </c>
      <c r="D1288" s="2" t="str">
        <f t="shared" si="19"/>
        <v>Error?</v>
      </c>
    </row>
    <row r="1289" spans="1:4" x14ac:dyDescent="0.2">
      <c r="A1289" s="5">
        <v>1228</v>
      </c>
      <c r="B1289" s="138">
        <f>'Expenditures 15-22'!K152</f>
        <v>36199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137200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1010000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1147200</v>
      </c>
      <c r="C1317" s="2" t="s">
        <v>594</v>
      </c>
      <c r="D1317" s="2" t="str">
        <f t="shared" si="19"/>
        <v>Error?</v>
      </c>
    </row>
    <row r="1318" spans="1:4" x14ac:dyDescent="0.2">
      <c r="A1318" s="5">
        <v>1257</v>
      </c>
      <c r="B1318" s="138">
        <f>'Expenditures 15-22'!H174</f>
        <v>1147200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137200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1010000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1147200</v>
      </c>
      <c r="C1331" s="2" t="s">
        <v>594</v>
      </c>
      <c r="D1331" s="2" t="str">
        <f t="shared" si="19"/>
        <v>Error?</v>
      </c>
    </row>
    <row r="1332" spans="1:4" x14ac:dyDescent="0.2">
      <c r="A1332" s="5">
        <v>1271</v>
      </c>
      <c r="B1332" s="138">
        <f>'Expenditures 15-22'!K174</f>
        <v>1147200</v>
      </c>
      <c r="C1332" s="2" t="s">
        <v>594</v>
      </c>
      <c r="D1332" s="2" t="str">
        <f t="shared" si="19"/>
        <v>Error?</v>
      </c>
    </row>
    <row r="1333" spans="1:4" x14ac:dyDescent="0.2">
      <c r="A1333" s="5">
        <v>1272</v>
      </c>
      <c r="B1333" s="138">
        <f>'Expenditures 15-22'!K175</f>
        <v>-1111575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678449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678449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678449</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678449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678449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678449</v>
      </c>
      <c r="C1388" s="2" t="s">
        <v>594</v>
      </c>
      <c r="D1388" s="2" t="str">
        <f t="shared" si="20"/>
        <v>Error?</v>
      </c>
    </row>
    <row r="1389" spans="1:4" x14ac:dyDescent="0.2">
      <c r="A1389" s="5">
        <v>1328</v>
      </c>
      <c r="B1389" s="138">
        <f>'Expenditures 15-22'!K211</f>
        <v>2632070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2914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8886</v>
      </c>
      <c r="D1408" s="2" t="str">
        <f t="shared" si="21"/>
        <v>Error?</v>
      </c>
    </row>
    <row r="1409" spans="1:4" x14ac:dyDescent="0.2">
      <c r="A1409" s="5">
        <v>1348</v>
      </c>
      <c r="B1409" s="138">
        <f>'Expenditures 15-22'!D224</f>
        <v>1470</v>
      </c>
      <c r="D1409" s="2" t="str">
        <f t="shared" si="21"/>
        <v>Error?</v>
      </c>
    </row>
    <row r="1410" spans="1:4" x14ac:dyDescent="0.2">
      <c r="A1410" s="5">
        <v>1349</v>
      </c>
      <c r="B1410" s="138">
        <f>'Expenditures 15-22'!D229</f>
        <v>368107</v>
      </c>
      <c r="C1410" s="2" t="s">
        <v>594</v>
      </c>
      <c r="D1410" s="2" t="str">
        <f t="shared" si="21"/>
        <v>Error?</v>
      </c>
    </row>
    <row r="1411" spans="1:4" x14ac:dyDescent="0.2">
      <c r="A1411" s="5">
        <v>1350</v>
      </c>
      <c r="B1411" s="138">
        <f>'Expenditures 15-22'!D232</f>
        <v>5378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32765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3990</v>
      </c>
      <c r="D1415" s="2" t="str">
        <f t="shared" si="21"/>
        <v>Error?</v>
      </c>
    </row>
    <row r="1416" spans="1:4" x14ac:dyDescent="0.2">
      <c r="A1416" s="5">
        <v>1355</v>
      </c>
      <c r="B1416" s="138">
        <f>'Expenditures 15-22'!D237</f>
        <v>8541</v>
      </c>
      <c r="D1416" s="2" t="str">
        <f t="shared" si="21"/>
        <v>Error?</v>
      </c>
    </row>
    <row r="1417" spans="1:4" x14ac:dyDescent="0.2">
      <c r="A1417" s="5">
        <v>1356</v>
      </c>
      <c r="B1417" s="138">
        <f>'Expenditures 15-22'!D238</f>
        <v>50674</v>
      </c>
      <c r="C1417" s="2" t="s">
        <v>594</v>
      </c>
      <c r="D1417" s="2" t="str">
        <f t="shared" si="21"/>
        <v>Error?</v>
      </c>
    </row>
    <row r="1418" spans="1:4" x14ac:dyDescent="0.2">
      <c r="A1418" s="5">
        <v>1357</v>
      </c>
      <c r="B1418" s="138">
        <f>'Expenditures 15-22'!D240</f>
        <v>218</v>
      </c>
      <c r="D1418" s="2" t="str">
        <f t="shared" si="21"/>
        <v>Error?</v>
      </c>
    </row>
    <row r="1419" spans="1:4" x14ac:dyDescent="0.2">
      <c r="A1419" s="5">
        <v>1358</v>
      </c>
      <c r="B1419" s="138">
        <f>'Expenditures 15-22'!D241</f>
        <v>14193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14411</v>
      </c>
      <c r="C1421" s="2" t="s">
        <v>594</v>
      </c>
      <c r="D1421" s="2" t="str">
        <f t="shared" si="21"/>
        <v>Error?</v>
      </c>
    </row>
    <row r="1422" spans="1:4" x14ac:dyDescent="0.2">
      <c r="A1422" s="5">
        <v>1361</v>
      </c>
      <c r="B1422" s="138">
        <f>'Expenditures 15-22'!D245</f>
        <v>6987</v>
      </c>
      <c r="D1422" s="2" t="str">
        <f t="shared" si="21"/>
        <v>Error?</v>
      </c>
    </row>
    <row r="1423" spans="1:4" x14ac:dyDescent="0.2">
      <c r="A1423" s="5">
        <v>1362</v>
      </c>
      <c r="B1423" s="138">
        <f>'Expenditures 15-22'!D246</f>
        <v>21525</v>
      </c>
      <c r="D1423" s="2" t="str">
        <f t="shared" si="21"/>
        <v>Error?</v>
      </c>
    </row>
    <row r="1424" spans="1:4" x14ac:dyDescent="0.2">
      <c r="A1424" s="5">
        <v>1363</v>
      </c>
      <c r="B1424" s="138">
        <f>'Expenditures 15-22'!D257</f>
        <v>41077</v>
      </c>
      <c r="C1424" s="2" t="s">
        <v>594</v>
      </c>
      <c r="D1424" s="2" t="str">
        <f t="shared" si="21"/>
        <v>Error?</v>
      </c>
    </row>
    <row r="1425" spans="1:4" x14ac:dyDescent="0.2">
      <c r="A1425" s="5">
        <v>1364</v>
      </c>
      <c r="B1425" s="138">
        <f>'Expenditures 15-22'!D259</f>
        <v>62717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62717</v>
      </c>
      <c r="C1427" s="2" t="s">
        <v>594</v>
      </c>
      <c r="D1427" s="2" t="str">
        <f t="shared" si="21"/>
        <v>Error?</v>
      </c>
    </row>
    <row r="1428" spans="1:4" x14ac:dyDescent="0.2">
      <c r="A1428" s="5">
        <v>1367</v>
      </c>
      <c r="B1428" s="138">
        <f>'Expenditures 15-22'!D263</f>
        <v>913</v>
      </c>
      <c r="D1428" s="2" t="str">
        <f t="shared" si="21"/>
        <v>Error?</v>
      </c>
    </row>
    <row r="1429" spans="1:4" x14ac:dyDescent="0.2">
      <c r="A1429" s="5">
        <v>1368</v>
      </c>
      <c r="B1429" s="138">
        <f>'Expenditures 15-22'!D264</f>
        <v>17808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158008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13644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190373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359252</v>
      </c>
      <c r="C1446" s="2" t="s">
        <v>594</v>
      </c>
      <c r="D1446" s="2" t="str">
        <f t="shared" si="21"/>
        <v>Error?</v>
      </c>
    </row>
    <row r="1447" spans="1:4" x14ac:dyDescent="0.2">
      <c r="A1447" s="5">
        <v>1386</v>
      </c>
      <c r="B1447" s="138">
        <f>'Expenditures 15-22'!D280</f>
        <v>60</v>
      </c>
      <c r="D1447" s="2" t="str">
        <f t="shared" si="21"/>
        <v>Error?</v>
      </c>
    </row>
    <row r="1448" spans="1:4" x14ac:dyDescent="0.2">
      <c r="A1448" s="5">
        <v>1387</v>
      </c>
      <c r="B1448" s="138">
        <f>'Expenditures 15-22'!D295</f>
        <v>727419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2914</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8886</v>
      </c>
      <c r="C1472" s="2" t="s">
        <v>594</v>
      </c>
      <c r="D1472" s="2" t="str">
        <f t="shared" si="22"/>
        <v>Error?</v>
      </c>
    </row>
    <row r="1473" spans="1:4" x14ac:dyDescent="0.2">
      <c r="A1473" s="5">
        <v>1412</v>
      </c>
      <c r="B1473" s="138">
        <f>'Expenditures 15-22'!K224</f>
        <v>1470</v>
      </c>
      <c r="C1473" s="2" t="s">
        <v>594</v>
      </c>
      <c r="D1473" s="2" t="str">
        <f t="shared" si="22"/>
        <v>Error?</v>
      </c>
    </row>
    <row r="1474" spans="1:4" x14ac:dyDescent="0.2">
      <c r="A1474" s="5">
        <v>1413</v>
      </c>
      <c r="B1474" s="138">
        <f>'Expenditures 15-22'!K229</f>
        <v>368107</v>
      </c>
      <c r="C1474" s="2" t="s">
        <v>594</v>
      </c>
      <c r="D1474" s="2" t="str">
        <f t="shared" si="22"/>
        <v>Error?</v>
      </c>
    </row>
    <row r="1475" spans="1:4" x14ac:dyDescent="0.2">
      <c r="A1475" s="5">
        <v>1414</v>
      </c>
      <c r="B1475" s="138">
        <f>'Expenditures 15-22'!K232</f>
        <v>5378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32765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3990</v>
      </c>
      <c r="C1479" s="2" t="s">
        <v>594</v>
      </c>
      <c r="D1479" s="2" t="str">
        <f t="shared" si="22"/>
        <v>Error?</v>
      </c>
    </row>
    <row r="1480" spans="1:4" x14ac:dyDescent="0.2">
      <c r="A1480" s="5">
        <v>1419</v>
      </c>
      <c r="B1480" s="138">
        <f>'Expenditures 15-22'!K237</f>
        <v>8541</v>
      </c>
      <c r="C1480" s="2" t="s">
        <v>594</v>
      </c>
      <c r="D1480" s="2" t="str">
        <f t="shared" si="22"/>
        <v>Error?</v>
      </c>
    </row>
    <row r="1481" spans="1:4" x14ac:dyDescent="0.2">
      <c r="A1481" s="5">
        <v>1420</v>
      </c>
      <c r="B1481" s="138">
        <f>'Expenditures 15-22'!K238</f>
        <v>50674</v>
      </c>
      <c r="C1481" s="2" t="s">
        <v>594</v>
      </c>
      <c r="D1481" s="2" t="str">
        <f t="shared" si="22"/>
        <v>Error?</v>
      </c>
    </row>
    <row r="1482" spans="1:4" x14ac:dyDescent="0.2">
      <c r="A1482" s="5">
        <v>1421</v>
      </c>
      <c r="B1482" s="138">
        <f>'Expenditures 15-22'!K240</f>
        <v>218</v>
      </c>
      <c r="C1482" s="2" t="s">
        <v>594</v>
      </c>
      <c r="D1482" s="2" t="str">
        <f t="shared" si="22"/>
        <v>Error?</v>
      </c>
    </row>
    <row r="1483" spans="1:4" x14ac:dyDescent="0.2">
      <c r="A1483" s="5">
        <v>1422</v>
      </c>
      <c r="B1483" s="138">
        <f>'Expenditures 15-22'!K241</f>
        <v>14193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14411</v>
      </c>
      <c r="C1485" s="2" t="s">
        <v>594</v>
      </c>
      <c r="D1485" s="2" t="str">
        <f t="shared" si="22"/>
        <v>Error?</v>
      </c>
    </row>
    <row r="1486" spans="1:4" x14ac:dyDescent="0.2">
      <c r="A1486" s="5">
        <v>1425</v>
      </c>
      <c r="B1486" s="138">
        <f>'Expenditures 15-22'!K245</f>
        <v>6987</v>
      </c>
      <c r="C1486" s="2" t="s">
        <v>594</v>
      </c>
      <c r="D1486" s="2" t="str">
        <f t="shared" si="22"/>
        <v>Error?</v>
      </c>
    </row>
    <row r="1487" spans="1:4" x14ac:dyDescent="0.2">
      <c r="A1487" s="5">
        <v>1426</v>
      </c>
      <c r="B1487" s="138">
        <f>'Expenditures 15-22'!K246</f>
        <v>21525</v>
      </c>
      <c r="C1487" s="2" t="s">
        <v>594</v>
      </c>
      <c r="D1487" s="2" t="str">
        <f t="shared" si="22"/>
        <v>Error?</v>
      </c>
    </row>
    <row r="1488" spans="1:4" x14ac:dyDescent="0.2">
      <c r="A1488" s="5">
        <v>1427</v>
      </c>
      <c r="B1488" s="138">
        <f>'Expenditures 15-22'!K257</f>
        <v>41077</v>
      </c>
      <c r="C1488" s="2" t="s">
        <v>594</v>
      </c>
      <c r="D1488" s="2" t="str">
        <f t="shared" si="22"/>
        <v>Error?</v>
      </c>
    </row>
    <row r="1489" spans="1:4" x14ac:dyDescent="0.2">
      <c r="A1489" s="5">
        <v>1428</v>
      </c>
      <c r="B1489" s="138">
        <f>'Expenditures 15-22'!K259</f>
        <v>62717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62717</v>
      </c>
      <c r="C1491" s="2" t="s">
        <v>594</v>
      </c>
      <c r="D1491" s="2" t="str">
        <f t="shared" si="22"/>
        <v>Error?</v>
      </c>
    </row>
    <row r="1492" spans="1:4" x14ac:dyDescent="0.2">
      <c r="A1492" s="5">
        <v>1431</v>
      </c>
      <c r="B1492" s="138">
        <f>'Expenditures 15-22'!K263</f>
        <v>913</v>
      </c>
      <c r="C1492" s="2" t="s">
        <v>594</v>
      </c>
      <c r="D1492" s="2" t="str">
        <f t="shared" si="22"/>
        <v>Error?</v>
      </c>
    </row>
    <row r="1493" spans="1:4" x14ac:dyDescent="0.2">
      <c r="A1493" s="5">
        <v>1432</v>
      </c>
      <c r="B1493" s="138">
        <f>'Expenditures 15-22'!K264</f>
        <v>17808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158008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13644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190373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359252</v>
      </c>
      <c r="C1510" s="2" t="s">
        <v>594</v>
      </c>
      <c r="D1510" s="2" t="str">
        <f t="shared" si="22"/>
        <v>Error?</v>
      </c>
    </row>
    <row r="1511" spans="1:4" x14ac:dyDescent="0.2">
      <c r="A1511" s="5">
        <v>1450</v>
      </c>
      <c r="B1511" s="138">
        <f>'Expenditures 15-22'!K280</f>
        <v>60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727419</v>
      </c>
      <c r="C1517" s="2" t="s">
        <v>594</v>
      </c>
      <c r="D1517" s="2" t="str">
        <f t="shared" si="22"/>
        <v>Error?</v>
      </c>
    </row>
    <row r="1518" spans="1:4" x14ac:dyDescent="0.2">
      <c r="A1518" s="5">
        <v>1457</v>
      </c>
      <c r="B1518" s="138">
        <f>'Expenditures 15-22'!K296</f>
        <v>301971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54050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54050</v>
      </c>
      <c r="C1547" s="2" t="s">
        <v>594</v>
      </c>
      <c r="D1547" s="2" t="str">
        <f t="shared" si="23"/>
        <v>Error?</v>
      </c>
    </row>
    <row r="1548" spans="1:4" x14ac:dyDescent="0.2">
      <c r="A1548" s="5">
        <v>1487</v>
      </c>
      <c r="B1548" s="138">
        <f>'Expenditures 15-22'!G312</f>
        <v>54050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54050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54050</v>
      </c>
      <c r="C1559" s="2" t="s">
        <v>594</v>
      </c>
      <c r="D1559" s="2" t="str">
        <f t="shared" si="23"/>
        <v>Error?</v>
      </c>
    </row>
    <row r="1560" spans="1:4" x14ac:dyDescent="0.2">
      <c r="A1560" s="5">
        <v>1499</v>
      </c>
      <c r="B1560" s="138">
        <f>'Expenditures 15-22'!K312</f>
        <v>54050</v>
      </c>
      <c r="C1560" s="2" t="s">
        <v>594</v>
      </c>
      <c r="D1560" s="2" t="str">
        <f t="shared" si="23"/>
        <v>Error?</v>
      </c>
    </row>
    <row r="1561" spans="1:4" x14ac:dyDescent="0.2">
      <c r="A1561" s="5">
        <v>1500</v>
      </c>
      <c r="B1561" s="138">
        <f>'Expenditures 15-22'!K313</f>
        <v>-36116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23144753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21871290</v>
      </c>
      <c r="C1630" s="2" t="s">
        <v>594</v>
      </c>
      <c r="D1630" s="2" t="str">
        <f t="shared" si="24"/>
        <v>Error?</v>
      </c>
    </row>
    <row r="1631" spans="1:4" x14ac:dyDescent="0.2">
      <c r="A1631" s="5">
        <v>1570</v>
      </c>
      <c r="B1631" s="138">
        <f>'Acct Summary 7-8'!D79</f>
        <v>3312930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3349129</v>
      </c>
      <c r="C1644" s="2" t="s">
        <v>594</v>
      </c>
      <c r="D1644" s="2" t="str">
        <f t="shared" si="24"/>
        <v>Error?</v>
      </c>
    </row>
    <row r="1645" spans="1:4" x14ac:dyDescent="0.2">
      <c r="A1645" s="5">
        <v>1584</v>
      </c>
      <c r="B1645" s="138">
        <f>'Acct Summary 7-8'!E79</f>
        <v>4266330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3154755</v>
      </c>
      <c r="C1658" s="2" t="s">
        <v>594</v>
      </c>
      <c r="D1658" s="2" t="str">
        <f t="shared" si="24"/>
        <v>Error?</v>
      </c>
    </row>
    <row r="1659" spans="1:4" x14ac:dyDescent="0.2">
      <c r="A1659" s="5">
        <v>1598</v>
      </c>
      <c r="B1659" s="138">
        <f>'Acct Summary 7-8'!F79</f>
        <v>-3705117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-1073047</v>
      </c>
      <c r="C1672" s="2" t="s">
        <v>594</v>
      </c>
      <c r="D1672" s="2" t="str">
        <f t="shared" si="25"/>
        <v>Error?</v>
      </c>
    </row>
    <row r="1673" spans="1:4" x14ac:dyDescent="0.2">
      <c r="A1673" s="5">
        <v>1612</v>
      </c>
      <c r="B1673" s="138">
        <f>'Acct Summary 7-8'!G79</f>
        <v>1056092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1358063</v>
      </c>
      <c r="C1686" s="2" t="s">
        <v>594</v>
      </c>
      <c r="D1686" s="2" t="str">
        <f t="shared" si="25"/>
        <v>Error?</v>
      </c>
    </row>
    <row r="1687" spans="1:4" x14ac:dyDescent="0.2">
      <c r="A1687" s="5">
        <v>1626</v>
      </c>
      <c r="B1687" s="138">
        <f>'Acct Summary 7-8'!H79</f>
        <v>1996934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1960818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15862092</v>
      </c>
      <c r="C1744" s="2" t="s">
        <v>594</v>
      </c>
      <c r="D1744" s="2" t="str">
        <f t="shared" si="26"/>
        <v>Error?</v>
      </c>
    </row>
    <row r="1745" spans="1:5" x14ac:dyDescent="0.2">
      <c r="A1745" s="5">
        <v>1684</v>
      </c>
      <c r="B1745" s="138">
        <f>'Tax Sched 23'!B5</f>
        <v>2419613</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2814736</v>
      </c>
      <c r="C1747" s="2" t="s">
        <v>594</v>
      </c>
      <c r="D1747" s="2" t="str">
        <f t="shared" si="26"/>
        <v>Error?</v>
      </c>
    </row>
    <row r="1748" spans="1:5" x14ac:dyDescent="0.2">
      <c r="A1748" s="5">
        <v>1687</v>
      </c>
      <c r="B1748" s="138">
        <f>'Tax Sched 23'!B8</f>
        <v>442805</v>
      </c>
      <c r="C1748" s="2" t="s">
        <v>594</v>
      </c>
      <c r="D1748" s="2" t="str">
        <f t="shared" si="26"/>
        <v>Error?</v>
      </c>
    </row>
    <row r="1749" spans="1:5" x14ac:dyDescent="0.2">
      <c r="A1749" s="5">
        <v>1688</v>
      </c>
      <c r="B1749" s="138">
        <f>'Tax Sched 23'!B10</f>
        <v>219965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125508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1759718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24194995</v>
      </c>
      <c r="C1759" s="2" t="s">
        <v>594</v>
      </c>
      <c r="D1759" s="2" t="str">
        <f t="shared" si="26"/>
        <v>Error?</v>
      </c>
    </row>
    <row r="1760" spans="1:5" x14ac:dyDescent="0.2">
      <c r="A1760" s="5">
        <v>1699</v>
      </c>
      <c r="B1760" s="138">
        <f>'Tax Sched 23'!D4</f>
        <v>6986034</v>
      </c>
      <c r="C1760" s="2" t="s">
        <v>594</v>
      </c>
      <c r="D1760" s="2" t="str">
        <f t="shared" si="26"/>
        <v>Error?</v>
      </c>
    </row>
    <row r="1761" spans="1:5" x14ac:dyDescent="0.2">
      <c r="A1761" s="5">
        <v>1700</v>
      </c>
      <c r="B1761" s="138">
        <f>'Tax Sched 23'!D5</f>
        <v>1097806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1786129</v>
      </c>
      <c r="C1763" s="2" t="s">
        <v>594</v>
      </c>
      <c r="D1763" s="2" t="str">
        <f t="shared" si="26"/>
        <v>Error?</v>
      </c>
    </row>
    <row r="1764" spans="1:5" x14ac:dyDescent="0.2">
      <c r="A1764" s="5">
        <v>1703</v>
      </c>
      <c r="B1764" s="138">
        <f>'Tax Sched 23'!D8</f>
        <v>203551</v>
      </c>
      <c r="C1764" s="2" t="s">
        <v>594</v>
      </c>
      <c r="D1764" s="2" t="str">
        <f t="shared" si="26"/>
        <v>Error?</v>
      </c>
    </row>
    <row r="1765" spans="1:5" x14ac:dyDescent="0.2">
      <c r="A1765" s="5">
        <v>1704</v>
      </c>
      <c r="B1765" s="138">
        <f>'Tax Sched 23'!D10</f>
        <v>99801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798404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11229829</v>
      </c>
      <c r="C1775" s="2" t="s">
        <v>594</v>
      </c>
      <c r="D1775" s="2" t="str">
        <f t="shared" si="26"/>
        <v>Error?</v>
      </c>
    </row>
    <row r="1776" spans="1:5" x14ac:dyDescent="0.2">
      <c r="A1776" s="5">
        <v>1715</v>
      </c>
      <c r="B1776" s="138">
        <f>'Tax Sched 23'!C4</f>
        <v>8876058</v>
      </c>
      <c r="D1776" s="2" t="str">
        <f t="shared" si="26"/>
        <v>Error?</v>
      </c>
    </row>
    <row r="1777" spans="1:4" x14ac:dyDescent="0.2">
      <c r="A1777" s="5">
        <v>1716</v>
      </c>
      <c r="B1777" s="138">
        <f>'Tax Sched 23'!C5</f>
        <v>1321807</v>
      </c>
      <c r="D1777" s="2" t="str">
        <f t="shared" si="26"/>
        <v>Error?</v>
      </c>
    </row>
    <row r="1778" spans="1:4" x14ac:dyDescent="0.2">
      <c r="A1778" s="5">
        <v>1717</v>
      </c>
      <c r="B1778" s="138">
        <f>'Tax Sched 23'!C6</f>
        <v>0</v>
      </c>
      <c r="D1778" s="2" t="str">
        <f t="shared" si="26"/>
        <v>Error?</v>
      </c>
    </row>
    <row r="1779" spans="1:4" x14ac:dyDescent="0.2">
      <c r="A1779" s="5">
        <v>1718</v>
      </c>
      <c r="B1779" s="138">
        <f>'Tax Sched 23'!C7</f>
        <v>1028607</v>
      </c>
      <c r="D1779" s="2" t="str">
        <f t="shared" si="26"/>
        <v>Error?</v>
      </c>
    </row>
    <row r="1780" spans="1:4" x14ac:dyDescent="0.2">
      <c r="A1780" s="5">
        <v>1719</v>
      </c>
      <c r="B1780" s="138">
        <f>'Tax Sched 23'!C8</f>
        <v>239254</v>
      </c>
      <c r="D1780" s="2" t="str">
        <f t="shared" si="26"/>
        <v>Error?</v>
      </c>
    </row>
    <row r="1781" spans="1:4" x14ac:dyDescent="0.2">
      <c r="A1781" s="5">
        <v>1720</v>
      </c>
      <c r="B1781" s="138">
        <f>'Tax Sched 23'!C10</f>
        <v>120164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125508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961314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12965166</v>
      </c>
      <c r="C1791" s="2" t="s">
        <v>594</v>
      </c>
      <c r="D1791" s="2" t="str">
        <f t="shared" ref="D1791:D1854" si="27">IF(ISBLANK(B1791),"OK",IF(A1791-B1791=0,"OK","Error?"))</f>
        <v>Error?</v>
      </c>
    </row>
    <row r="1792" spans="1:4" x14ac:dyDescent="0.2">
      <c r="A1792" s="5">
        <v>1731</v>
      </c>
      <c r="B1792" s="138">
        <f>'Tax Sched 23'!F4</f>
        <v>8282779</v>
      </c>
      <c r="C1792" s="2" t="s">
        <v>594</v>
      </c>
      <c r="D1792" s="2" t="str">
        <f t="shared" si="27"/>
        <v>Error?</v>
      </c>
    </row>
    <row r="1793" spans="1:4" x14ac:dyDescent="0.2">
      <c r="A1793" s="5">
        <v>1732</v>
      </c>
      <c r="B1793" s="138">
        <f>'Tax Sched 23'!F5</f>
        <v>1233457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959855</v>
      </c>
      <c r="C1795" s="2" t="s">
        <v>594</v>
      </c>
      <c r="D1795" s="2" t="str">
        <f t="shared" si="27"/>
        <v>Error?</v>
      </c>
    </row>
    <row r="1796" spans="1:4" x14ac:dyDescent="0.2">
      <c r="A1796" s="5">
        <v>1735</v>
      </c>
      <c r="B1796" s="138">
        <f>'Tax Sched 23'!F8</f>
        <v>223262</v>
      </c>
      <c r="C1796" s="2" t="s">
        <v>594</v>
      </c>
      <c r="D1796" s="2" t="str">
        <f t="shared" si="27"/>
        <v>Error?</v>
      </c>
    </row>
    <row r="1797" spans="1:4" x14ac:dyDescent="0.2">
      <c r="A1797" s="5">
        <v>1736</v>
      </c>
      <c r="B1797" s="138">
        <f>'Tax Sched 23'!F10</f>
        <v>112132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117119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897059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12098569</v>
      </c>
      <c r="C1807" s="2" t="s">
        <v>594</v>
      </c>
      <c r="D1807" s="2" t="str">
        <f t="shared" si="27"/>
        <v>Error?</v>
      </c>
    </row>
    <row r="1808" spans="1:4" x14ac:dyDescent="0.2">
      <c r="A1808" s="5">
        <v>1747</v>
      </c>
      <c r="B1808" s="138">
        <f>'Tax Sched 23'!E4</f>
        <v>17158837</v>
      </c>
      <c r="D1808" s="2" t="str">
        <f t="shared" si="27"/>
        <v>Error?</v>
      </c>
    </row>
    <row r="1809" spans="1:4" x14ac:dyDescent="0.2">
      <c r="A1809" s="5">
        <v>1748</v>
      </c>
      <c r="B1809" s="138">
        <f>'Tax Sched 23'!E5</f>
        <v>2555264</v>
      </c>
      <c r="D1809" s="2" t="str">
        <f t="shared" si="27"/>
        <v>Error?</v>
      </c>
    </row>
    <row r="1810" spans="1:4" x14ac:dyDescent="0.2">
      <c r="A1810" s="5">
        <v>1749</v>
      </c>
      <c r="B1810" s="138">
        <f>'Tax Sched 23'!E6</f>
        <v>0</v>
      </c>
      <c r="D1810" s="2" t="str">
        <f t="shared" si="27"/>
        <v>Error?</v>
      </c>
    </row>
    <row r="1811" spans="1:4" x14ac:dyDescent="0.2">
      <c r="A1811" s="5">
        <v>1750</v>
      </c>
      <c r="B1811" s="138">
        <f>'Tax Sched 23'!E7</f>
        <v>1988462</v>
      </c>
      <c r="D1811" s="2" t="str">
        <f t="shared" si="27"/>
        <v>Error?</v>
      </c>
    </row>
    <row r="1812" spans="1:4" x14ac:dyDescent="0.2">
      <c r="A1812" s="5">
        <v>1751</v>
      </c>
      <c r="B1812" s="138">
        <f>'Tax Sched 23'!E8</f>
        <v>462516</v>
      </c>
      <c r="D1812" s="2" t="str">
        <f t="shared" si="27"/>
        <v>Error?</v>
      </c>
    </row>
    <row r="1813" spans="1:4" x14ac:dyDescent="0.2">
      <c r="A1813" s="5">
        <v>1752</v>
      </c>
      <c r="B1813" s="138">
        <f>'Tax Sched 23'!E10</f>
        <v>232296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242627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1858373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25063735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5335000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1757215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1757215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1757215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534849</v>
      </c>
      <c r="D2008" s="2" t="str">
        <f t="shared" si="30"/>
        <v>Error?</v>
      </c>
    </row>
    <row r="2009" spans="1:4" x14ac:dyDescent="0.2">
      <c r="A2009" s="5">
        <v>1948</v>
      </c>
      <c r="B2009" s="138">
        <f>'Cap Outlay Deprec 26'!C8</f>
        <v>29117876</v>
      </c>
      <c r="D2009" s="2" t="str">
        <f t="shared" si="30"/>
        <v>Error?</v>
      </c>
    </row>
    <row r="2010" spans="1:4" x14ac:dyDescent="0.2">
      <c r="A2010" s="5">
        <v>1949</v>
      </c>
      <c r="B2010" s="138">
        <f>'Cap Outlay Deprec 26'!C10</f>
        <v>812312</v>
      </c>
      <c r="D2010" s="2" t="str">
        <f t="shared" si="30"/>
        <v>Error?</v>
      </c>
    </row>
    <row r="2011" spans="1:4" x14ac:dyDescent="0.2">
      <c r="A2011" s="5">
        <v>1950</v>
      </c>
      <c r="B2011" s="138">
        <f>'Cap Outlay Deprec 26'!C12</f>
        <v>7590596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38055633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492157</v>
      </c>
      <c r="D2015" s="2" t="str">
        <f t="shared" si="30"/>
        <v>Error?</v>
      </c>
    </row>
    <row r="2016" spans="1:4" x14ac:dyDescent="0.2">
      <c r="A2016" s="5">
        <v>1955</v>
      </c>
      <c r="B2016" s="138">
        <f>'Cap Outlay Deprec 26'!D10</f>
        <v>55505</v>
      </c>
      <c r="D2016" s="2" t="str">
        <f t="shared" si="30"/>
        <v>Error?</v>
      </c>
    </row>
    <row r="2017" spans="1:4" x14ac:dyDescent="0.2">
      <c r="A2017" s="5">
        <v>1956</v>
      </c>
      <c r="B2017" s="138">
        <f>'Cap Outlay Deprec 26'!D12</f>
        <v>201665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749327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534849</v>
      </c>
      <c r="C2026" s="2" t="s">
        <v>594</v>
      </c>
      <c r="D2026" s="2" t="str">
        <f t="shared" si="30"/>
        <v>Error?</v>
      </c>
    </row>
    <row r="2027" spans="1:4" x14ac:dyDescent="0.2">
      <c r="A2027" s="5">
        <v>1966</v>
      </c>
      <c r="B2027" s="138">
        <f>'Cap Outlay Deprec 26'!F8</f>
        <v>29610033</v>
      </c>
      <c r="C2027" s="2" t="s">
        <v>594</v>
      </c>
      <c r="D2027" s="2" t="str">
        <f t="shared" si="30"/>
        <v>Error?</v>
      </c>
    </row>
    <row r="2028" spans="1:4" x14ac:dyDescent="0.2">
      <c r="A2028" s="5">
        <v>1967</v>
      </c>
      <c r="B2028" s="138">
        <f>'Cap Outlay Deprec 26'!F10</f>
        <v>867817</v>
      </c>
      <c r="C2028" s="2" t="s">
        <v>594</v>
      </c>
      <c r="D2028" s="2" t="str">
        <f t="shared" si="30"/>
        <v>Error?</v>
      </c>
    </row>
    <row r="2029" spans="1:4" x14ac:dyDescent="0.2">
      <c r="A2029" s="5">
        <v>1968</v>
      </c>
      <c r="B2029" s="138">
        <f>'Cap Outlay Deprec 26'!F12</f>
        <v>7792261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38804960</v>
      </c>
      <c r="C2031" s="2" t="s">
        <v>594</v>
      </c>
      <c r="D2031" s="2" t="str">
        <f t="shared" si="30"/>
        <v>Error?</v>
      </c>
    </row>
    <row r="2032" spans="1:4" x14ac:dyDescent="0.2">
      <c r="A2032" s="10">
        <v>1971</v>
      </c>
      <c r="D2032" s="2" t="str">
        <f t="shared" si="30"/>
        <v>OK</v>
      </c>
    </row>
    <row r="2033" spans="1:4" x14ac:dyDescent="0.2">
      <c r="A2033" s="5">
        <v>1972</v>
      </c>
      <c r="B2033" s="138">
        <f>'Cap Outlay Deprec 26'!H8</f>
        <v>7556622</v>
      </c>
      <c r="D2033" s="2" t="str">
        <f t="shared" si="30"/>
        <v>Error?</v>
      </c>
    </row>
    <row r="2034" spans="1:4" x14ac:dyDescent="0.2">
      <c r="A2034" s="5">
        <v>1973</v>
      </c>
      <c r="B2034" s="138">
        <f>'Cap Outlay Deprec 26'!H10</f>
        <v>296664</v>
      </c>
      <c r="D2034" s="2" t="str">
        <f t="shared" si="30"/>
        <v>Error?</v>
      </c>
    </row>
    <row r="2035" spans="1:4" x14ac:dyDescent="0.2">
      <c r="A2035" s="5">
        <v>1974</v>
      </c>
      <c r="B2035" s="138">
        <f>'Cap Outlay Deprec 26'!H12</f>
        <v>6601155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14454441</v>
      </c>
      <c r="C2037" s="2" t="s">
        <v>594</v>
      </c>
      <c r="D2037" s="2" t="str">
        <f t="shared" si="30"/>
        <v>Error?</v>
      </c>
    </row>
    <row r="2038" spans="1:4" x14ac:dyDescent="0.2">
      <c r="A2038" s="10">
        <v>1977</v>
      </c>
      <c r="D2038" s="2" t="str">
        <f t="shared" si="30"/>
        <v>OK</v>
      </c>
    </row>
    <row r="2039" spans="1:4" x14ac:dyDescent="0.2">
      <c r="A2039" s="5">
        <v>1978</v>
      </c>
      <c r="B2039" s="138">
        <f>'Cap Outlay Deprec 26'!I8</f>
        <v>614991</v>
      </c>
      <c r="D2039" s="2" t="str">
        <f t="shared" si="30"/>
        <v>Error?</v>
      </c>
    </row>
    <row r="2040" spans="1:4" x14ac:dyDescent="0.2">
      <c r="A2040" s="5">
        <v>1979</v>
      </c>
      <c r="B2040" s="138">
        <f>'Cap Outlay Deprec 26'!I10</f>
        <v>53679</v>
      </c>
      <c r="D2040" s="2" t="str">
        <f t="shared" si="30"/>
        <v>Error?</v>
      </c>
    </row>
    <row r="2041" spans="1:4" x14ac:dyDescent="0.2">
      <c r="A2041" s="5">
        <v>1980</v>
      </c>
      <c r="B2041" s="138">
        <f>'Cap Outlay Deprec 26'!I12</f>
        <v>254131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922801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8171613</v>
      </c>
      <c r="C2051" s="2" t="s">
        <v>594</v>
      </c>
      <c r="D2051" s="2" t="str">
        <f t="shared" si="31"/>
        <v>Error?</v>
      </c>
    </row>
    <row r="2052" spans="1:4" x14ac:dyDescent="0.2">
      <c r="A2052" s="5">
        <v>1991</v>
      </c>
      <c r="B2052" s="138">
        <f>'Cap Outlay Deprec 26'!K10</f>
        <v>350343</v>
      </c>
      <c r="C2052" s="2" t="s">
        <v>594</v>
      </c>
      <c r="D2052" s="2" t="str">
        <f t="shared" si="31"/>
        <v>Error?</v>
      </c>
    </row>
    <row r="2053" spans="1:4" x14ac:dyDescent="0.2">
      <c r="A2053" s="5">
        <v>1992</v>
      </c>
      <c r="B2053" s="138">
        <f>'Cap Outlay Deprec 26'!K12</f>
        <v>6855286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15377242</v>
      </c>
      <c r="C2055" s="2" t="s">
        <v>594</v>
      </c>
      <c r="D2055" s="2" t="str">
        <f t="shared" si="31"/>
        <v>Error?</v>
      </c>
    </row>
    <row r="2056" spans="1:4" x14ac:dyDescent="0.2">
      <c r="A2056" s="5">
        <v>1995</v>
      </c>
      <c r="B2056" s="138">
        <f>'Cap Outlay Deprec 26'!L5</f>
        <v>534849</v>
      </c>
      <c r="C2056" s="2" t="s">
        <v>594</v>
      </c>
      <c r="D2056" s="2" t="str">
        <f t="shared" si="31"/>
        <v>Error?</v>
      </c>
    </row>
    <row r="2057" spans="1:4" x14ac:dyDescent="0.2">
      <c r="A2057" s="5">
        <v>1996</v>
      </c>
      <c r="B2057" s="138">
        <f>'Cap Outlay Deprec 26'!L8</f>
        <v>21438420</v>
      </c>
      <c r="C2057" s="2" t="s">
        <v>594</v>
      </c>
      <c r="D2057" s="2" t="str">
        <f t="shared" si="31"/>
        <v>Error?</v>
      </c>
    </row>
    <row r="2058" spans="1:4" x14ac:dyDescent="0.2">
      <c r="A2058" s="5">
        <v>1997</v>
      </c>
      <c r="B2058" s="138">
        <f>'Cap Outlay Deprec 26'!L10</f>
        <v>517474</v>
      </c>
      <c r="C2058" s="2" t="s">
        <v>594</v>
      </c>
      <c r="D2058" s="2" t="str">
        <f t="shared" si="31"/>
        <v>Error?</v>
      </c>
    </row>
    <row r="2059" spans="1:4" x14ac:dyDescent="0.2">
      <c r="A2059" s="5">
        <v>1998</v>
      </c>
      <c r="B2059" s="138">
        <f>'Cap Outlay Deprec 26'!L12</f>
        <v>936975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23427718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772418</v>
      </c>
      <c r="C2088" s="2" t="s">
        <v>594</v>
      </c>
      <c r="D2088" s="2" t="str">
        <f t="shared" si="31"/>
        <v>Error?</v>
      </c>
    </row>
    <row r="2089" spans="1:4" x14ac:dyDescent="0.2">
      <c r="A2089" s="5">
        <v>2028</v>
      </c>
      <c r="B2089" s="138">
        <f>'Expenditures 15-22'!K92</f>
        <v>726711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18573038</v>
      </c>
      <c r="C2551" s="2" t="s">
        <v>594</v>
      </c>
      <c r="D2551" s="2" t="str">
        <f t="shared" si="38"/>
        <v>Error?</v>
      </c>
    </row>
    <row r="2552" spans="1:4" x14ac:dyDescent="0.2">
      <c r="A2552" s="10">
        <v>2491</v>
      </c>
      <c r="D2552" s="2" t="str">
        <f t="shared" si="38"/>
        <v>OK</v>
      </c>
    </row>
    <row r="2553" spans="1:4" x14ac:dyDescent="0.2">
      <c r="A2553" s="5">
        <v>2492</v>
      </c>
      <c r="B2553" s="138">
        <f>'Acct Summary 7-8'!C6</f>
        <v>1824253</v>
      </c>
      <c r="C2553" s="2" t="s">
        <v>594</v>
      </c>
      <c r="D2553" s="2" t="str">
        <f t="shared" si="38"/>
        <v>Error?</v>
      </c>
    </row>
    <row r="2554" spans="1:4" x14ac:dyDescent="0.2">
      <c r="A2554" s="5">
        <v>2493</v>
      </c>
      <c r="B2554" s="138">
        <f>'Acct Summary 7-8'!C7</f>
        <v>483808</v>
      </c>
      <c r="C2554" s="2" t="s">
        <v>594</v>
      </c>
      <c r="D2554" s="2" t="str">
        <f t="shared" si="38"/>
        <v>Error?</v>
      </c>
    </row>
    <row r="2555" spans="1:4" x14ac:dyDescent="0.2">
      <c r="A2555" s="5">
        <v>2494</v>
      </c>
      <c r="B2555" s="138">
        <f>'Acct Summary 7-8'!C8</f>
        <v>20881099</v>
      </c>
      <c r="C2555" s="2" t="s">
        <v>594</v>
      </c>
      <c r="D2555" s="2" t="str">
        <f t="shared" si="38"/>
        <v>Error?</v>
      </c>
    </row>
    <row r="2556" spans="1:4" x14ac:dyDescent="0.2">
      <c r="A2556" s="5">
        <v>2495</v>
      </c>
      <c r="B2556" s="138">
        <f>'Acct Summary 7-8'!C12</f>
        <v>14737805</v>
      </c>
      <c r="C2556" s="2" t="s">
        <v>594</v>
      </c>
      <c r="D2556" s="2" t="str">
        <f t="shared" si="38"/>
        <v>Error?</v>
      </c>
    </row>
    <row r="2557" spans="1:4" x14ac:dyDescent="0.2">
      <c r="A2557" s="5">
        <v>2496</v>
      </c>
      <c r="B2557" s="138">
        <f>'Acct Summary 7-8'!C13</f>
        <v>5890225</v>
      </c>
      <c r="C2557" s="2" t="s">
        <v>594</v>
      </c>
      <c r="D2557" s="2" t="str">
        <f t="shared" si="38"/>
        <v>Error?</v>
      </c>
    </row>
    <row r="2558" spans="1:4" x14ac:dyDescent="0.2">
      <c r="A2558" s="5">
        <v>2497</v>
      </c>
      <c r="B2558" s="138">
        <f>'Acct Summary 7-8'!C14</f>
        <v>27403</v>
      </c>
      <c r="C2558" s="2" t="s">
        <v>594</v>
      </c>
      <c r="D2558" s="2" t="str">
        <f t="shared" si="38"/>
        <v>Error?</v>
      </c>
    </row>
    <row r="2559" spans="1:4" x14ac:dyDescent="0.2">
      <c r="A2559" s="5">
        <v>2498</v>
      </c>
      <c r="B2559" s="138">
        <f>'Acct Summary 7-8'!C15</f>
        <v>1499129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22154562</v>
      </c>
      <c r="C2561" s="2" t="s">
        <v>594</v>
      </c>
      <c r="D2561" s="2" t="str">
        <f t="shared" si="39"/>
        <v>Error?</v>
      </c>
    </row>
    <row r="2562" spans="1:4" x14ac:dyDescent="0.2">
      <c r="A2562" s="5">
        <v>2501</v>
      </c>
      <c r="B2562" s="138">
        <f>'Acct Summary 7-8'!C20</f>
        <v>-1273463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2659944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2659944</v>
      </c>
      <c r="C2568" s="2" t="s">
        <v>594</v>
      </c>
      <c r="D2568" s="2" t="str">
        <f t="shared" si="39"/>
        <v>Error?</v>
      </c>
    </row>
    <row r="2569" spans="1:4" x14ac:dyDescent="0.2">
      <c r="A2569" s="5">
        <v>2508</v>
      </c>
      <c r="B2569" s="138">
        <f>'Acct Summary 7-8'!D13</f>
        <v>2623745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2623745</v>
      </c>
      <c r="C2573" s="2" t="s">
        <v>594</v>
      </c>
      <c r="D2573" s="2" t="str">
        <f t="shared" si="39"/>
        <v>Error?</v>
      </c>
    </row>
    <row r="2574" spans="1:4" x14ac:dyDescent="0.2">
      <c r="A2574" s="5">
        <v>2513</v>
      </c>
      <c r="B2574" s="138">
        <f>'Acct Summary 7-8'!D20</f>
        <v>36199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2919964</v>
      </c>
      <c r="C2591" s="2" t="s">
        <v>594</v>
      </c>
      <c r="D2591" s="2" t="str">
        <f t="shared" si="39"/>
        <v>Error?</v>
      </c>
    </row>
    <row r="2592" spans="1:4" x14ac:dyDescent="0.2">
      <c r="A2592" s="10">
        <v>2531</v>
      </c>
      <c r="D2592" s="2" t="str">
        <f t="shared" si="39"/>
        <v>OK</v>
      </c>
    </row>
    <row r="2593" spans="1:4" x14ac:dyDescent="0.2">
      <c r="A2593" s="5">
        <v>2532</v>
      </c>
      <c r="B2593" s="138">
        <f>'Acct Summary 7-8'!F6</f>
        <v>390555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3310519</v>
      </c>
      <c r="C2595" s="2" t="s">
        <v>594</v>
      </c>
      <c r="D2595" s="2" t="str">
        <f t="shared" si="39"/>
        <v>Error?</v>
      </c>
    </row>
    <row r="2596" spans="1:4" x14ac:dyDescent="0.2">
      <c r="A2596" s="5">
        <v>2535</v>
      </c>
      <c r="B2596" s="138">
        <f>'Acct Summary 7-8'!F13</f>
        <v>678449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678449</v>
      </c>
      <c r="C2600" s="2" t="s">
        <v>594</v>
      </c>
      <c r="D2600" s="2" t="str">
        <f t="shared" si="39"/>
        <v>Error?</v>
      </c>
    </row>
    <row r="2601" spans="1:4" x14ac:dyDescent="0.2">
      <c r="A2601" s="5">
        <v>2540</v>
      </c>
      <c r="B2601" s="138">
        <f>'Acct Summary 7-8'!F20</f>
        <v>2632070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1029390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1029390</v>
      </c>
      <c r="C2606" s="2" t="s">
        <v>594</v>
      </c>
      <c r="D2606" s="2" t="str">
        <f t="shared" si="39"/>
        <v>Error?</v>
      </c>
    </row>
    <row r="2607" spans="1:4" x14ac:dyDescent="0.2">
      <c r="A2607" s="5">
        <v>2546</v>
      </c>
      <c r="B2607" s="138">
        <f>'Acct Summary 7-8'!G12</f>
        <v>368107</v>
      </c>
      <c r="C2607" s="2" t="s">
        <v>594</v>
      </c>
      <c r="D2607" s="2" t="str">
        <f t="shared" si="39"/>
        <v>Error?</v>
      </c>
    </row>
    <row r="2608" spans="1:4" x14ac:dyDescent="0.2">
      <c r="A2608" s="5">
        <v>2547</v>
      </c>
      <c r="B2608" s="138">
        <f>'Acct Summary 7-8'!G13</f>
        <v>359252</v>
      </c>
      <c r="C2608" s="2" t="s">
        <v>594</v>
      </c>
      <c r="D2608" s="2" t="str">
        <f t="shared" si="39"/>
        <v>Error?</v>
      </c>
    </row>
    <row r="2609" spans="1:4" x14ac:dyDescent="0.2">
      <c r="A2609" s="5">
        <v>2548</v>
      </c>
      <c r="B2609" s="138">
        <f>'Acct Summary 7-8'!G14</f>
        <v>60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727419</v>
      </c>
      <c r="C2612" s="2" t="s">
        <v>594</v>
      </c>
      <c r="D2612" s="2" t="str">
        <f t="shared" si="39"/>
        <v>Error?</v>
      </c>
    </row>
    <row r="2613" spans="1:4" x14ac:dyDescent="0.2">
      <c r="A2613" s="5">
        <v>2552</v>
      </c>
      <c r="B2613" s="138">
        <f>'Acct Summary 7-8'!G20</f>
        <v>301971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35625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35625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1147200</v>
      </c>
      <c r="C2634" s="2" t="s">
        <v>594</v>
      </c>
      <c r="D2634" s="2" t="str">
        <f t="shared" si="40"/>
        <v>Error?</v>
      </c>
    </row>
    <row r="2635" spans="1:4" x14ac:dyDescent="0.2">
      <c r="A2635" s="5">
        <v>2574</v>
      </c>
      <c r="B2635" s="138">
        <f>'Acct Summary 7-8'!E17</f>
        <v>1147200</v>
      </c>
      <c r="C2635" s="2" t="s">
        <v>594</v>
      </c>
      <c r="D2635" s="2" t="str">
        <f t="shared" si="40"/>
        <v>Error?</v>
      </c>
    </row>
    <row r="2636" spans="1:4" x14ac:dyDescent="0.2">
      <c r="A2636" s="5">
        <v>2575</v>
      </c>
      <c r="B2636" s="138">
        <f>'Acct Summary 7-8'!E20</f>
        <v>-1111575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17934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17934</v>
      </c>
      <c r="C2658" s="2" t="s">
        <v>594</v>
      </c>
      <c r="D2658" s="2" t="str">
        <f t="shared" si="40"/>
        <v>Error?</v>
      </c>
    </row>
    <row r="2659" spans="1:4" x14ac:dyDescent="0.2">
      <c r="A2659" s="5">
        <v>2598</v>
      </c>
      <c r="B2659" s="138">
        <f>'Acct Summary 7-8'!H13</f>
        <v>54050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54050</v>
      </c>
      <c r="C2661" s="2" t="s">
        <v>594</v>
      </c>
      <c r="D2661" s="2" t="str">
        <f t="shared" si="40"/>
        <v>Error?</v>
      </c>
    </row>
    <row r="2662" spans="1:4" x14ac:dyDescent="0.2">
      <c r="A2662" s="5">
        <v>2601</v>
      </c>
      <c r="B2662" s="138">
        <f>'Acct Summary 7-8'!H20</f>
        <v>-36116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228450</v>
      </c>
      <c r="D2718" s="2" t="str">
        <f t="shared" si="41"/>
        <v>Error?</v>
      </c>
    </row>
    <row r="2719" spans="1:4" x14ac:dyDescent="0.2">
      <c r="A2719" s="5">
        <v>2658</v>
      </c>
      <c r="B2719" s="138">
        <f>'Expenditures 15-22'!D51</f>
        <v>32729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261179</v>
      </c>
      <c r="C2724" s="2" t="s">
        <v>594</v>
      </c>
      <c r="D2724" s="2" t="str">
        <f t="shared" si="41"/>
        <v>Error?</v>
      </c>
    </row>
    <row r="2725" spans="1:4" x14ac:dyDescent="0.2">
      <c r="A2725" s="5">
        <v>2664</v>
      </c>
      <c r="B2725" s="138">
        <f>'Expenditures 15-22'!D247</f>
        <v>12565</v>
      </c>
      <c r="D2725" s="2" t="str">
        <f t="shared" si="41"/>
        <v>Error?</v>
      </c>
    </row>
    <row r="2726" spans="1:4" x14ac:dyDescent="0.2">
      <c r="A2726" s="5">
        <v>2665</v>
      </c>
      <c r="B2726" s="138">
        <f>'Expenditures 15-22'!K247</f>
        <v>12565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772418</v>
      </c>
      <c r="C2789" s="2" t="s">
        <v>594</v>
      </c>
      <c r="D2789" s="2" t="str">
        <f t="shared" si="42"/>
        <v>Error?</v>
      </c>
    </row>
    <row r="2790" spans="1:4" x14ac:dyDescent="0.2">
      <c r="A2790" s="5">
        <v>2729</v>
      </c>
      <c r="B2790" s="138">
        <f>'Expenditures 15-22'!E102</f>
        <v>772418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108648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4385960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141552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112118</v>
      </c>
      <c r="D2908" s="2" t="str">
        <f t="shared" si="44"/>
        <v>Error?</v>
      </c>
    </row>
    <row r="2909" spans="1:4" x14ac:dyDescent="0.2">
      <c r="A2909" s="10">
        <v>2848</v>
      </c>
      <c r="D2909" s="2" t="str">
        <f t="shared" si="44"/>
        <v>OK</v>
      </c>
    </row>
    <row r="2910" spans="1:4" x14ac:dyDescent="0.2">
      <c r="A2910" s="5">
        <v>2849</v>
      </c>
      <c r="B2910" s="138">
        <f>'Assets-Liab 5-6'!I34</f>
        <v>112118</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4273842</v>
      </c>
      <c r="D2912" s="2" t="str">
        <f t="shared" si="44"/>
        <v>Error?</v>
      </c>
    </row>
    <row r="2913" spans="1:4" x14ac:dyDescent="0.2">
      <c r="A2913" s="5">
        <v>2852</v>
      </c>
      <c r="B2913" s="138">
        <f>'Assets-Liab 5-6'!I41</f>
        <v>4385960</v>
      </c>
      <c r="C2913" s="2" t="s">
        <v>594</v>
      </c>
      <c r="D2913" s="2" t="str">
        <f t="shared" si="44"/>
        <v>Error?</v>
      </c>
    </row>
    <row r="2914" spans="1:4" x14ac:dyDescent="0.2">
      <c r="A2914" s="5">
        <v>2853</v>
      </c>
      <c r="B2914" s="138">
        <f>'Assets-Liab 5-6'!L33</f>
        <v>141552</v>
      </c>
      <c r="D2914" s="2" t="str">
        <f t="shared" si="44"/>
        <v>Error?</v>
      </c>
    </row>
    <row r="2915" spans="1:4" x14ac:dyDescent="0.2">
      <c r="A2915" s="10">
        <v>2854</v>
      </c>
      <c r="D2915" s="2" t="str">
        <f t="shared" si="44"/>
        <v>OK</v>
      </c>
    </row>
    <row r="2916" spans="1:4" x14ac:dyDescent="0.2">
      <c r="A2916" s="5">
        <v>2855</v>
      </c>
      <c r="B2916" s="138">
        <f>'Assets-Liab 5-6'!L34</f>
        <v>141552</v>
      </c>
      <c r="C2916" s="2" t="s">
        <v>594</v>
      </c>
      <c r="D2916" s="2" t="str">
        <f t="shared" si="44"/>
        <v>Error?</v>
      </c>
    </row>
    <row r="2917" spans="1:4" x14ac:dyDescent="0.2">
      <c r="A2917" s="5">
        <v>2856</v>
      </c>
      <c r="B2917" s="138">
        <f>'Assets-Liab 5-6'!L41</f>
        <v>141552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772418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772418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86365</v>
      </c>
      <c r="D3055" s="2" t="str">
        <f t="shared" si="46"/>
        <v>Error?</v>
      </c>
    </row>
    <row r="3056" spans="1:4" x14ac:dyDescent="0.2">
      <c r="A3056" s="5">
        <v>2995</v>
      </c>
      <c r="B3056" s="138">
        <f>'Expenditures 15-22'!D10</f>
        <v>14889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11679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112933</v>
      </c>
      <c r="C3062" s="2" t="s">
        <v>594</v>
      </c>
      <c r="D3062" s="2" t="str">
        <f t="shared" si="46"/>
        <v>Error?</v>
      </c>
    </row>
    <row r="3063" spans="1:4" x14ac:dyDescent="0.2">
      <c r="A3063" s="10">
        <v>3002</v>
      </c>
      <c r="D3063" s="2" t="str">
        <f t="shared" si="46"/>
        <v>OK</v>
      </c>
    </row>
    <row r="3064" spans="1:4" x14ac:dyDescent="0.2">
      <c r="A3064" s="5">
        <v>3003</v>
      </c>
      <c r="B3064" s="138">
        <f>'Expenditures 15-22'!D219</f>
        <v>1248</v>
      </c>
      <c r="D3064" s="2" t="str">
        <f t="shared" si="46"/>
        <v>Error?</v>
      </c>
    </row>
    <row r="3065" spans="1:4" x14ac:dyDescent="0.2">
      <c r="A3065" s="5">
        <v>3004</v>
      </c>
      <c r="B3065" s="138">
        <f>'Expenditures 15-22'!K219</f>
        <v>1248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226639</v>
      </c>
      <c r="C3225" s="2" t="s">
        <v>594</v>
      </c>
      <c r="D3225" s="2" t="str">
        <f t="shared" si="49"/>
        <v>Error?</v>
      </c>
    </row>
    <row r="3226" spans="1:4" x14ac:dyDescent="0.2">
      <c r="A3226" s="5">
        <v>3165</v>
      </c>
      <c r="B3226" s="138">
        <f>'Acct Summary 7-8'!I8</f>
        <v>226639</v>
      </c>
      <c r="C3226" s="2" t="s">
        <v>594</v>
      </c>
      <c r="D3226" s="2" t="str">
        <f t="shared" si="49"/>
        <v>Error?</v>
      </c>
    </row>
    <row r="3227" spans="1:4" x14ac:dyDescent="0.2">
      <c r="A3227" s="5">
        <v>3166</v>
      </c>
      <c r="B3227" s="138">
        <f>'Acct Summary 7-8'!I20</f>
        <v>226639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-1273463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36199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2632070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301971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-1111575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-36116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226639</v>
      </c>
      <c r="C3320" s="2" t="s">
        <v>594</v>
      </c>
      <c r="D3320" s="2" t="str">
        <f t="shared" si="50"/>
        <v>Error?</v>
      </c>
    </row>
    <row r="3321" spans="1:4" x14ac:dyDescent="0.2">
      <c r="A3321" s="5">
        <v>3260</v>
      </c>
      <c r="B3321" s="138">
        <f>'Acct Summary 7-8'!I79</f>
        <v>4047203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4273842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2534139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649937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21266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360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3211428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150286</v>
      </c>
      <c r="D3387" s="2" t="str">
        <f t="shared" si="51"/>
        <v>Error?</v>
      </c>
    </row>
    <row r="3388" spans="1:4" x14ac:dyDescent="0.2">
      <c r="A3388" s="5">
        <v>3327</v>
      </c>
      <c r="B3388" s="138">
        <f>'Expenditures 15-22'!D217</f>
        <v>203230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150286</v>
      </c>
      <c r="C3390" s="2" t="s">
        <v>594</v>
      </c>
      <c r="D3390" s="2" t="str">
        <f t="shared" si="51"/>
        <v>Error?</v>
      </c>
    </row>
    <row r="3391" spans="1:4" x14ac:dyDescent="0.2">
      <c r="A3391" s="5">
        <v>3330</v>
      </c>
      <c r="B3391" s="138">
        <f>'Expenditures 15-22'!K217</f>
        <v>203230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22039094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1385922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3154755</v>
      </c>
      <c r="D3417" s="2" t="str">
        <f t="shared" si="52"/>
        <v>Error?</v>
      </c>
    </row>
    <row r="3418" spans="1:4" x14ac:dyDescent="0.2">
      <c r="A3418" s="10">
        <v>3357</v>
      </c>
      <c r="D3418" s="2" t="str">
        <f t="shared" si="52"/>
        <v>OK</v>
      </c>
    </row>
    <row r="3419" spans="1:4" x14ac:dyDescent="0.2">
      <c r="A3419" s="5">
        <v>3358</v>
      </c>
      <c r="B3419" s="138">
        <f>'Assets-Liab 5-6'!F4</f>
        <v>1287911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1373417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1988648</v>
      </c>
      <c r="D3425" s="2" t="str">
        <f t="shared" si="52"/>
        <v>Error?</v>
      </c>
    </row>
    <row r="3426" spans="1:4" x14ac:dyDescent="0.2">
      <c r="A3426" s="10">
        <v>3365</v>
      </c>
      <c r="D3426" s="2" t="str">
        <f t="shared" si="52"/>
        <v>OK</v>
      </c>
    </row>
    <row r="3427" spans="1:4" x14ac:dyDescent="0.2">
      <c r="A3427" s="5">
        <v>3366</v>
      </c>
      <c r="B3427" s="138">
        <f>'Assets-Liab 5-6'!I4</f>
        <v>4277312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141552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550558</v>
      </c>
      <c r="C3446" s="2" t="s">
        <v>594</v>
      </c>
      <c r="D3446" s="2" t="str">
        <f t="shared" si="52"/>
        <v>Error?</v>
      </c>
    </row>
    <row r="3447" spans="1:4" x14ac:dyDescent="0.2">
      <c r="A3447" s="5">
        <v>3386</v>
      </c>
      <c r="B3447" s="138">
        <f>'Tax Sched 23'!D16</f>
        <v>258104</v>
      </c>
      <c r="C3447" s="2" t="s">
        <v>594</v>
      </c>
      <c r="D3447" s="2" t="str">
        <f t="shared" si="52"/>
        <v>Error?</v>
      </c>
    </row>
    <row r="3448" spans="1:4" x14ac:dyDescent="0.2">
      <c r="A3448" s="5">
        <v>3387</v>
      </c>
      <c r="B3448" s="138">
        <f>'Tax Sched 23'!C16</f>
        <v>292454</v>
      </c>
      <c r="D3448" s="2" t="str">
        <f t="shared" si="52"/>
        <v>Error?</v>
      </c>
    </row>
    <row r="3449" spans="1:4" x14ac:dyDescent="0.2">
      <c r="A3449" s="5">
        <v>3388</v>
      </c>
      <c r="B3449" s="138">
        <f>'Tax Sched 23'!F16</f>
        <v>272906</v>
      </c>
      <c r="C3449" s="2" t="s">
        <v>594</v>
      </c>
      <c r="D3449" s="2" t="str">
        <f t="shared" si="52"/>
        <v>Error?</v>
      </c>
    </row>
    <row r="3450" spans="1:4" x14ac:dyDescent="0.2">
      <c r="A3450" s="5">
        <v>3389</v>
      </c>
      <c r="B3450" s="138">
        <f>'Tax Sched 23'!E16</f>
        <v>565360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977</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-977</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353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1330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1330</v>
      </c>
      <c r="C3575" s="2" t="s">
        <v>594</v>
      </c>
      <c r="D3575" s="2" t="str">
        <f t="shared" si="54"/>
        <v>Error?</v>
      </c>
    </row>
    <row r="3576" spans="1:4" x14ac:dyDescent="0.2">
      <c r="A3576" s="5">
        <v>3515</v>
      </c>
      <c r="B3576" s="138">
        <f>'Acct Summary 7-8'!K20</f>
        <v>-977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-977</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-977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1330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15-22'!K356</f>
        <v>1330</v>
      </c>
      <c r="C3673" s="2" t="s">
        <v>594</v>
      </c>
      <c r="D3673" s="2" t="str">
        <f t="shared" si="56"/>
        <v>Error?</v>
      </c>
    </row>
    <row r="3674" spans="1:4" x14ac:dyDescent="0.2">
      <c r="A3674" s="12">
        <v>3613</v>
      </c>
      <c r="B3674" s="138">
        <f>'Expenditures 15-22'!K357</f>
        <v>1330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1330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-977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69176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8860233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29741332</v>
      </c>
      <c r="C4122" s="2" t="s">
        <v>594</v>
      </c>
      <c r="D4122" s="2" t="str">
        <f t="shared" si="63"/>
        <v>Error?</v>
      </c>
    </row>
    <row r="4123" spans="1:4" x14ac:dyDescent="0.2">
      <c r="A4123" s="5">
        <v>4062</v>
      </c>
      <c r="B4123" s="138">
        <f>'Acct Summary 7-8'!D10</f>
        <v>2659944</v>
      </c>
      <c r="C4123" s="2" t="s">
        <v>594</v>
      </c>
      <c r="D4123" s="2" t="str">
        <f t="shared" si="63"/>
        <v>Error?</v>
      </c>
    </row>
    <row r="4124" spans="1:4" x14ac:dyDescent="0.2">
      <c r="A4124" s="5">
        <v>4063</v>
      </c>
      <c r="B4124" s="138">
        <f>'Acct Summary 7-8'!E10</f>
        <v>35625</v>
      </c>
      <c r="C4124" s="2" t="s">
        <v>594</v>
      </c>
      <c r="D4124" s="2" t="str">
        <f t="shared" si="63"/>
        <v>Error?</v>
      </c>
    </row>
    <row r="4125" spans="1:4" x14ac:dyDescent="0.2">
      <c r="A4125" s="5">
        <v>4064</v>
      </c>
      <c r="B4125" s="138">
        <f>'Acct Summary 7-8'!F10</f>
        <v>3310519</v>
      </c>
      <c r="C4125" s="2" t="s">
        <v>594</v>
      </c>
      <c r="D4125" s="2" t="str">
        <f t="shared" si="63"/>
        <v>Error?</v>
      </c>
    </row>
    <row r="4126" spans="1:4" x14ac:dyDescent="0.2">
      <c r="A4126" s="5">
        <v>4065</v>
      </c>
      <c r="B4126" s="138">
        <f>'Acct Summary 7-8'!G10</f>
        <v>1029390</v>
      </c>
      <c r="C4126" s="2" t="s">
        <v>594</v>
      </c>
      <c r="D4126" s="2" t="str">
        <f t="shared" si="63"/>
        <v>Error?</v>
      </c>
    </row>
    <row r="4127" spans="1:4" x14ac:dyDescent="0.2">
      <c r="A4127" s="5">
        <v>4066</v>
      </c>
      <c r="B4127" s="138">
        <f>'Acct Summary 7-8'!H10</f>
        <v>17934</v>
      </c>
      <c r="C4127" s="2" t="s">
        <v>594</v>
      </c>
      <c r="D4127" s="2" t="str">
        <f t="shared" si="63"/>
        <v>Error?</v>
      </c>
    </row>
    <row r="4128" spans="1:4" x14ac:dyDescent="0.2">
      <c r="A4128" s="5">
        <v>4067</v>
      </c>
      <c r="B4128" s="138">
        <f>'Acct Summary 7-8'!I10</f>
        <v>226639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353</v>
      </c>
      <c r="C4130" s="2" t="s">
        <v>594</v>
      </c>
      <c r="D4130" s="2" t="str">
        <f t="shared" si="63"/>
        <v>Error?</v>
      </c>
    </row>
    <row r="4131" spans="1:4" x14ac:dyDescent="0.2">
      <c r="A4131" s="5">
        <v>4070</v>
      </c>
      <c r="B4131" s="138">
        <f>'Acct Summary 7-8'!C18</f>
        <v>8860233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31014795</v>
      </c>
      <c r="C4136" s="2" t="s">
        <v>594</v>
      </c>
      <c r="D4136" s="2" t="str">
        <f t="shared" si="63"/>
        <v>Error?</v>
      </c>
    </row>
    <row r="4137" spans="1:4" x14ac:dyDescent="0.2">
      <c r="A4137" s="5">
        <v>4076</v>
      </c>
      <c r="B4137" s="138">
        <f>'Acct Summary 7-8'!D19</f>
        <v>2623745</v>
      </c>
      <c r="C4137" s="2" t="s">
        <v>594</v>
      </c>
      <c r="D4137" s="2" t="str">
        <f t="shared" si="63"/>
        <v>Error?</v>
      </c>
    </row>
    <row r="4138" spans="1:4" x14ac:dyDescent="0.2">
      <c r="A4138" s="5">
        <v>4077</v>
      </c>
      <c r="B4138" s="138">
        <f>'Acct Summary 7-8'!E19</f>
        <v>1147200</v>
      </c>
      <c r="C4138" s="2" t="s">
        <v>594</v>
      </c>
      <c r="D4138" s="2" t="str">
        <f t="shared" si="63"/>
        <v>Error?</v>
      </c>
    </row>
    <row r="4139" spans="1:4" x14ac:dyDescent="0.2">
      <c r="A4139" s="5">
        <v>4078</v>
      </c>
      <c r="B4139" s="138">
        <f>'Acct Summary 7-8'!F19</f>
        <v>678449</v>
      </c>
      <c r="C4139" s="2" t="s">
        <v>594</v>
      </c>
      <c r="D4139" s="2" t="str">
        <f t="shared" si="63"/>
        <v>Error?</v>
      </c>
    </row>
    <row r="4140" spans="1:4" x14ac:dyDescent="0.2">
      <c r="A4140" s="5">
        <v>4079</v>
      </c>
      <c r="B4140" s="138">
        <f>'Acct Summary 7-8'!G19</f>
        <v>727419</v>
      </c>
      <c r="C4140" s="2" t="s">
        <v>594</v>
      </c>
      <c r="D4140" s="2" t="str">
        <f t="shared" si="63"/>
        <v>Error?</v>
      </c>
    </row>
    <row r="4141" spans="1:4" x14ac:dyDescent="0.2">
      <c r="A4141" s="5">
        <v>4080</v>
      </c>
      <c r="B4141" s="138">
        <f>'Acct Summary 7-8'!H19</f>
        <v>54050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1330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4325000</v>
      </c>
      <c r="C4171" s="2" t="s">
        <v>594</v>
      </c>
      <c r="D4171" s="2" t="str">
        <f t="shared" si="64"/>
        <v>Error?</v>
      </c>
    </row>
    <row r="4172" spans="1:4" x14ac:dyDescent="0.2">
      <c r="A4172" s="5">
        <v>4111</v>
      </c>
      <c r="B4172" s="138">
        <f>'Short-Term Long-Term Debt 24'!J49</f>
        <v>1170245</v>
      </c>
      <c r="C4172" s="2" t="s">
        <v>594</v>
      </c>
      <c r="D4172" s="2" t="str">
        <f t="shared" si="64"/>
        <v>Error?</v>
      </c>
    </row>
    <row r="4173" spans="1:4" x14ac:dyDescent="0.2">
      <c r="A4173" s="5">
        <v>4112</v>
      </c>
      <c r="B4173" s="138">
        <f>'Short-Term Long-Term Debt 24'!H49</f>
        <v>1010000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3181.3</v>
      </c>
      <c r="C4265" s="2" t="s">
        <v>594</v>
      </c>
      <c r="D4265" s="2" t="str">
        <f t="shared" si="65"/>
        <v>Error?</v>
      </c>
      <c r="E4265" s="128"/>
    </row>
    <row r="4266" spans="1:5" x14ac:dyDescent="0.2">
      <c r="A4266" s="12">
        <v>4205</v>
      </c>
      <c r="B4266" s="138">
        <f>('FP Info 3'!F10)*100000</f>
        <v>473.8</v>
      </c>
      <c r="C4266" s="2" t="s">
        <v>594</v>
      </c>
      <c r="D4266" s="2" t="str">
        <f t="shared" si="65"/>
        <v>Error?</v>
      </c>
      <c r="E4266" s="128"/>
    </row>
    <row r="4267" spans="1:5" x14ac:dyDescent="0.2">
      <c r="A4267" s="12">
        <v>4206</v>
      </c>
      <c r="B4267" s="138">
        <f>('FP Info 3'!H10)*100000</f>
        <v>368.70000000000005</v>
      </c>
      <c r="C4267" s="2" t="s">
        <v>594</v>
      </c>
      <c r="D4267" s="2" t="str">
        <f t="shared" si="65"/>
        <v>Error?</v>
      </c>
      <c r="E4267" s="128"/>
    </row>
    <row r="4268" spans="1:5" x14ac:dyDescent="0.2">
      <c r="A4268" s="12">
        <v>4207</v>
      </c>
      <c r="B4268" s="138">
        <f>('FP Info 3'!J10)*100000</f>
        <v>4024</v>
      </c>
      <c r="C4268" s="2" t="s">
        <v>594</v>
      </c>
      <c r="D4268" s="2" t="str">
        <f t="shared" si="65"/>
        <v>Error?</v>
      </c>
    </row>
    <row r="4269" spans="1:5" x14ac:dyDescent="0.2">
      <c r="A4269" s="12">
        <v>4208</v>
      </c>
      <c r="B4269" s="138">
        <f>'FP Info 3'!J16</f>
        <v>28421214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38313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153020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4651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12937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38820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43.1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7069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539358831</v>
      </c>
      <c r="D4995" s="2" t="str">
        <f t="shared" si="77"/>
        <v>Error?</v>
      </c>
    </row>
    <row r="4996" spans="1:4" x14ac:dyDescent="0.2">
      <c r="A4996" s="12">
        <v>4935</v>
      </c>
      <c r="B4996" s="138">
        <f>'FP Info 3'!H31</f>
        <v>37215759.339000002</v>
      </c>
      <c r="D4996" s="2" t="str">
        <f t="shared" si="77"/>
        <v>Error?</v>
      </c>
    </row>
    <row r="4997" spans="1:4" x14ac:dyDescent="0.2">
      <c r="A4997" s="12">
        <v>4936</v>
      </c>
      <c r="B4997" s="138">
        <f>'FP Info 3'!H37</f>
        <v>4325000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15915937</v>
      </c>
      <c r="D5061" s="2" t="str">
        <f t="shared" si="78"/>
        <v>Error?</v>
      </c>
    </row>
    <row r="5062" spans="1:4" x14ac:dyDescent="0.2">
      <c r="A5062" s="10">
        <v>5001</v>
      </c>
      <c r="D5062" s="2" t="str">
        <f t="shared" si="78"/>
        <v>OK</v>
      </c>
    </row>
    <row r="5063" spans="1:4" x14ac:dyDescent="0.2">
      <c r="A5063" s="5">
        <v>5002</v>
      </c>
      <c r="B5063" s="138">
        <f>'Revenues 9-14'!C7</f>
        <v>1757215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17673152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164039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164039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22750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13471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36221</v>
      </c>
      <c r="C5087" s="2" t="s">
        <v>594</v>
      </c>
      <c r="D5087" s="2" t="str">
        <f t="shared" si="78"/>
        <v>Error?</v>
      </c>
    </row>
    <row r="5088" spans="1:4" x14ac:dyDescent="0.2">
      <c r="A5088" s="5">
        <v>5027</v>
      </c>
      <c r="B5088" s="138">
        <f>'Revenues 9-14'!C65</f>
        <v>239926</v>
      </c>
      <c r="D5088" s="2" t="str">
        <f t="shared" si="78"/>
        <v>Error?</v>
      </c>
    </row>
    <row r="5089" spans="1:4" x14ac:dyDescent="0.2">
      <c r="A5089" s="5">
        <v>5028</v>
      </c>
      <c r="B5089" s="138">
        <f>'Revenues 9-14'!C66</f>
        <v>23298</v>
      </c>
      <c r="D5089" s="2" t="str">
        <f t="shared" si="78"/>
        <v>Error?</v>
      </c>
    </row>
    <row r="5090" spans="1:4" x14ac:dyDescent="0.2">
      <c r="A5090" s="5">
        <v>5029</v>
      </c>
      <c r="B5090" s="138">
        <f>'Revenues 9-14'!C67</f>
        <v>263224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122540</v>
      </c>
      <c r="C5096" s="2" t="s">
        <v>594</v>
      </c>
      <c r="D5096" s="2" t="str">
        <f t="shared" si="78"/>
        <v>Error?</v>
      </c>
    </row>
    <row r="5097" spans="1:4" x14ac:dyDescent="0.2">
      <c r="A5097" s="5">
        <v>5036</v>
      </c>
      <c r="B5097" s="138">
        <f>'Revenues 9-14'!C77</f>
        <v>5700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5700</v>
      </c>
      <c r="C5102" s="2" t="s">
        <v>594</v>
      </c>
      <c r="D5102" s="2" t="str">
        <f t="shared" si="78"/>
        <v>Error?</v>
      </c>
    </row>
    <row r="5103" spans="1:4" x14ac:dyDescent="0.2">
      <c r="A5103" s="5">
        <v>5042</v>
      </c>
      <c r="B5103" s="138">
        <f>'Revenues 9-14'!C84</f>
        <v>215365</v>
      </c>
      <c r="D5103" s="2" t="str">
        <f t="shared" si="78"/>
        <v>Error?</v>
      </c>
    </row>
    <row r="5104" spans="1:4" x14ac:dyDescent="0.2">
      <c r="A5104" s="5">
        <v>5043</v>
      </c>
      <c r="B5104" s="138">
        <f>'Revenues 9-14'!C85</f>
        <v>44875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260240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47922</v>
      </c>
      <c r="D5119" s="2" t="str">
        <f t="shared" ref="D5119:D5182" si="79">IF(ISBLANK(B5119),"OK",IF(A5119-B5119=0,"OK","Error?"))</f>
        <v>Error?</v>
      </c>
    </row>
    <row r="5120" spans="1:4" x14ac:dyDescent="0.2">
      <c r="A5120" s="5">
        <v>5059</v>
      </c>
      <c r="B5120" s="138">
        <f>'Revenues 9-14'!C108</f>
        <v>47922</v>
      </c>
      <c r="C5120" s="2" t="s">
        <v>594</v>
      </c>
      <c r="D5120" s="2" t="str">
        <f t="shared" si="79"/>
        <v>Error?</v>
      </c>
    </row>
    <row r="5121" spans="1:4" x14ac:dyDescent="0.2">
      <c r="A5121" s="5">
        <v>5060</v>
      </c>
      <c r="B5121" s="138">
        <f>'Revenues 9-14'!C109</f>
        <v>18573038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1490424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1490424</v>
      </c>
      <c r="C5132" s="2" t="s">
        <v>594</v>
      </c>
      <c r="D5132" s="2" t="str">
        <f t="shared" si="79"/>
        <v>Error?</v>
      </c>
    </row>
    <row r="5133" spans="1:4" x14ac:dyDescent="0.2">
      <c r="A5133" s="5">
        <v>5072</v>
      </c>
      <c r="B5133" s="138">
        <f>'Revenues 9-14'!C124</f>
        <v>262406</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61004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323410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2621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2621</v>
      </c>
      <c r="C5165" s="2" t="s">
        <v>594</v>
      </c>
      <c r="D5165" s="2" t="str">
        <f t="shared" si="79"/>
        <v>Error?</v>
      </c>
    </row>
    <row r="5166" spans="1:4" x14ac:dyDescent="0.2">
      <c r="A5166" s="10">
        <v>5105</v>
      </c>
      <c r="D5166" s="2" t="str">
        <f t="shared" si="79"/>
        <v>OK</v>
      </c>
    </row>
    <row r="5167" spans="1:4" x14ac:dyDescent="0.2">
      <c r="A5167" s="5">
        <v>5106</v>
      </c>
      <c r="B5167" s="138">
        <f>'Revenues 9-14'!C145</f>
        <v>729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333829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1824253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81055</v>
      </c>
      <c r="D5239" s="2" t="str">
        <f t="shared" si="80"/>
        <v>Error?</v>
      </c>
    </row>
    <row r="5240" spans="1:4" x14ac:dyDescent="0.2">
      <c r="A5240" s="5">
        <v>5179</v>
      </c>
      <c r="B5240" s="138">
        <f>'Revenues 9-14'!C195</f>
        <v>8266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89321</v>
      </c>
      <c r="C5246" s="2" t="s">
        <v>594</v>
      </c>
      <c r="D5246" s="2" t="str">
        <f t="shared" si="80"/>
        <v>Error?</v>
      </c>
    </row>
    <row r="5247" spans="1:4" x14ac:dyDescent="0.2">
      <c r="A5247" s="5">
        <v>5186</v>
      </c>
      <c r="B5247" s="138">
        <f>'Revenues 9-14'!C203</f>
        <v>130765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4651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130765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222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11725</v>
      </c>
      <c r="D5278" s="2" t="str">
        <f t="shared" si="81"/>
        <v>Error?</v>
      </c>
    </row>
    <row r="5279" spans="1:4" x14ac:dyDescent="0.2">
      <c r="A5279" s="5">
        <v>5218</v>
      </c>
      <c r="B5279" s="138">
        <f>'Revenues 9-14'!C221</f>
        <v>4034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15981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483808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483808</v>
      </c>
      <c r="C5326" s="2" t="s">
        <v>594</v>
      </c>
      <c r="D5326" s="2" t="str">
        <f t="shared" si="82"/>
        <v>Error?</v>
      </c>
    </row>
    <row r="5327" spans="1:4" x14ac:dyDescent="0.2">
      <c r="A5327" s="5">
        <v>5266</v>
      </c>
      <c r="B5327" s="138">
        <f>'Revenues 9-14'!C275</f>
        <v>20881099</v>
      </c>
      <c r="C5327" s="2" t="s">
        <v>594</v>
      </c>
      <c r="D5327" s="2" t="str">
        <f t="shared" si="82"/>
        <v>Error?</v>
      </c>
    </row>
    <row r="5328" spans="1:4" x14ac:dyDescent="0.2">
      <c r="A5328" s="5">
        <v>5267</v>
      </c>
      <c r="B5328" s="138">
        <f>'Revenues 9-14'!D5</f>
        <v>2450311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2450311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164039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164039</v>
      </c>
      <c r="C5339" s="2" t="s">
        <v>594</v>
      </c>
      <c r="D5339" s="2" t="str">
        <f t="shared" si="82"/>
        <v>Error?</v>
      </c>
    </row>
    <row r="5340" spans="1:4" x14ac:dyDescent="0.2">
      <c r="A5340" s="5">
        <v>5279</v>
      </c>
      <c r="B5340" s="138">
        <f>'Revenues 9-14'!D65</f>
        <v>12166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12166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33428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33428</v>
      </c>
      <c r="C5355" s="2" t="s">
        <v>594</v>
      </c>
      <c r="D5355" s="2" t="str">
        <f t="shared" si="82"/>
        <v>Error?</v>
      </c>
    </row>
    <row r="5356" spans="1:4" x14ac:dyDescent="0.2">
      <c r="A5356" s="5">
        <v>5295</v>
      </c>
      <c r="B5356" s="138">
        <f>'Revenues 9-14'!D109</f>
        <v>2659944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2659944</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35625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35625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35625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35625</v>
      </c>
      <c r="C5552" s="2" t="s">
        <v>594</v>
      </c>
      <c r="D5552" s="2" t="str">
        <f t="shared" si="85"/>
        <v>Error?</v>
      </c>
    </row>
    <row r="5553" spans="1:4" x14ac:dyDescent="0.2">
      <c r="A5553" s="5">
        <v>5492</v>
      </c>
      <c r="B5553" s="138">
        <f>'Revenues 9-14'!F5</f>
        <v>2888909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2888909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31055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31055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2919964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269</v>
      </c>
      <c r="D5615" s="2" t="str">
        <f t="shared" si="86"/>
        <v>Error?</v>
      </c>
    </row>
    <row r="5616" spans="1:4" x14ac:dyDescent="0.2">
      <c r="A5616" s="10">
        <v>5555</v>
      </c>
      <c r="D5616" s="2" t="str">
        <f t="shared" si="86"/>
        <v>OK</v>
      </c>
    </row>
    <row r="5617" spans="1:4" x14ac:dyDescent="0.2">
      <c r="A5617" s="5">
        <v>5556</v>
      </c>
      <c r="B5617" s="138">
        <f>'Revenues 9-14'!F152</f>
        <v>390286</v>
      </c>
      <c r="D5617" s="2" t="str">
        <f t="shared" si="86"/>
        <v>Error?</v>
      </c>
    </row>
    <row r="5618" spans="1:4" x14ac:dyDescent="0.2">
      <c r="A5618" s="5">
        <v>5557</v>
      </c>
      <c r="B5618" s="138">
        <f>'Revenues 9-14'!F154</f>
        <v>390555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390555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390555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3310519</v>
      </c>
      <c r="C5720" s="2" t="s">
        <v>594</v>
      </c>
      <c r="D5720" s="2" t="str">
        <f t="shared" si="88"/>
        <v>Error?</v>
      </c>
    </row>
    <row r="5721" spans="1:4" x14ac:dyDescent="0.2">
      <c r="A5721" s="5">
        <v>5660</v>
      </c>
      <c r="B5721" s="138">
        <f>'Revenues 9-14'!G5</f>
        <v>443930</v>
      </c>
      <c r="D5721" s="2" t="str">
        <f t="shared" si="88"/>
        <v>Error?</v>
      </c>
    </row>
    <row r="5722" spans="1:4" x14ac:dyDescent="0.2">
      <c r="A5722" s="5">
        <v>5661</v>
      </c>
      <c r="B5722" s="138">
        <f>'Revenues 9-14'!G7</f>
        <v>0</v>
      </c>
      <c r="D5722" s="2" t="str">
        <f t="shared" si="88"/>
        <v>Error?</v>
      </c>
    </row>
    <row r="5723" spans="1:4" x14ac:dyDescent="0.2">
      <c r="A5723" s="5">
        <v>5662</v>
      </c>
      <c r="B5723" s="138">
        <f>'Revenues 9-14'!G8</f>
        <v>553026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996956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20443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20443</v>
      </c>
      <c r="C5730" s="2" t="s">
        <v>594</v>
      </c>
      <c r="D5730" s="2" t="str">
        <f t="shared" si="88"/>
        <v>Error?</v>
      </c>
    </row>
    <row r="5731" spans="1:4" x14ac:dyDescent="0.2">
      <c r="A5731" s="5">
        <v>5670</v>
      </c>
      <c r="B5731" s="138">
        <f>'Revenues 9-14'!G65</f>
        <v>11991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11991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1029390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17934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17934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17934</v>
      </c>
      <c r="C5915" s="2" t="s">
        <v>594</v>
      </c>
      <c r="D5915" s="2" t="str">
        <f t="shared" si="91"/>
        <v>Error?</v>
      </c>
    </row>
    <row r="5916" spans="1:4" x14ac:dyDescent="0.2">
      <c r="A5916" s="5">
        <v>5855</v>
      </c>
      <c r="B5916" s="138">
        <f>'Revenues 9-14'!I5</f>
        <v>220854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220854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5785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5785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226639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353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353</v>
      </c>
      <c r="C6023" s="2" t="s">
        <v>594</v>
      </c>
      <c r="D6023" s="2" t="str">
        <f t="shared" si="93"/>
        <v>Error?</v>
      </c>
    </row>
    <row r="6024" spans="1:5" x14ac:dyDescent="0.2">
      <c r="A6024" s="5">
        <v>5963</v>
      </c>
      <c r="B6024" s="138">
        <f>'Revenues 9-14'!G109</f>
        <v>1029390</v>
      </c>
      <c r="C6024" s="2" t="s">
        <v>594</v>
      </c>
      <c r="D6024" s="2" t="str">
        <f t="shared" si="93"/>
        <v>Error?</v>
      </c>
    </row>
    <row r="6025" spans="1:5" x14ac:dyDescent="0.2">
      <c r="A6025" s="5">
        <v>5964</v>
      </c>
      <c r="B6025" s="138">
        <f>'Revenues 9-14'!H109</f>
        <v>17934</v>
      </c>
      <c r="C6025" s="2" t="s">
        <v>594</v>
      </c>
      <c r="D6025" s="2" t="str">
        <f t="shared" si="93"/>
        <v>Error?</v>
      </c>
    </row>
    <row r="6026" spans="1:5" x14ac:dyDescent="0.2">
      <c r="A6026" s="5">
        <v>5965</v>
      </c>
      <c r="B6026" s="138">
        <f>'Revenues 9-14'!I109</f>
        <v>226639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121809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17829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1629.35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2400000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222612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97738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925036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2400000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36761</v>
      </c>
      <c r="D6142" s="2" t="str">
        <f t="shared" si="94"/>
        <v>Error?</v>
      </c>
      <c r="E6142" s="2" t="s">
        <v>199</v>
      </c>
    </row>
    <row r="6143" spans="1:5" x14ac:dyDescent="0.2">
      <c r="A6143">
        <v>6082</v>
      </c>
      <c r="B6143" s="138">
        <f>'Assets-Liab 5-6'!D27</f>
        <v>423178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28993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27830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977</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26471</v>
      </c>
      <c r="D6169" s="2" t="str">
        <f t="shared" si="95"/>
        <v>Error?</v>
      </c>
      <c r="E6169" s="2" t="s">
        <v>199</v>
      </c>
    </row>
    <row r="6170" spans="1:5" x14ac:dyDescent="0.2">
      <c r="A6170">
        <v>6109</v>
      </c>
      <c r="B6170" s="138">
        <f>'Assets-Liab 5-6'!D30</f>
        <v>5137</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117104</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117104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807932</v>
      </c>
      <c r="D6215" s="2" t="str">
        <f t="shared" si="96"/>
        <v>Error?</v>
      </c>
      <c r="E6215" s="2" t="s">
        <v>199</v>
      </c>
    </row>
    <row r="6216" spans="1:5" x14ac:dyDescent="0.2">
      <c r="A6216">
        <v>6155</v>
      </c>
      <c r="B6216" s="138">
        <f>'Assets-Liab 5-6'!J41</f>
        <v>925036</v>
      </c>
      <c r="D6216" s="2" t="str">
        <f t="shared" si="96"/>
        <v>Error?</v>
      </c>
      <c r="E6216" s="2" t="s">
        <v>199</v>
      </c>
    </row>
    <row r="6217" spans="1:5" x14ac:dyDescent="0.2">
      <c r="A6217">
        <v>6156</v>
      </c>
      <c r="B6217" s="138">
        <f>'Assets-Liab 5-6'!J4</f>
        <v>811556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113480</v>
      </c>
      <c r="D6219" s="2" t="str">
        <f t="shared" si="96"/>
        <v>Error?</v>
      </c>
      <c r="E6219" s="2" t="s">
        <v>199</v>
      </c>
    </row>
    <row r="6220" spans="1:5" x14ac:dyDescent="0.2">
      <c r="A6220">
        <v>6159</v>
      </c>
      <c r="B6220" s="138">
        <f>'Acct Summary 7-8'!J4</f>
        <v>129283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129283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129283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99735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99735</v>
      </c>
      <c r="D6229" s="2" t="str">
        <f t="shared" si="96"/>
        <v>Error?</v>
      </c>
      <c r="E6229" s="2" t="s">
        <v>199</v>
      </c>
    </row>
    <row r="6230" spans="1:5" x14ac:dyDescent="0.2">
      <c r="A6230">
        <v>6169</v>
      </c>
      <c r="B6230" s="138">
        <f>'Acct Summary 7-8'!J20</f>
        <v>29548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29548</v>
      </c>
      <c r="D6263" s="2" t="str">
        <f t="shared" si="96"/>
        <v>Error?</v>
      </c>
      <c r="E6263" s="2" t="s">
        <v>199</v>
      </c>
    </row>
    <row r="6264" spans="1:5" x14ac:dyDescent="0.2">
      <c r="A6264">
        <v>6203</v>
      </c>
      <c r="B6264" s="138">
        <f>'Acct Summary 7-8'!J79</f>
        <v>778384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807932</v>
      </c>
      <c r="D6266" s="2" t="str">
        <f t="shared" si="96"/>
        <v>Error?</v>
      </c>
      <c r="E6266" s="2" t="s">
        <v>199</v>
      </c>
    </row>
    <row r="6267" spans="1:5" x14ac:dyDescent="0.2">
      <c r="A6267">
        <v>6206</v>
      </c>
      <c r="B6267" s="138">
        <f>'Acct Summary 7-8'!C82</f>
        <v>-1273463</v>
      </c>
      <c r="D6267" s="2" t="str">
        <f t="shared" si="96"/>
        <v>Error?</v>
      </c>
      <c r="E6267" s="2" t="s">
        <v>199</v>
      </c>
    </row>
    <row r="6268" spans="1:5" x14ac:dyDescent="0.2">
      <c r="A6268">
        <v>6207</v>
      </c>
      <c r="B6268" s="138">
        <f>'Acct Summary 7-8'!D82</f>
        <v>36199</v>
      </c>
      <c r="D6268" s="2" t="str">
        <f t="shared" si="96"/>
        <v>Error?</v>
      </c>
      <c r="E6268" s="2" t="s">
        <v>199</v>
      </c>
    </row>
    <row r="6269" spans="1:5" x14ac:dyDescent="0.2">
      <c r="A6269">
        <v>6208</v>
      </c>
      <c r="B6269" s="138">
        <f>'Acct Summary 7-8'!E82</f>
        <v>-1111575</v>
      </c>
      <c r="D6269" s="2" t="str">
        <f t="shared" si="96"/>
        <v>Error?</v>
      </c>
      <c r="E6269" s="2" t="s">
        <v>199</v>
      </c>
    </row>
    <row r="6270" spans="1:5" x14ac:dyDescent="0.2">
      <c r="A6270">
        <v>6209</v>
      </c>
      <c r="B6270" s="138">
        <f>'Acct Summary 7-8'!F82</f>
        <v>2632070</v>
      </c>
      <c r="D6270" s="2" t="str">
        <f t="shared" si="96"/>
        <v>Error?</v>
      </c>
      <c r="E6270" s="2" t="s">
        <v>199</v>
      </c>
    </row>
    <row r="6271" spans="1:5" x14ac:dyDescent="0.2">
      <c r="A6271">
        <v>6210</v>
      </c>
      <c r="B6271" s="138">
        <f>'Acct Summary 7-8'!G82</f>
        <v>301971</v>
      </c>
      <c r="D6271" s="2" t="str">
        <f t="shared" ref="D6271:D6334" si="97">IF(ISBLANK(B6271),"OK",IF(A6271-B6271=0,"OK","Error?"))</f>
        <v>Error?</v>
      </c>
      <c r="E6271" s="2" t="s">
        <v>199</v>
      </c>
    </row>
    <row r="6272" spans="1:5" x14ac:dyDescent="0.2">
      <c r="A6272">
        <v>6211</v>
      </c>
      <c r="B6272" s="138">
        <f>'Acct Summary 7-8'!H82</f>
        <v>-36116</v>
      </c>
      <c r="D6272" s="2" t="str">
        <f t="shared" si="97"/>
        <v>Error?</v>
      </c>
      <c r="E6272" s="2" t="s">
        <v>199</v>
      </c>
    </row>
    <row r="6273" spans="1:5" x14ac:dyDescent="0.2">
      <c r="A6273">
        <v>6212</v>
      </c>
      <c r="B6273" s="138">
        <f>'Acct Summary 7-8'!I82</f>
        <v>226639</v>
      </c>
      <c r="D6273" s="2" t="str">
        <f t="shared" si="97"/>
        <v>Error?</v>
      </c>
      <c r="E6273" s="2" t="s">
        <v>199</v>
      </c>
    </row>
    <row r="6274" spans="1:5" x14ac:dyDescent="0.2">
      <c r="A6274">
        <v>6213</v>
      </c>
      <c r="B6274" s="138">
        <f>'Acct Summary 7-8'!J82</f>
        <v>29548</v>
      </c>
      <c r="D6274" s="2" t="str">
        <f t="shared" si="97"/>
        <v>Error?</v>
      </c>
      <c r="E6274" s="2" t="s">
        <v>199</v>
      </c>
    </row>
    <row r="6275" spans="1:5" x14ac:dyDescent="0.2">
      <c r="A6275">
        <v>6214</v>
      </c>
      <c r="B6275" s="138">
        <f>'Acct Summary 7-8'!K82</f>
        <v>-977</v>
      </c>
      <c r="D6275" s="2" t="str">
        <f t="shared" si="97"/>
        <v>Error?</v>
      </c>
      <c r="E6275" s="2" t="s">
        <v>199</v>
      </c>
    </row>
    <row r="6276" spans="1:5" x14ac:dyDescent="0.2">
      <c r="A6276">
        <v>6215</v>
      </c>
      <c r="B6276" s="138">
        <f>'Acct Summary 7-8'!C83</f>
        <v>-5.8225326443936319E-2</v>
      </c>
      <c r="D6276" s="2" t="str">
        <f t="shared" si="97"/>
        <v>Error?</v>
      </c>
      <c r="E6276" s="2" t="s">
        <v>199</v>
      </c>
    </row>
    <row r="6277" spans="1:5" x14ac:dyDescent="0.2">
      <c r="A6277">
        <v>6216</v>
      </c>
      <c r="B6277" s="138">
        <f>'Acct Summary 7-8'!D83</f>
        <v>1.0808481847071283E-2</v>
      </c>
      <c r="D6277" s="2" t="str">
        <f t="shared" si="97"/>
        <v>Error?</v>
      </c>
      <c r="E6277" s="2" t="s">
        <v>199</v>
      </c>
    </row>
    <row r="6278" spans="1:5" x14ac:dyDescent="0.2">
      <c r="A6278">
        <v>6217</v>
      </c>
      <c r="B6278" s="138">
        <f>'Acct Summary 7-8'!E83</f>
        <v>-0.35234907306589575</v>
      </c>
      <c r="D6278" s="2" t="str">
        <f t="shared" si="97"/>
        <v>Error?</v>
      </c>
      <c r="E6278" s="2" t="s">
        <v>199</v>
      </c>
    </row>
    <row r="6279" spans="1:5" x14ac:dyDescent="0.2">
      <c r="A6279">
        <v>6218</v>
      </c>
      <c r="B6279" s="138">
        <f>'Acct Summary 7-8'!F83</f>
        <v>-2.4528934892879808</v>
      </c>
      <c r="D6279" s="2" t="str">
        <f t="shared" si="97"/>
        <v>Error?</v>
      </c>
      <c r="E6279" s="2" t="s">
        <v>199</v>
      </c>
    </row>
    <row r="6280" spans="1:5" x14ac:dyDescent="0.2">
      <c r="A6280">
        <v>6219</v>
      </c>
      <c r="B6280" s="138">
        <f>'Acct Summary 7-8'!G83</f>
        <v>0.2223541912267693</v>
      </c>
      <c r="D6280" s="2" t="str">
        <f t="shared" si="97"/>
        <v>Error?</v>
      </c>
      <c r="E6280" s="2" t="s">
        <v>199</v>
      </c>
    </row>
    <row r="6281" spans="1:5" x14ac:dyDescent="0.2">
      <c r="A6281">
        <v>6220</v>
      </c>
      <c r="B6281" s="138">
        <f>'Acct Summary 7-8'!H83</f>
        <v>-1.8418843564267567E-2</v>
      </c>
      <c r="D6281" s="2" t="str">
        <f t="shared" si="97"/>
        <v>Error?</v>
      </c>
      <c r="E6281" s="2" t="s">
        <v>199</v>
      </c>
    </row>
    <row r="6282" spans="1:5" x14ac:dyDescent="0.2">
      <c r="A6282">
        <v>6221</v>
      </c>
      <c r="B6282" s="138">
        <f>'Acct Summary 7-8'!I83</f>
        <v>5.3029335197697994E-2</v>
      </c>
      <c r="D6282" s="2" t="str">
        <f t="shared" si="97"/>
        <v>Error?</v>
      </c>
      <c r="E6282" s="2" t="s">
        <v>199</v>
      </c>
    </row>
    <row r="6283" spans="1:5" x14ac:dyDescent="0.2">
      <c r="A6283">
        <v>6222</v>
      </c>
      <c r="B6283" s="138">
        <f>'Acct Summary 7-8'!J83</f>
        <v>3.6572384804661781E-2</v>
      </c>
      <c r="D6283" s="2" t="str">
        <f t="shared" si="97"/>
        <v>Error?</v>
      </c>
      <c r="E6283" s="2" t="s">
        <v>199</v>
      </c>
    </row>
    <row r="6284" spans="1:5" x14ac:dyDescent="0.2">
      <c r="A6284">
        <v>6223</v>
      </c>
      <c r="B6284" s="138">
        <f>'Acct Summary 7-8'!K83</f>
        <v>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122185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122185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7098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7098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129283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17635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1170</v>
      </c>
      <c r="D6878" s="2" t="str">
        <f t="shared" si="106"/>
        <v>Error?</v>
      </c>
    </row>
    <row r="6879" spans="1:4" x14ac:dyDescent="0.2">
      <c r="A6879">
        <v>6818</v>
      </c>
      <c r="B6879" s="138">
        <f>'Expenditures 15-22'!K21</f>
        <v>1170</v>
      </c>
      <c r="D6879" s="2" t="str">
        <f t="shared" si="106"/>
        <v>Error?</v>
      </c>
    </row>
    <row r="6880" spans="1:4" x14ac:dyDescent="0.2">
      <c r="A6880">
        <v>6819</v>
      </c>
      <c r="B6880" s="138">
        <f>'Expenditures 15-22'!H22</f>
        <v>719496</v>
      </c>
      <c r="D6880" s="2" t="str">
        <f t="shared" si="106"/>
        <v>Error?</v>
      </c>
    </row>
    <row r="6881" spans="1:4" x14ac:dyDescent="0.2">
      <c r="A6881">
        <v>6820</v>
      </c>
      <c r="B6881" s="138">
        <f>'Expenditures 15-22'!K22</f>
        <v>719496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17635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1704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1704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20544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20544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22248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726711</v>
      </c>
      <c r="D6983" s="2" t="str">
        <f t="shared" si="108"/>
        <v>Error?</v>
      </c>
    </row>
    <row r="6984" spans="1:4" x14ac:dyDescent="0.2">
      <c r="A6984">
        <v>6923</v>
      </c>
      <c r="B6984" s="138">
        <f>'Expenditures 15-22'!K86</f>
        <v>726711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726711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39883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99735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129283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62327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62327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99735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99735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99735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99735</v>
      </c>
      <c r="D7224" s="2" t="str">
        <f t="shared" si="111"/>
        <v>Error?</v>
      </c>
    </row>
    <row r="7225" spans="1:4" x14ac:dyDescent="0.2">
      <c r="A7225">
        <v>7164</v>
      </c>
      <c r="B7225" s="138">
        <f>'Expenditures 15-22'!K343</f>
        <v>29548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15-22'!H356</f>
        <v>1330</v>
      </c>
      <c r="D7236" s="2" t="str">
        <f t="shared" si="112"/>
        <v>Error?</v>
      </c>
    </row>
    <row r="7237" spans="1:4" x14ac:dyDescent="0.2">
      <c r="A7237">
        <v>7176</v>
      </c>
      <c r="B7237" s="138">
        <f>'Expenditures 15-22'!H357</f>
        <v>1330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40458</v>
      </c>
      <c r="D7624" s="2" t="str">
        <f t="shared" si="124"/>
        <v>Error?</v>
      </c>
      <c r="E7624" s="2" t="s">
        <v>19</v>
      </c>
    </row>
    <row r="7625" spans="1:5" x14ac:dyDescent="0.2">
      <c r="A7625">
        <f t="shared" si="123"/>
        <v>7564</v>
      </c>
      <c r="B7625" s="138">
        <f>'Cap Outlay Deprec 26'!I17</f>
        <v>4045.8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926846.8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37408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37408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1757215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162126</v>
      </c>
      <c r="D7759" s="2" t="str">
        <f t="shared" si="127"/>
        <v>Error?</v>
      </c>
      <c r="E7759" s="4" t="s">
        <v>1400</v>
      </c>
    </row>
    <row r="7760" spans="1:6" x14ac:dyDescent="0.2">
      <c r="A7760">
        <v>7699</v>
      </c>
      <c r="B7760" s="138">
        <f>'Aud Quest 2'!J90</f>
        <v>162126</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UqtJtLt1b3n//JHQCPVekpGGyh0zcaL+xuVETP2QbmHjxMiomlOsW4GtAE4ss33SKq/0Wf3VMJu3gWyapXKtZg==" saltValue="RcudvKqDzwI8CAjiwOhK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abSelected="1"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RIVERSIDE PUBLIC SCHOOL DISTRICT NO. 96</v>
      </c>
      <c r="B7" s="2420"/>
      <c r="C7" s="2420"/>
      <c r="D7" s="2421"/>
      <c r="E7" s="2422" t="str">
        <f>COVER!A13</f>
        <v>06-016-0960-02</v>
      </c>
      <c r="F7" s="2423"/>
      <c r="G7" s="2429" t="str">
        <f>COVER!T23</f>
        <v>066-005142</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EDER, CASELLA &amp; CO.</v>
      </c>
      <c r="H9" s="2435"/>
      <c r="I9" s="2435"/>
      <c r="J9" s="2435"/>
      <c r="K9" s="2435"/>
      <c r="L9" s="2436"/>
    </row>
    <row r="10" spans="1:29" ht="13.5" customHeight="1" x14ac:dyDescent="0.2">
      <c r="A10" s="2409" t="str">
        <f>COVER!A38</f>
        <v>JAMES FITTON</v>
      </c>
      <c r="B10" s="2410"/>
      <c r="C10" s="2410"/>
      <c r="D10" s="2410"/>
      <c r="E10" s="2410"/>
      <c r="F10" s="2411"/>
      <c r="G10" s="2403" t="str">
        <f>COVER!T17</f>
        <v>5400 WEST ELM STREET, SUITE 203</v>
      </c>
      <c r="H10" s="2404"/>
      <c r="I10" s="2404"/>
      <c r="J10" s="2404"/>
      <c r="K10" s="2404"/>
      <c r="L10" s="2405"/>
    </row>
    <row r="11" spans="1:29" ht="13.5" customHeight="1" x14ac:dyDescent="0.2">
      <c r="A11" s="1185" t="s">
        <v>1599</v>
      </c>
      <c r="B11" s="1186"/>
      <c r="C11" s="1187"/>
      <c r="D11" s="1192"/>
      <c r="E11" s="1187"/>
      <c r="F11" s="1191"/>
      <c r="G11" s="2403" t="str">
        <f>COVER!T19</f>
        <v>MCHENRY</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cpas@edercasella.com</v>
      </c>
      <c r="J13" s="2416"/>
      <c r="K13" s="2416"/>
      <c r="L13" s="2417"/>
    </row>
    <row r="14" spans="1:29" ht="13.5" customHeight="1" x14ac:dyDescent="0.2">
      <c r="A14" s="2403" t="str">
        <f>COVER!A19</f>
        <v>63 WOODSIDE ROAD</v>
      </c>
      <c r="B14" s="2404"/>
      <c r="C14" s="2404"/>
      <c r="D14" s="2404"/>
      <c r="E14" s="2404"/>
      <c r="F14" s="2405"/>
      <c r="G14" s="1196" t="s">
        <v>1247</v>
      </c>
      <c r="H14" s="1194"/>
      <c r="I14" s="1194"/>
      <c r="J14" s="1194"/>
      <c r="K14" s="1194"/>
      <c r="L14" s="1195"/>
    </row>
    <row r="15" spans="1:29" ht="13.5" customHeight="1" x14ac:dyDescent="0.2">
      <c r="A15" s="2403" t="str">
        <f>COVER!A21</f>
        <v>RIVERSIDE</v>
      </c>
      <c r="B15" s="2404"/>
      <c r="C15" s="2404"/>
      <c r="D15" s="2404"/>
      <c r="E15" s="2404"/>
      <c r="F15" s="2405"/>
      <c r="G15" s="2400" t="str">
        <f>COVER!T15</f>
        <v>ANTHONY MICHELOTTI</v>
      </c>
      <c r="H15" s="2401"/>
      <c r="I15" s="2401"/>
      <c r="J15" s="2401"/>
      <c r="K15" s="2401"/>
      <c r="L15" s="2402"/>
    </row>
    <row r="16" spans="1:29" ht="12.2" customHeight="1" x14ac:dyDescent="0.2">
      <c r="A16" s="2425">
        <f>COVER!A25</f>
        <v>60546</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815-344-1300</v>
      </c>
      <c r="H18" s="2420"/>
      <c r="I18" s="2420"/>
      <c r="J18" s="2420"/>
      <c r="K18" s="2419" t="str">
        <f>COVER!X21</f>
        <v>815-344-1320</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40" zoomScale="125" zoomScaleNormal="125" workbookViewId="0">
      <selection activeCell="D92" sqref="D9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RIVERSIDE PUBLIC SCHOOL DISTRICT NO. 96</v>
      </c>
      <c r="B1" s="2418"/>
      <c r="C1" s="2418"/>
      <c r="D1" s="2418"/>
    </row>
    <row r="2" spans="1:11" s="1215" customFormat="1" ht="12.75" x14ac:dyDescent="0.2">
      <c r="A2" s="2442" t="str">
        <f>'Single Audit Cover'!E7</f>
        <v>06-016-0960-02</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83"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RIVERSIDE PUBLIC SCHOOL DISTRICT NO. 96</v>
      </c>
      <c r="B1" s="2445"/>
      <c r="C1" s="2445"/>
      <c r="D1" s="2445"/>
      <c r="E1" s="2445"/>
    </row>
    <row r="2" spans="1:5" x14ac:dyDescent="0.2">
      <c r="A2" s="2446" t="str">
        <f>'Single Audit Cover'!E7</f>
        <v>06-016-0960-02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483808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17829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-153020</v>
      </c>
    </row>
    <row r="19" spans="1:4" ht="13.5" thickBot="1" x14ac:dyDescent="0.25">
      <c r="A19" s="1265" t="s">
        <v>1297</v>
      </c>
      <c r="D19" s="1266">
        <f>SUM(D10:D17)</f>
        <v>348617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348617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348617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RIVERSIDE PUBLIC SCHOOL DISTRICT NO. 96</v>
      </c>
      <c r="B1" s="2458"/>
      <c r="C1" s="2458"/>
      <c r="D1" s="2458"/>
      <c r="E1" s="2458"/>
      <c r="F1" s="2458"/>
    </row>
    <row r="2" spans="1:7" ht="13.5" customHeight="1" x14ac:dyDescent="0.2">
      <c r="A2" s="2459" t="str">
        <f>'Single Audit Cover'!E7</f>
        <v>06-016-0960-02</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RIVERSIDE PUBLIC SCHOOL DISTRICT NO. 96</v>
      </c>
      <c r="C1" s="2462"/>
      <c r="D1" s="2462"/>
      <c r="E1" s="2462"/>
      <c r="F1" s="2462"/>
      <c r="G1" s="2462"/>
      <c r="H1" s="2462"/>
      <c r="I1" s="2462"/>
      <c r="J1" s="2462"/>
      <c r="K1" s="2462"/>
      <c r="L1" s="2462"/>
      <c r="M1" s="2462"/>
    </row>
    <row r="2" spans="2:14" ht="15" x14ac:dyDescent="0.2">
      <c r="B2" s="2459" t="str">
        <f>'Single Audit Cover'!E7</f>
        <v>06-016-0960-02</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RIVERSIDE PUBLIC SCHOOL DISTRICT NO. 96</v>
      </c>
      <c r="C1" s="2477"/>
      <c r="D1" s="2477"/>
      <c r="E1" s="2477"/>
      <c r="F1" s="2477"/>
      <c r="G1" s="2477"/>
      <c r="H1" s="2477"/>
      <c r="I1" s="2477"/>
      <c r="J1" s="1422"/>
    </row>
    <row r="2" spans="2:10" s="317" customFormat="1" ht="12.75" customHeight="1" x14ac:dyDescent="0.2">
      <c r="B2" s="2478" t="str">
        <f>'Single Audit Cover'!E7</f>
        <v>06-016-0960-02</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1952</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RIVERSIDE PUBLIC SCHOOL DISTRICT NO. 96</v>
      </c>
      <c r="C1" s="2476"/>
      <c r="D1" s="2476"/>
      <c r="E1" s="2476"/>
      <c r="F1" s="2476"/>
      <c r="G1" s="2476"/>
      <c r="H1" s="2476"/>
      <c r="I1" s="2476"/>
      <c r="J1" s="2476"/>
      <c r="K1" s="2476"/>
      <c r="L1" s="1374"/>
      <c r="M1" s="1374"/>
    </row>
    <row r="2" spans="1:13" ht="12" customHeight="1" x14ac:dyDescent="0.2">
      <c r="B2" s="2478" t="str">
        <f>'Single Audit Cover'!E7</f>
        <v>06-016-0960-02</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RIVERSIDE PUBLIC SCHOOL DISTRICT NO. 96</v>
      </c>
      <c r="C1" s="2499"/>
      <c r="D1" s="2499"/>
      <c r="E1" s="2499"/>
      <c r="F1" s="2499"/>
      <c r="G1" s="2499"/>
      <c r="H1" s="2499"/>
      <c r="I1" s="2499"/>
      <c r="J1" s="2499"/>
      <c r="K1" s="2499"/>
      <c r="L1" s="1465"/>
    </row>
    <row r="2" spans="1:12" ht="12.75" customHeight="1" x14ac:dyDescent="0.2">
      <c r="B2" s="2500" t="str">
        <f>'Single Audit Cover'!E7</f>
        <v>06-016-0960-02</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RIVERSIDE PUBLIC SCHOOL DISTRICT NO. 96</v>
      </c>
      <c r="C1" s="2476"/>
      <c r="D1" s="2476"/>
      <c r="E1" s="1491"/>
    </row>
    <row r="2" spans="2:5" s="1282" customFormat="1" ht="12.75" customHeight="1" x14ac:dyDescent="0.2">
      <c r="B2" s="2478" t="str">
        <f>'Single Audit Cover'!E7</f>
        <v>06-016-0960-02</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schemas.openxmlformats.org/package/2006/metadata/core-properties"/>
    <ds:schemaRef ds:uri="http://www.w3.org/XML/1998/namespace"/>
    <ds:schemaRef ds:uri="http://purl.org/dc/terms/"/>
    <ds:schemaRef ds:uri="http://purl.org/dc/elements/1.1/"/>
    <ds:schemaRef ds:uri="d21dc803-237d-4c68-8692-8d731fd29118"/>
    <ds:schemaRef ds:uri="http://schemas.microsoft.com/office/2006/metadata/properties"/>
    <ds:schemaRef ds:uri="http://schemas.microsoft.com/office/infopath/2007/PartnerControls"/>
    <ds:schemaRef ds:uri="http://purl.org/dc/dcmitype/"/>
    <ds:schemaRef ds:uri="4d435f69-8686-490b-bd6d-b153bf22ab50"/>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2019-01-11T21:14:55Z</cp:lastPrinted>
  <dcterms:created xsi:type="dcterms:W3CDTF">2003-10-29T19:06:34Z</dcterms:created>
  <dcterms:modified xsi:type="dcterms:W3CDTF">2019-02-07T20:06:45Z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01</vt:lpwstr>
  </property>
  <property fmtid="{D5CDD505-2E9C-101B-9397-08002B2CF9AE}" pid="6" name="workpaperIndex">
    <vt:lpwstr>2a</vt:lpwstr>
  </property>
</Properties>
</file>