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Aud Quest 2" sheetId="28" r:id="rId2"/>
    <sheet name="TOC" sheetId="16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63" i="2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4" l="1"/>
  <c r="A2" i="173"/>
  <c r="B2" i="177"/>
  <c r="A2" i="170"/>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71" i="36"/>
  <c r="D72" i="36"/>
  <c r="D79" i="36"/>
  <c r="B64" i="127"/>
  <c r="B65" i="127"/>
  <c r="D26" i="108"/>
  <c r="E26" i="108"/>
  <c r="F26" i="108"/>
  <c r="G26" i="108"/>
  <c r="E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D13" i="7"/>
  <c r="B3726" i="106" s="1"/>
  <c r="D3726" i="106" s="1"/>
  <c r="B5770" i="106"/>
  <c r="D5770" i="106" s="1"/>
  <c r="F131" i="34"/>
  <c r="F128" i="34"/>
  <c r="F127" i="34"/>
  <c r="B5847" i="106"/>
  <c r="D5847" i="106" s="1"/>
  <c r="B5752" i="106"/>
  <c r="D5752" i="106" s="1"/>
  <c r="B5599" i="106"/>
  <c r="D5599" i="106" s="1"/>
  <c r="K274" i="5"/>
  <c r="H173" i="5"/>
  <c r="B5906" i="106" s="1"/>
  <c r="D5906" i="106" s="1"/>
  <c r="D109" i="5"/>
  <c r="B5356" i="106" s="1"/>
  <c r="D5356" i="106" s="1"/>
  <c r="F106" i="34"/>
  <c r="D7" i="7"/>
  <c r="B1763" i="106" s="1"/>
  <c r="D1763" i="106" s="1"/>
  <c r="H6" i="4"/>
  <c r="B2656" i="106" s="1"/>
  <c r="D2656" i="106" s="1"/>
  <c r="D17" i="7"/>
  <c r="B4104" i="106" s="1"/>
  <c r="D4104" i="106" s="1"/>
  <c r="D12" i="7"/>
  <c r="B1769" i="106" s="1"/>
  <c r="D1769" i="106" s="1"/>
  <c r="D11" i="7"/>
  <c r="B1768" i="106" s="1"/>
  <c r="D1768" i="106" s="1"/>
  <c r="D15" i="7" l="1"/>
  <c r="B1772" i="106" s="1"/>
  <c r="D1772" i="106" s="1"/>
  <c r="H109" i="5"/>
  <c r="F130" i="34"/>
  <c r="F136" i="34"/>
  <c r="D9" i="7"/>
  <c r="B1767" i="106" s="1"/>
  <c r="D1767" i="106" s="1"/>
  <c r="D5" i="7"/>
  <c r="B1761" i="106" s="1"/>
  <c r="D1761" i="106" s="1"/>
  <c r="K28" i="118"/>
  <c r="O27" i="118" s="1"/>
  <c r="O29" i="118" s="1"/>
  <c r="G5" i="4"/>
  <c r="B3409" i="106" s="1"/>
  <c r="D3409" i="106" s="1"/>
  <c r="I173" i="5"/>
  <c r="B4216" i="106" s="1"/>
  <c r="D4216" i="106" s="1"/>
  <c r="L342" i="29"/>
  <c r="L312" i="29"/>
  <c r="B7235" i="106"/>
  <c r="D7235" i="106" s="1"/>
  <c r="B7041" i="106"/>
  <c r="D7041" i="106" s="1"/>
  <c r="K350" i="29"/>
  <c r="H367" i="29"/>
  <c r="K76" i="4"/>
  <c r="B3586" i="106" s="1"/>
  <c r="D3586" i="106" s="1"/>
  <c r="K285" i="29"/>
  <c r="K24" i="12"/>
  <c r="B3649" i="106"/>
  <c r="D3649" i="106" s="1"/>
  <c r="G367" i="29"/>
  <c r="B3621" i="106"/>
  <c r="D3621" i="106" s="1"/>
  <c r="C367" i="29"/>
  <c r="L13" i="11"/>
  <c r="B2060" i="106" s="1"/>
  <c r="D2060" i="106" s="1"/>
  <c r="D69" i="36"/>
  <c r="G14" i="4"/>
  <c r="B2609" i="106" s="1"/>
  <c r="D2609" i="106" s="1"/>
  <c r="F72" i="34"/>
  <c r="B1410" i="106"/>
  <c r="D1410" i="106" s="1"/>
  <c r="G109" i="5"/>
  <c r="F111" i="34"/>
  <c r="B1329" i="106"/>
  <c r="D1329" i="106" s="1"/>
  <c r="F61" i="34"/>
  <c r="B1746" i="106"/>
  <c r="D1746" i="106" s="1"/>
  <c r="F28" i="108"/>
  <c r="E28" i="108"/>
  <c r="D4" i="4"/>
  <c r="B2564" i="106" s="1"/>
  <c r="D2564" i="106" s="1"/>
  <c r="F27" i="108"/>
  <c r="F38" i="34"/>
  <c r="C172" i="5"/>
  <c r="B5214" i="106" s="1"/>
  <c r="D5214" i="106" s="1"/>
  <c r="C109" i="5"/>
  <c r="B5121" i="106" s="1"/>
  <c r="D5121" i="106" s="1"/>
  <c r="B5066" i="106"/>
  <c r="D5066" i="106" s="1"/>
  <c r="B4268" i="106"/>
  <c r="D42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F274" i="5" l="1"/>
  <c r="C4" i="4"/>
  <c r="B2551" i="106" s="1"/>
  <c r="D2551" i="106" s="1"/>
  <c r="B7733" i="106"/>
  <c r="D7733" i="106" s="1"/>
  <c r="K26" i="12"/>
  <c r="B7743" i="106" s="1"/>
  <c r="D7743" i="106" s="1"/>
  <c r="B3670" i="106"/>
  <c r="D3670" i="106" s="1"/>
  <c r="K352" i="29"/>
  <c r="B6025" i="106"/>
  <c r="D6025" i="106" s="1"/>
  <c r="H4" i="4"/>
  <c r="F275" i="5"/>
  <c r="F73" i="34"/>
  <c r="G15" i="4"/>
  <c r="B6032" i="106" s="1"/>
  <c r="D6032" i="106" s="1"/>
  <c r="L114" i="29"/>
  <c r="L16" i="11"/>
  <c r="B2061" i="106" s="1"/>
  <c r="D2061" i="106" s="1"/>
  <c r="B6024" i="106"/>
  <c r="D6024" i="106" s="1"/>
  <c r="G4" i="4"/>
  <c r="B2603" i="106" s="1"/>
  <c r="D2603" i="106" s="1"/>
  <c r="F41" i="108"/>
  <c r="G43" i="108" s="1"/>
  <c r="D44" i="36"/>
  <c r="C114" i="29"/>
  <c r="B757" i="106" s="1"/>
  <c r="D757" i="106" s="1"/>
  <c r="C173" i="5"/>
  <c r="B5223" i="106" s="1"/>
  <c r="D5223"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2655" i="106" l="1"/>
  <c r="D2655" i="106" s="1"/>
  <c r="H8" i="4"/>
  <c r="K13" i="4"/>
  <c r="B3572" i="106" s="1"/>
  <c r="D3572" i="106" s="1"/>
  <c r="B3672" i="106"/>
  <c r="D3672" i="106" s="1"/>
  <c r="K367" i="29"/>
  <c r="B1145" i="106"/>
  <c r="D1145"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<sst xmlns="http://schemas.openxmlformats.org/spreadsheetml/2006/main" count="5049" uniqueCount="2109">
  <si>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</si>
  <si>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</si>
  <si>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</si>
  <si>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</si>
  <si>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</si>
  <si>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</si>
  <si>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</si>
  <si>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</si>
  <si>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</si>
  <si>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</si>
  <si>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</si>
  <si>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</si>
  <si>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</si>
  <si>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</si>
  <si>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</si>
  <si>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</si>
  <si>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</si>
  <si>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</si>
  <si>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</si>
  <si>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</si>
  <si>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</si>
  <si>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</si>
  <si>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</si>
  <si>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</si>
  <si>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</si>
  <si>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</si>
  <si>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</si>
  <si>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</si>
  <si>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</si>
  <si>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</si>
  <si>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</si>
  <si>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</si>
  <si>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</si>
  <si>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</si>
  <si>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</si>
  <si>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</si>
  <si>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</si>
  <si>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</si>
  <si>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</si>
  <si>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</si>
  <si>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</si>
  <si>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</si>
  <si>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</si>
  <si>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</si>
  <si>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</si>
  <si>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</si>
  <si>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</si>
  <si>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</si>
  <si>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</si>
  <si>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</si>
  <si>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</si>
  <si>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</si>
  <si>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</si>
  <si>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</si>
  <si>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</si>
  <si>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</si>
  <si>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</si>
  <si>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</si>
  <si>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</si>
  <si>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</si>
  <si>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</si>
  <si>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</si>
  <si>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</si>
  <si>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</si>
  <si>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</si>
  <si>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</si>
  <si>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</si>
  <si>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</si>
  <si>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</si>
  <si>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</si>
  <si>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</si>
  <si>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</si>
  <si>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</si>
  <si>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</si>
  <si>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</si>
  <si>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</si>
  <si>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</si>
  <si>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</si>
  <si>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</si>
  <si>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</si>
  <si>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</si>
  <si>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</si>
  <si>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</si>
  <si>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</si>
  <si>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</si>
  <si>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</si>
  <si>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</si>
  <si>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</si>
  <si>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</si>
  <si>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</si>
  <si>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</si>
  <si>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</si>
  <si>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</si>
  <si>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</si>
  <si>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</si>
  <si>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</si>
  <si>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</si>
  <si>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</si>
  <si>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</si>
  <si>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</si>
  <si>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</si>
  <si>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</si>
  <si>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</si>
  <si>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</si>
  <si>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</si>
  <si>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</si>
  <si>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</si>
  <si>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</si>
  <si>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</si>
  <si>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</si>
  <si>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</si>
  <si>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</si>
  <si>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</si>
  <si>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</si>
  <si>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</si>
  <si>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</si>
  <si>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</si>
  <si>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</si>
  <si>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</si>
  <si>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</si>
  <si>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</si>
  <si>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</si>
  <si>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</si>
  <si>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</si>
  <si>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</si>
  <si>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</si>
  <si>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</si>
  <si>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</si>
  <si>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</si>
  <si>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</si>
  <si>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</si>
  <si>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</si>
  <si>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</si>
  <si>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</si>
  <si>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</si>
  <si>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</si>
  <si>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</si>
  <si>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</si>
  <si>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</si>
  <si>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</si>
  <si>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</si>
  <si>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</si>
  <si>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</si>
  <si>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</si>
  <si>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</si>
  <si>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</si>
  <si>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</si>
  <si>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</si>
  <si>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</si>
  <si>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</si>
  <si>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</si>
  <si>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</si>
  <si>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</si>
  <si>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</si>
  <si>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</si>
  <si>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</si>
  <si>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</si>
  <si>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</si>
  <si>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</si>
  <si>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</si>
  <si>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</si>
  <si>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</si>
  <si>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</si>
  <si>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</si>
  <si>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</si>
  <si>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</si>
  <si>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</si>
  <si>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</si>
  <si>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</si>
  <si>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</si>
  <si>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</si>
  <si>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</si>
  <si>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</si>
  <si>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</si>
  <si>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</si>
  <si>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</si>
  <si>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</si>
  <si>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</si>
  <si>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</si>
  <si>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</si>
  <si>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</si>
  <si>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</si>
  <si>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</si>
  <si>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</si>
  <si>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</si>
  <si>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</si>
  <si>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</si>
  <si>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</si>
  <si>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</si>
  <si>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</si>
  <si>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</si>
  <si>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</si>
  <si>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</si>
  <si>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</si>
  <si>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</si>
  <si>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</si>
  <si>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</si>
  <si>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</si>
  <si>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</si>
  <si>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</si>
  <si>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</si>
  <si>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</si>
  <si>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</si>
  <si>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</si>
  <si>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</si>
  <si>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</si>
  <si>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</si>
  <si>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</si>
  <si>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</si>
  <si>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</si>
  <si>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</si>
  <si>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</si>
  <si>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</si>
  <si>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</si>
  <si>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</si>
  <si>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</si>
  <si>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</si>
  <si>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</si>
  <si>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</si>
  <si>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</si>
  <si>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</si>
  <si>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</si>
  <si>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</si>
  <si>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</si>
  <si>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</si>
  <si>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</si>
  <si>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</si>
  <si>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</si>
  <si>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</si>
  <si>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</si>
  <si>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</si>
  <si>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</si>
  <si>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</si>
  <si>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</si>
  <si>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</si>
  <si>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</si>
  <si>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</si>
  <si>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</si>
  <si>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</si>
  <si>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</si>
  <si>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</si>
  <si>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</si>
  <si>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</si>
  <si>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</si>
  <si>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</si>
  <si>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</si>
  <si>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</si>
  <si>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</si>
  <si>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</si>
  <si>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</si>
  <si>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</si>
  <si>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</si>
  <si>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</si>
  <si>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</si>
  <si>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</si>
  <si>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</si>
  <si>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</si>
  <si>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</si>
  <si>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</si>
  <si>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</si>
  <si>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</si>
  <si>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</si>
  <si>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</si>
  <si>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</si>
  <si>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</si>
  <si>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</si>
  <si>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</si>
  <si>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</si>
  <si>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</si>
  <si>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</si>
  <si>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</si>
  <si>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</si>
  <si>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</si>
  <si>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</si>
  <si>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</si>
  <si>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</si>
  <si>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</si>
  <si>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</si>
  <si>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</si>
  <si>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</si>
  <si>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</si>
  <si>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</si>
  <si>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</si>
  <si>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</si>
  <si>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</si>
  <si>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</si>
  <si>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</si>
  <si>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</si>
  <si>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</si>
  <si>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</si>
  <si>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</si>
  <si>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</si>
  <si>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</si>
  <si>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</si>
  <si>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</si>
  <si>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</si>
  <si>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</si>
  <si>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</si>
  <si>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</si>
  <si>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</si>
  <si>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</si>
  <si>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</si>
  <si>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</si>
  <si>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</si>
  <si>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</si>
  <si>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</si>
  <si>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</si>
  <si>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</si>
  <si>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</si>
  <si>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</si>
  <si>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</si>
  <si>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</si>
  <si>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</si>
  <si>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</si>
  <si>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</si>
  <si>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</si>
  <si>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</si>
  <si>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</si>
  <si>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</si>
  <si>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</si>
  <si>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</si>
  <si>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</si>
  <si>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</si>
  <si>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</si>
  <si>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</si>
  <si>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</si>
  <si>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</si>
  <si>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</si>
  <si>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</si>
  <si>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</si>
  <si>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</si>
  <si>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</si>
  <si>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</si>
  <si>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</si>
  <si>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</si>
  <si>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</si>
  <si>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</si>
  <si>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</si>
  <si>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</si>
  <si>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</si>
  <si>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</si>
  <si>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</si>
  <si>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</si>
  <si>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</si>
  <si>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</si>
  <si>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</si>
  <si>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</si>
  <si>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</si>
  <si>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</si>
  <si>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</si>
  <si>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</si>
  <si>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</si>
  <si>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</si>
  <si>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</si>
  <si>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</si>
  <si>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</si>
  <si>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</si>
  <si>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</si>
  <si>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</si>
  <si>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</si>
  <si>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</si>
  <si>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</si>
  <si>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</si>
  <si>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</si>
  <si>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</si>
  <si>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</si>
  <si>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</si>
  <si>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</si>
  <si>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</si>
  <si>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</si>
  <si>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</si>
  <si>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</si>
  <si>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</si>
  <si>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</si>
  <si>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</si>
  <si>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</si>
  <si>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</si>
  <si>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</si>
  <si>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</si>
  <si>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</si>
  <si>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</si>
  <si>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</si>
  <si>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</si>
  <si>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</si>
  <si>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</si>
  <si>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</si>
  <si>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</si>
  <si>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</si>
  <si>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</si>
  <si>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</si>
  <si>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</si>
  <si>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</si>
  <si>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</si>
  <si>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</si>
  <si>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</si>
  <si>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</si>
  <si>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</si>
  <si>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</si>
  <si>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</si>
  <si>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</si>
  <si>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</si>
  <si>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</si>
  <si>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</si>
  <si>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</si>
  <si>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</si>
  <si>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</si>
  <si>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</si>
  <si>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</si>
  <si>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</si>
  <si>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</si>
  <si>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</si>
  <si>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</si>
  <si>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</si>
  <si>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</si>
  <si>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</si>
  <si>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</si>
  <si>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</si>
  <si>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</si>
  <si>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</si>
  <si>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</si>
  <si>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</si>
  <si>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</si>
  <si>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</si>
  <si>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</si>
  <si>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</si>
  <si>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</si>
  <si>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</si>
  <si>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</si>
  <si>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</si>
  <si>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</si>
  <si>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</si>
  <si>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</si>
  <si>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</si>
  <si>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</si>
  <si>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</si>
  <si>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</si>
  <si>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</si>
  <si>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</si>
  <si>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</si>
  <si>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</si>
  <si>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</si>
  <si>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</si>
  <si>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</si>
  <si>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</si>
  <si>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</si>
  <si>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</si>
  <si>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</si>
  <si>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</si>
  <si>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</si>
  <si>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</si>
  <si>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</si>
  <si>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</si>
  <si>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</si>
  <si>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</si>
  <si>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</si>
  <si>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</si>
  <si>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</si>
  <si>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</si>
  <si>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</si>
  <si>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</si>
  <si>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</si>
  <si>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</si>
  <si>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</si>
  <si>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</si>
  <si>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</si>
  <si>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</si>
  <si>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</si>
  <si>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</si>
  <si>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</si>
  <si>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</si>
  <si>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</si>
  <si>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</si>
  <si>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</si>
  <si>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</si>
  <si>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</si>
  <si>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</si>
  <si>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</si>
  <si>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</si>
  <si>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</si>
  <si>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</si>
  <si>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</si>
  <si>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</si>
  <si>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</si>
  <si>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</si>
  <si>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</si>
  <si>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</si>
  <si>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</si>
  <si>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</si>
  <si>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</si>
  <si>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</si>
  <si>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</si>
  <si>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</si>
  <si>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</si>
  <si>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</si>
  <si>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</si>
  <si>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</si>
  <si>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</si>
  <si>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</si>
  <si>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</si>
  <si>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</si>
  <si>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</si>
  <si>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</si>
  <si>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</si>
  <si>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</si>
  <si>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</si>
  <si>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</si>
  <si>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</si>
  <si>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</si>
  <si>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</si>
  <si>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</si>
  <si>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</si>
  <si>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</si>
  <si>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</si>
  <si>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</si>
  <si>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</si>
  <si>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</si>
  <si>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</si>
  <si>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</si>
  <si>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</si>
  <si>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</si>
  <si>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</si>
  <si>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</si>
  <si>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</si>
  <si>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</si>
  <si>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</si>
  <si>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</si>
  <si>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</si>
  <si>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</si>
  <si>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</si>
  <si>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</si>
  <si>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</si>
  <si>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</si>
  <si>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</si>
  <si>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</si>
  <si>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</si>
  <si>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</si>
  <si>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</si>
  <si>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</si>
  <si>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</si>
  <si>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</si>
  <si>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</si>
  <si>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</si>
  <si>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</si>
  <si>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</si>
  <si>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</si>
  <si>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</si>
  <si>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</si>
  <si>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</si>
  <si>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</si>
  <si>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</si>
  <si>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</si>
  <si>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</si>
  <si>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</si>
  <si>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</si>
  <si>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</si>
  <si>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</si>
  <si>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</si>
  <si>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</si>
  <si>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</si>
  <si>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</si>
  <si>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</si>
  <si>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</si>
  <si>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</si>
  <si>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</si>
  <si>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</si>
  <si>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</si>
  <si>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</si>
  <si>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</si>
  <si>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</si>
  <si>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</si>
  <si>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</si>
  <si>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</si>
  <si>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</si>
  <si>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</si>
  <si>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</si>
  <si>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</si>
  <si>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</si>
  <si>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</si>
  <si>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</si>
  <si>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</si>
  <si>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</si>
  <si>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</si>
  <si>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</si>
  <si>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</si>
  <si>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</si>
  <si>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</si>
  <si>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</si>
  <si>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</si>
  <si>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</si>
  <si>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</si>
  <si>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</si>
  <si>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</si>
  <si>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</si>
  <si>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</si>
  <si>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</si>
  <si>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</si>
  <si>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</si>
  <si>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</si>
  <si>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</si>
  <si>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</si>
  <si>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</si>
  <si>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</si>
  <si>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</si>
  <si>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</si>
  <si>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</si>
  <si>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</si>
  <si>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</si>
  <si>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</si>
  <si>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</si>
  <si>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</si>
  <si>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</si>
  <si>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</si>
  <si>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</si>
  <si>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</si>
  <si>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</si>
  <si>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</si>
  <si>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</si>
  <si>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</si>
  <si>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</si>
  <si>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</si>
  <si>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</si>
  <si>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</si>
  <si>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</si>
  <si>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</si>
  <si>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</si>
  <si>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</si>
  <si>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</si>
  <si>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</si>
  <si>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</si>
  <si>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</si>
  <si>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</si>
  <si>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</si>
  <si>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</si>
  <si>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</si>
  <si>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</si>
  <si>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</si>
  <si>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</si>
  <si>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</si>
  <si>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</si>
  <si>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</si>
  <si>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</si>
  <si>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</si>
  <si>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</si>
  <si>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</si>
  <si>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</si>
  <si>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</si>
  <si>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</si>
  <si>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</si>
  <si>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</si>
  <si>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</si>
  <si>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</si>
  <si>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</si>
  <si>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</si>
  <si>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</si>
  <si>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</si>
  <si>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</si>
  <si>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</si>
  <si>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</si>
  <si>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</si>
  <si>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</si>
  <si>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</si>
  <si>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</si>
  <si>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</si>
  <si>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</si>
  <si>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</si>
  <si>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</si>
  <si>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</si>
  <si>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</si>
  <si>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</si>
  <si>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</si>
  <si>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</si>
  <si>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</si>
  <si>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</si>
  <si>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</si>
  <si>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</si>
  <si>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</si>
  <si>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</si>
  <si>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</si>
  <si>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</si>
  <si>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</si>
  <si>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</si>
  <si>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</si>
  <si>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</si>
  <si>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</si>
  <si>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</si>
  <si>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</si>
  <si>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</si>
  <si>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</si>
  <si>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</si>
  <si>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</si>
  <si>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</si>
  <si>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</si>
  <si>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</si>
  <si>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</si>
  <si>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</si>
  <si>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</si>
  <si>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</si>
  <si>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</si>
  <si>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</si>
  <si>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</si>
  <si>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</si>
  <si>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</si>
  <si>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</si>
  <si>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</si>
  <si>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</si>
  <si>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</si>
  <si>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</si>
  <si>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</si>
  <si>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</si>
  <si>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</si>
  <si>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</si>
  <si>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</si>
  <si>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</si>
  <si>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</si>
  <si>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</si>
  <si>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</si>
  <si>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</si>
  <si>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</si>
  <si>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</si>
  <si>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</si>
  <si>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</si>
  <si>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</si>
  <si>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</si>
  <si>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</si>
  <si>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</si>
  <si>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</si>
  <si>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</si>
  <si>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</si>
  <si>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</si>
  <si>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</si>
  <si>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</si>
  <si>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</si>
  <si>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</si>
  <si>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</si>
  <si>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</si>
  <si>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</si>
  <si>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</si>
  <si>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</si>
  <si>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</si>
  <si>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</si>
  <si>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</si>
  <si>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</si>
  <si>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</si>
  <si>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</si>
  <si>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</si>
  <si>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</si>
  <si>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</si>
  <si>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</si>
  <si>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</si>
  <si>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</si>
  <si>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</si>
  <si>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</si>
  <si>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</si>
  <si>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</si>
  <si>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</si>
  <si>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</si>
  <si>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</si>
  <si>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</si>
  <si>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</si>
  <si>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</si>
  <si>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</si>
  <si>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</si>
  <si>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</si>
  <si>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</si>
  <si>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</si>
  <si>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</si>
  <si>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</si>
  <si>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</si>
  <si>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</si>
  <si>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</si>
  <si>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</si>
  <si>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</si>
  <si>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</si>
  <si>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</si>
  <si>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</si>
  <si>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</si>
  <si>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</si>
  <si>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</si>
  <si>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</si>
  <si>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</si>
  <si>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</si>
  <si>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</si>
  <si>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</si>
  <si>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</si>
  <si>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</si>
  <si>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</si>
  <si>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</si>
  <si>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</si>
  <si>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</si>
  <si>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</si>
  <si>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</si>
  <si>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</si>
  <si>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</si>
  <si>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</si>
  <si>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</si>
  <si>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</si>
  <si>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</si>
  <si>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</si>
  <si>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</si>
  <si>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</si>
  <si>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</si>
  <si>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</si>
  <si>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</si>
  <si>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</si>
  <si>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</si>
  <si>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</si>
  <si>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</si>
  <si>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</si>
  <si>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</si>
  <si>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</si>
  <si>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</si>
  <si>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</si>
  <si>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</si>
  <si>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</si>
  <si>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</si>
  <si>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</si>
  <si>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</si>
  <si>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</si>
  <si>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</si>
  <si>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</si>
  <si>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</si>
  <si>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</si>
  <si>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</si>
  <si>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</si>
  <si>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</si>
  <si>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</si>
  <si>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</si>
  <si>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</si>
  <si>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</si>
  <si>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</si>
  <si>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</si>
  <si>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</si>
  <si>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</si>
  <si>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</si>
  <si>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</si>
  <si>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</si>
  <si>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</si>
  <si>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</si>
  <si>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</si>
  <si>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</si>
  <si>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</si>
  <si>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</si>
  <si>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</si>
  <si>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</si>
  <si>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</si>
  <si>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</si>
  <si>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</si>
  <si>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</si>
  <si>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</si>
  <si>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</si>
  <si>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</si>
  <si>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</si>
  <si>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</si>
  <si>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</si>
  <si>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</si>
  <si>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</si>
  <si>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</si>
  <si>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</si>
  <si>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</si>
  <si>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</si>
  <si>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</si>
  <si>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</si>
  <si>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</si>
  <si>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</si>
  <si>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</si>
  <si>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</si>
  <si>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</si>
  <si>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</si>
  <si>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</si>
  <si>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</si>
  <si>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</si>
  <si>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</si>
  <si>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</si>
  <si>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</si>
  <si>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</si>
  <si>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</si>
  <si>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</si>
  <si>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</si>
  <si>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</si>
  <si>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</si>
  <si>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</si>
  <si>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</si>
  <si>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</si>
  <si>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</si>
  <si>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</si>
  <si>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</si>
  <si>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</si>
  <si>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</si>
  <si>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</si>
  <si>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</si>
  <si>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</si>
  <si>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</si>
  <si>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</si>
  <si>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</si>
  <si>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</si>
  <si>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</si>
  <si>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</si>
  <si>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</si>
  <si>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</si>
  <si>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</si>
  <si>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</si>
  <si>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</si>
  <si>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</si>
  <si>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</si>
  <si>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</si>
  <si>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</si>
  <si>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</si>
  <si>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</si>
  <si>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</si>
  <si>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</si>
  <si>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</si>
  <si>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</si>
  <si>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</si>
  <si>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</si>
  <si>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</si>
  <si>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</si>
  <si>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</si>
  <si>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</si>
  <si>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</si>
  <si>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</si>
  <si>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</si>
  <si>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</si>
  <si>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</si>
  <si>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</si>
  <si>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</si>
  <si>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</si>
  <si>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</si>
  <si>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</si>
  <si>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</si>
  <si>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</si>
  <si>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</si>
  <si>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</si>
  <si>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</si>
  <si>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</si>
  <si>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</si>
  <si>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</si>
  <si>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</si>
  <si>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</si>
  <si>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</si>
  <si>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</si>
  <si>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</si>
  <si>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</si>
  <si>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</si>
  <si>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</si>
  <si>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</si>
  <si>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</si>
  <si>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</si>
  <si>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</si>
  <si>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</si>
  <si>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</si>
  <si>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</si>
  <si>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</si>
  <si>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</si>
  <si>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</si>
  <si>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</si>
  <si>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</si>
  <si>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</si>
  <si>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</si>
  <si>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</si>
  <si>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</si>
  <si>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</si>
  <si>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</si>
  <si>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</si>
  <si>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</si>
  <si>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</si>
  <si>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</si>
  <si>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</si>
  <si>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</si>
  <si>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</si>
  <si>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</si>
  <si>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</si>
  <si>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</si>
  <si>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</si>
  <si>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</si>
  <si>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</si>
  <si>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</si>
  <si>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</si>
  <si>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</si>
  <si>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</si>
  <si>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</si>
  <si>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</si>
  <si>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</si>
  <si>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</si>
  <si>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</si>
  <si>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</si>
  <si>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</si>
  <si>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</si>
  <si>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</si>
  <si>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</si>
  <si>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</si>
  <si>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</si>
  <si>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</si>
  <si>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</si>
  <si>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</si>
  <si>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</si>
  <si>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</si>
  <si>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</si>
  <si>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</si>
  <si>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</si>
  <si>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</si>
  <si>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</si>
  <si>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</si>
  <si>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</si>
  <si>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</si>
  <si>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</si>
  <si>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</si>
  <si>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</si>
  <si>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</si>
  <si>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</si>
  <si>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</si>
  <si>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</si>
  <si>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</si>
  <si>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</si>
  <si>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</si>
  <si>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</si>
  <si>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</si>
  <si>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</si>
  <si>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</si>
  <si>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</si>
  <si>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</si>
  <si>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</si>
  <si>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</si>
  <si>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</si>
  <si>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</si>
  <si>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</si>
  <si>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</si>
  <si>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</si>
  <si>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</si>
  <si>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</si>
  <si>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</si>
  <si>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</si>
  <si>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</si>
  <si>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</si>
  <si>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</si>
  <si>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</si>
  <si>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</si>
  <si>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</si>
  <si>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</si>
  <si>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</si>
  <si>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</si>
  <si>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</si>
  <si>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</si>
  <si>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</si>
  <si>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</si>
  <si>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</si>
  <si>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</si>
  <si>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</si>
  <si>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</si>
  <si>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</si>
  <si>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</si>
  <si>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</si>
  <si>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</si>
  <si>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</si>
  <si>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</si>
  <si>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</si>
  <si>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</si>
  <si>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</si>
  <si>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</si>
  <si>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</si>
  <si>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</si>
  <si>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</si>
  <si>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</si>
  <si>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</si>
  <si>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</si>
  <si>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</si>
  <si>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</si>
  <si>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</si>
  <si>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</si>
  <si>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</si>
  <si>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</si>
  <si>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</si>
  <si>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</si>
  <si>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</si>
  <si>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</si>
  <si>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</si>
  <si>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</si>
  <si>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</si>
  <si>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</si>
  <si>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</si>
  <si>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</si>
  <si>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</si>
  <si>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</si>
  <si>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</si>
  <si>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</si>
  <si>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</si>
  <si>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</si>
  <si>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</si>
  <si>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</si>
  <si>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</si>
  <si>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</si>
  <si>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</si>
  <si>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</si>
  <si>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</si>
  <si>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</si>
  <si>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</si>
  <si>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</si>
  <si>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</si>
  <si>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</si>
  <si>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</si>
  <si>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</si>
  <si>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</si>
  <si>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</si>
  <si>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</si>
  <si>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</si>
  <si>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</si>
  <si>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</si>
  <si>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</si>
  <si>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</si>
  <si>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</si>
  <si>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</si>
  <si>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</si>
  <si>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</si>
  <si>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</si>
  <si>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</si>
  <si>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</si>
  <si>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</si>
  <si>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</si>
  <si>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</si>
  <si>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</si>
  <si>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</si>
  <si>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</si>
  <si>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</si>
  <si>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</si>
  <si>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</si>
  <si>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</si>
  <si>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</si>
  <si>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</si>
  <si>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</si>
  <si>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</si>
  <si>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</si>
  <si>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</si>
  <si>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</si>
  <si>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</si>
  <si>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</si>
  <si>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</si>
  <si>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</si>
  <si>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</si>
  <si>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</si>
  <si>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</si>
  <si>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</si>
  <si>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</si>
  <si>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</si>
  <si>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</si>
  <si>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</si>
  <si>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</si>
  <si>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</si>
  <si>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</si>
  <si>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</si>
  <si>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</si>
  <si>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</si>
  <si>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</si>
  <si>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</si>
  <si>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</si>
  <si>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</si>
  <si>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</si>
  <si>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</si>
  <si>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</si>
  <si>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</si>
  <si>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</si>
  <si>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</si>
  <si>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</si>
  <si>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</si>
  <si>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</si>
  <si>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</si>
  <si>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</si>
  <si>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</si>
  <si>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</si>
  <si>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</si>
  <si>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</si>
  <si>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</si>
  <si>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</si>
  <si>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</si>
  <si>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</si>
  <si>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</si>
  <si>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</si>
  <si>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</si>
  <si>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</si>
  <si>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</si>
  <si>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</si>
  <si>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</si>
  <si>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</si>
  <si>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</si>
  <si>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</si>
  <si>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</si>
  <si>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</si>
  <si>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</si>
  <si>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</si>
  <si>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</si>
  <si>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</si>
  <si>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</si>
  <si>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</si>
  <si>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</si>
  <si>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</si>
  <si>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</si>
  <si>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</si>
  <si>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</si>
  <si>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</si>
  <si>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</si>
  <si>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</si>
  <si>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</si>
  <si>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</si>
  <si>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</si>
  <si>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</si>
  <si>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</si>
  <si>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</si>
  <si>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</si>
  <si>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</si>
  <si>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</si>
  <si>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</si>
  <si>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</si>
  <si>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</si>
  <si>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</si>
  <si>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</si>
  <si>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</si>
  <si>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</si>
  <si>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</si>
  <si>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</si>
  <si>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</si>
  <si>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</si>
  <si>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</si>
  <si>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</si>
  <si>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</si>
  <si>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</si>
  <si>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</si>
  <si>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</si>
  <si>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</si>
  <si>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</si>
  <si>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</si>
  <si>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</si>
  <si>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</si>
  <si>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</si>
  <si>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</si>
  <si>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</si>
  <si>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</si>
  <si>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</si>
  <si>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</si>
  <si>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</si>
  <si>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</si>
  <si>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</si>
  <si>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</si>
  <si>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</si>
  <si>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</si>
  <si>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</si>
  <si>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</si>
  <si>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</si>
  <si>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</si>
  <si>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</si>
  <si>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</si>
  <si>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</si>
  <si>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</si>
  <si>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</si>
  <si>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</si>
  <si>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</si>
  <si>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</si>
  <si>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</si>
  <si>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</si>
  <si>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</si>
  <si>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</si>
  <si>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</si>
  <si>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</si>
  <si>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</si>
  <si>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</si>
  <si>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</si>
  <si>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</si>
  <si>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</si>
  <si>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</si>
  <si>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</si>
  <si>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</si>
  <si>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</si>
  <si>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</si>
  <si>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</si>
  <si>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</si>
  <si>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</si>
  <si>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</si>
  <si>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</si>
  <si>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</si>
  <si>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</si>
  <si>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</si>
  <si>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</si>
  <si>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</si>
  <si>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</si>
  <si>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</si>
  <si>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</si>
  <si>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</si>
  <si>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</si>
  <si>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</si>
  <si>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</si>
  <si>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</si>
  <si>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</si>
  <si>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</si>
  <si>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</si>
  <si>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</si>
  <si>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</si>
  <si>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</si>
  <si>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</si>
  <si>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</si>
  <si>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</si>
  <si>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</si>
  <si>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</si>
  <si>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</si>
  <si>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</si>
  <si>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</si>
  <si>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</si>
  <si>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</si>
  <si>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</si>
  <si>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</si>
  <si>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</si>
  <si>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</si>
  <si>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</si>
  <si>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</si>
  <si>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</si>
  <si>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</si>
  <si>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</si>
  <si>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</si>
  <si>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</si>
  <si>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</si>
  <si>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</si>
  <si>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</si>
  <si>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</si>
  <si>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</si>
  <si>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</si>
  <si>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</si>
  <si>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</si>
  <si>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</si>
  <si>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</si>
  <si>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</si>
  <si>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</si>
  <si>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</si>
  <si>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</si>
  <si>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</si>
  <si>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</si>
  <si>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</si>
  <si>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</si>
  <si>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</si>
  <si>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</si>
  <si>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</si>
  <si>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</si>
  <si>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</si>
  <si>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</si>
  <si>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</si>
  <si>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</si>
  <si>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</si>
  <si>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</si>
  <si>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</si>
  <si>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</si>
  <si>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</si>
  <si>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</si>
  <si>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</si>
  <si>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</si>
  <si>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</si>
  <si>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</si>
  <si>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</si>
  <si>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</si>
  <si>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</si>
  <si>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</si>
  <si>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</si>
  <si>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</si>
  <si>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</si>
  <si>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</si>
  <si>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</si>
  <si>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</si>
  <si>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</si>
  <si>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</si>
  <si>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</si>
  <si>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</si>
  <si>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</si>
  <si>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</si>
  <si>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</si>
  <si>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</si>
  <si>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</si>
  <si>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</si>
  <si>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</si>
  <si>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</si>
  <si>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</si>
  <si>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</si>
  <si>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</si>
  <si>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</si>
  <si>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</si>
  <si>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</si>
  <si>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</si>
  <si>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</si>
  <si>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</si>
  <si>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</si>
  <si>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</si>
  <si>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</si>
  <si>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</si>
  <si>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</si>
  <si>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</si>
  <si>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</si>
  <si>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</si>
  <si>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</si>
  <si>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</si>
  <si>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</si>
  <si>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</si>
  <si>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</si>
  <si>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</si>
  <si>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</si>
  <si>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</si>
  <si>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</si>
  <si>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</si>
  <si>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</si>
  <si>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</si>
  <si>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</si>
  <si>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</si>
  <si>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</si>
  <si>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</si>
  <si>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</si>
  <si>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</si>
  <si>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</si>
  <si>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</si>
  <si>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</si>
  <si>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</si>
  <si>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</si>
  <si>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</si>
  <si>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</si>
  <si>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</si>
  <si>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</si>
  <si>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</si>
  <si>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</si>
  <si>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</si>
  <si>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</si>
  <si>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</si>
  <si>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</si>
  <si>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</si>
  <si>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</si>
  <si>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</si>
  <si>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</si>
  <si>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</si>
  <si>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</si>
  <si>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</si>
  <si>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</si>
  <si>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</si>
  <si>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</si>
  <si>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</si>
  <si>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</si>
  <si>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</si>
  <si>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</si>
  <si>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</si>
  <si>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</si>
  <si>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</si>
  <si>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</si>
  <si>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</si>
  <si>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</si>
  <si>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</si>
  <si>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</si>
  <si>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</si>
  <si>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</si>
  <si>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</si>
  <si>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</si>
  <si>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</si>
  <si>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</si>
  <si>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</si>
  <si>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</si>
  <si>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</si>
  <si>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</si>
  <si>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</si>
  <si>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</si>
  <si>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</si>
  <si>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</si>
  <si>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</si>
  <si>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</si>
  <si>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</si>
  <si>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</si>
  <si>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</si>
  <si>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</si>
  <si>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</si>
  <si>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</si>
  <si>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</si>
  <si>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</si>
  <si>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</si>
  <si>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</si>
  <si>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</si>
  <si>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</si>
  <si>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</si>
  <si>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</si>
  <si>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</si>
  <si>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</si>
  <si>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</si>
  <si>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</si>
  <si>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</si>
  <si>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</si>
  <si>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</si>
  <si>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</si>
  <si>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</si>
  <si>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</si>
  <si>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</si>
  <si>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</si>
  <si>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</si>
  <si>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</si>
  <si>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</si>
  <si>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</si>
  <si>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</si>
  <si>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</si>
  <si>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</si>
  <si>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</si>
  <si>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</si>
  <si>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</si>
  <si>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</si>
  <si>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</si>
  <si>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</si>
  <si>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</si>
  <si>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</si>
  <si>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</si>
  <si>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</si>
  <si>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</si>
  <si>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</si>
  <si>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</si>
  <si>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</si>
  <si>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</si>
  <si>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</si>
  <si>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</si>
  <si>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</si>
  <si>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</si>
  <si>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</si>
  <si>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</si>
  <si>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</si>
  <si>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</si>
  <si>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</si>
  <si>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</si>
  <si>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</si>
  <si>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</si>
  <si>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</si>
  <si>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</si>
  <si>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</si>
  <si>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</si>
  <si>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</si>
  <si>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</si>
  <si>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</si>
  <si>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</si>
  <si>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</si>
  <si>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</si>
  <si>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</si>
  <si>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</si>
  <si>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</si>
  <si>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</si>
  <si>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</si>
  <si>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</si>
  <si>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</si>
  <si>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</si>
  <si>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</si>
  <si>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</si>
  <si>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</si>
  <si>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</si>
  <si>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</si>
  <si>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</si>
  <si>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</si>
  <si>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</si>
  <si>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</si>
  <si>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</si>
  <si>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</si>
  <si>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</si>
  <si>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</si>
  <si>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</si>
  <si>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</si>
  <si>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</si>
  <si>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</si>
  <si>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</si>
  <si>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</si>
  <si>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</si>
  <si>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</si>
  <si>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</si>
  <si>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</si>
  <si>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</si>
  <si>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</si>
  <si>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</si>
  <si>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</si>
  <si>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</si>
  <si>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</si>
  <si>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</si>
  <si>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</si>
  <si>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</si>
  <si>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</si>
  <si>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</si>
  <si>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</si>
  <si>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</si>
  <si>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</si>
  <si>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</si>
  <si>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</si>
  <si>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</si>
  <si>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</si>
  <si>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</si>
  <si>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</si>
  <si>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</si>
  <si>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</si>
  <si>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</si>
  <si>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</si>
  <si>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</si>
  <si>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</si>
  <si>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</si>
  <si>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</si>
  <si>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</si>
  <si>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</si>
  <si>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</si>
  <si>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</si>
  <si>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</si>
  <si>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</si>
  <si>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</si>
  <si>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</si>
  <si>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</si>
  <si>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</si>
  <si>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</si>
  <si>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</si>
  <si>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</si>
  <si>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</si>
  <si>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</si>
  <si>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</si>
  <si>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</si>
  <si>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</si>
  <si>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</si>
  <si>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</si>
  <si>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</si>
  <si>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</si>
  <si>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</si>
  <si>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</si>
  <si>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</si>
  <si>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</si>
  <si>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</si>
  <si>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</si>
  <si>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</si>
  <si>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</si>
  <si>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</si>
  <si>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</si>
  <si>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</si>
  <si>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</si>
  <si>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</si>
  <si>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</si>
  <si>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</si>
  <si>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</si>
  <si>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</si>
  <si>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</si>
  <si>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</si>
  <si>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</si>
  <si>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</si>
  <si>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</si>
  <si>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</si>
  <si>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</si>
  <si>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</si>
  <si>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</si>
  <si>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</si>
  <si>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</si>
  <si>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</si>
  <si>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</si>
  <si>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</si>
  <si>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</si>
  <si>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</si>
  <si>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</si>
  <si>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</si>
  <si>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</si>
  <si>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</si>
  <si>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</si>
  <si>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</si>
  <si>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</si>
  <si>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</si>
  <si>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</si>
  <si>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</si>
  <si>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</si>
  <si>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</si>
  <si>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</si>
  <si>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</si>
  <si>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</si>
  <si>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</si>
  <si>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</si>
  <si>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</si>
  <si>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</si>
  <si>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</si>
  <si>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</si>
  <si>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</si>
  <si>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</si>
  <si>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</si>
  <si>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</si>
  <si>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</si>
  <si>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</si>
  <si>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</si>
  <si>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</si>
  <si>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</si>
  <si>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</si>
  <si>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</si>
  <si>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</si>
  <si>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</si>
  <si>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</si>
  <si>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</si>
  <si>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</si>
  <si>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</si>
  <si>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</si>
  <si>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</si>
  <si>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</si>
  <si>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</si>
  <si>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</si>
  <si>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</si>
  <si>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</si>
  <si>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</si>
  <si>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</si>
  <si>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</si>
  <si>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</si>
  <si>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</si>
  <si>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</si>
  <si>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</si>
  <si>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</si>
  <si>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</si>
  <si>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</si>
  <si>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</si>
  <si>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</si>
  <si>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</si>
  <si>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</si>
  <si>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</si>
  <si>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</si>
  <si>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</si>
  <si>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</si>
  <si>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</si>
  <si>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</si>
  <si>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</si>
  <si>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</si>
  <si>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</si>
  <si>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</si>
  <si>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</si>
  <si>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</si>
  <si>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</si>
  <si>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</si>
  <si>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</si>
  <si>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</si>
  <si>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</si>
  <si>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</si>
  <si>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</si>
  <si>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</si>
  <si>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</si>
  <si>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</si>
  <si>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</si>
  <si>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</si>
  <si>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</si>
  <si>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</si>
  <si>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</si>
  <si>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</si>
  <si>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</si>
  <si>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</si>
  <si>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</si>
  <si>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</si>
  <si>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</si>
  <si>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</si>
  <si>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</si>
  <si>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</si>
  <si>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</si>
  <si>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</si>
  <si>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</si>
  <si>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</si>
  <si>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</si>
  <si>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</si>
  <si>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</si>
  <si>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</si>
  <si>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</si>
  <si>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</si>
  <si>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</si>
  <si>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</si>
  <si>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</si>
  <si>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</si>
  <si>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</si>
  <si>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</si>
  <si>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</si>
  <si>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</si>
  <si>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</si>
  <si>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</si>
  <si>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</si>
  <si>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</si>
  <si>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</si>
  <si>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</si>
  <si>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</si>
  <si>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</si>
  <si>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</si>
  <si>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</si>
  <si>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</si>
  <si>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</si>
  <si>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</si>
  <si>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</si>
  <si>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</si>
  <si>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</si>
  <si>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</si>
  <si>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</si>
  <si>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</si>
  <si>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</si>
  <si>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</si>
  <si>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</si>
  <si>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</si>
  <si>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</si>
  <si>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</si>
  <si>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</si>
  <si>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</si>
  <si>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</si>
  <si>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</si>
  <si>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</si>
  <si>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</si>
  <si>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</si>
  <si>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</si>
  <si>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</si>
  <si>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</si>
  <si>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</si>
  <si>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</si>
  <si>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</si>
  <si>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</si>
  <si>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</si>
  <si>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</si>
  <si>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</si>
  <si>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</si>
  <si>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</si>
  <si>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</si>
  <si>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</si>
  <si>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</si>
  <si>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</si>
  <si>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</si>
  <si>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</si>
  <si>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</si>
  <si>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</si>
  <si>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</si>
  <si>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</si>
  <si>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</si>
  <si>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</si>
  <si>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</si>
  <si>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</si>
  <si>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</si>
  <si>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</si>
  <si>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</si>
  <si>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</si>
  <si>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</si>
  <si>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</si>
  <si>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</si>
  <si>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</si>
  <si>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</si>
  <si>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</si>
  <si>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</si>
  <si>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</si>
  <si>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</si>
  <si>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</si>
  <si>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</si>
  <si>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</si>
  <si>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</si>
  <si>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</si>
  <si>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</si>
  <si>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</si>
  <si>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</si>
  <si>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</si>
  <si>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</si>
  <si>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</si>
  <si>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</si>
  <si>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</si>
  <si>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</si>
  <si>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</si>
  <si>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</si>
  <si>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</si>
  <si>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</si>
  <si>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</si>
  <si>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</si>
  <si>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</si>
  <si>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</si>
  <si>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</si>
  <si>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</si>
  <si>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</si>
  <si>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</si>
  <si>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</si>
  <si>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</si>
  <si>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</si>
  <si>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</si>
  <si>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</si>
  <si>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</si>
  <si>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</si>
  <si>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</si>
  <si>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</si>
  <si>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</si>
  <si>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</si>
  <si>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</si>
  <si>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</si>
  <si>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</si>
  <si>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</si>
  <si>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</si>
  <si>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</si>
  <si>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</si>
  <si>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</si>
  <si>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</si>
  <si>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</si>
  <si>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</si>
  <si>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</si>
  <si>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</si>
  <si>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</si>
  <si>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</si>
  <si>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</si>
  <si>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</si>
  <si>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</si>
  <si>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</si>
  <si>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</si>
  <si>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</si>
  <si>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</si>
  <si>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</si>
  <si>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</si>
  <si>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</si>
  <si>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</si>
  <si>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</si>
  <si>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</si>
  <si>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</si>
  <si>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</si>
  <si>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</si>
  <si>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</si>
  <si>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</si>
  <si>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</si>
  <si>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</si>
  <si>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</si>
  <si>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</si>
  <si>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</si>
  <si>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</si>
  <si>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</si>
  <si>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</si>
  <si>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</si>
  <si>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</si>
  <si>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</si>
  <si>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</si>
  <si>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</si>
  <si>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</si>
  <si>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</si>
  <si>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</si>
  <si>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</si>
  <si>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</si>
  <si>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</si>
  <si>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</si>
  <si>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</si>
  <si>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</si>
  <si>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</si>
  <si>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</si>
  <si>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</si>
  <si>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</si>
  <si>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</si>
  <si>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</si>
  <si>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</si>
  <si>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</si>
  <si>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</si>
  <si>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</si>
  <si>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</si>
  <si>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</si>
  <si>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</si>
  <si>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</si>
  <si>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</si>
  <si>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</si>
  <si>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</si>
  <si>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</si>
  <si>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</si>
  <si>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</si>
  <si>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</si>
  <si>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</si>
  <si>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</si>
  <si>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</si>
  <si>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</si>
  <si>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</si>
  <si>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</si>
  <si>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</si>
  <si>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</si>
  <si>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</si>
  <si>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</si>
  <si>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</si>
  <si>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</si>
  <si>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</si>
  <si>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</si>
  <si>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</si>
  <si>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</si>
  <si>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</si>
  <si>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</si>
  <si>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</si>
  <si>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</si>
  <si>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</si>
  <si>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</si>
  <si>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</si>
  <si>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</si>
  <si>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</si>
  <si>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</si>
  <si>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</si>
  <si>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</si>
  <si>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</si>
  <si>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</si>
  <si>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</si>
  <si>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</si>
  <si>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</si>
  <si>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</si>
  <si>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</si>
  <si>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</si>
  <si>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</si>
  <si>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</si>
  <si>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</si>
  <si>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</si>
  <si>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</si>
  <si>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</si>
  <si>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</si>
  <si>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</si>
  <si>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</si>
  <si>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</si>
  <si>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</si>
  <si>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</si>
  <si>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</si>
  <si>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</si>
  <si>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</si>
  <si>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</si>
  <si>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</si>
  <si>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</si>
  <si>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</si>
  <si>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</si>
  <si>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</si>
  <si>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</si>
  <si>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</si>
  <si>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</si>
  <si>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</si>
  <si>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</si>
  <si>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</si>
  <si>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</si>
  <si>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</si>
  <si>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</si>
  <si>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</si>
  <si>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</si>
  <si>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</si>
  <si>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</si>
  <si>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</si>
  <si>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</si>
  <si>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</si>
  <si>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</si>
  <si>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</si>
  <si>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</si>
  <si>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</si>
  <si>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</si>
  <si>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</si>
  <si>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</si>
  <si>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</si>
  <si>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</si>
  <si>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</si>
  <si>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</si>
  <si>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</si>
  <si>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</si>
  <si>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</si>
  <si>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</si>
  <si>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</si>
  <si>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</si>
  <si>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</si>
  <si>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</si>
  <si>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</si>
  <si>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</si>
  <si>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</si>
  <si>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</si>
  <si>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</si>
  <si>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</si>
  <si>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</si>
  <si>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</si>
  <si>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</si>
  <si>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</si>
  <si>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</si>
  <si>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</si>
  <si>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</si>
  <si>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</si>
  <si>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</si>
  <si>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</si>
  <si>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</si>
  <si>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</si>
  <si>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</si>
  <si>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</si>
  <si>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</si>
  <si>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</si>
  <si>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</si>
  <si>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</si>
  <si>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</si>
  <si>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</si>
  <si>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</si>
  <si>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</si>
  <si>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</si>
  <si>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</si>
  <si>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</si>
  <si>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</si>
  <si>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</si>
  <si>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</si>
  <si>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</si>
  <si>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</si>
  <si>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</si>
  <si>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</si>
  <si>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</si>
  <si>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</si>
  <si>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</si>
  <si>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</si>
  <si>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</si>
  <si>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</si>
  <si>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</si>
  <si>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8940 W. 24th Street</t>
  </si>
  <si>
    <t>North Riverside</t>
  </si>
  <si>
    <t>Daniel Coglianese</t>
  </si>
  <si>
    <t>708-450-3930</t>
  </si>
  <si>
    <t>708-450-8566</t>
  </si>
  <si>
    <t>Evans, Marshall and Pease, P.C.</t>
  </si>
  <si>
    <t>Jeffery M. Rollefson, CPA</t>
  </si>
  <si>
    <t>1875 Hicks Road</t>
  </si>
  <si>
    <t>Rolling Meadows</t>
  </si>
  <si>
    <t>IL</t>
  </si>
  <si>
    <t>847-221-5700</t>
  </si>
  <si>
    <t>060-003973</t>
  </si>
  <si>
    <t>847-221-5701</t>
  </si>
  <si>
    <t>Jeff@empcpa.com</t>
  </si>
  <si>
    <t>Proviso Township School Treasurer</t>
  </si>
  <si>
    <t>LaGrange Area District for Special Education</t>
  </si>
  <si>
    <t>School Employee Loss Fund (SELF), Suburban School Cooperative Insurance Pool (SSCIP)</t>
  </si>
  <si>
    <t>Limited School Bond - 2009A</t>
  </si>
  <si>
    <t>Working Cash Bond - 2012A</t>
  </si>
  <si>
    <t>Refunding Bond - 2012B</t>
  </si>
  <si>
    <t>Ref / Working Cash Bond - 2014</t>
  </si>
  <si>
    <t>1,3</t>
  </si>
  <si>
    <t>Ref / Working Cash Bond - 2017</t>
  </si>
  <si>
    <t>Capital Leases</t>
  </si>
  <si>
    <t>Revolving Technology Loan</t>
  </si>
  <si>
    <t>Various</t>
  </si>
  <si>
    <t>10-1000-200</t>
  </si>
  <si>
    <t>ED-Instruction-Employee Benefits</t>
  </si>
  <si>
    <t>Lincoln Financial Group</t>
  </si>
  <si>
    <t>Komarek SD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</si>
</sst>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47" fillId="0" borderId="105" xfId="18" applyFont="1" applyBorder="1" applyProtection="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3048000</xdr:colOff>
          <xdr:row>4</xdr:row>
          <xdr:rowOff>60614</xdr:rowOff>
        </xdr:from>
        <xdr:to>
          <xdr:col>1</xdr:col>
          <xdr:colOff>3958936</xdr:colOff>
          <xdr:row>8</xdr:row>
          <xdr:rowOff>98714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199159</xdr:colOff>
          <xdr:row>4</xdr:row>
          <xdr:rowOff>34637</xdr:rowOff>
        </xdr:from>
        <xdr:to>
          <xdr:col>3</xdr:col>
          <xdr:colOff>503960</xdr:colOff>
          <xdr:row>8</xdr:row>
          <xdr:rowOff>72737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4" t="s">
        <v>1685</v>
      </c>
      <c r="B3" s="155"/>
      <c r="C3" s="155"/>
      <c r="D3" s="156"/>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3" t="s">
        <v>2077</v>
      </c>
      <c r="C5" s="26" t="s">
        <v>966</v>
      </c>
      <c r="D5" s="84"/>
      <c r="E5" s="84"/>
      <c r="H5" s="38"/>
      <c r="I5" s="2043" t="s">
        <v>701</v>
      </c>
      <c r="J5" s="1988"/>
      <c r="K5" s="1988"/>
      <c r="L5" s="1988"/>
      <c r="M5" s="1988"/>
      <c r="N5" s="1988"/>
      <c r="O5" s="1988"/>
      <c r="P5" s="1988"/>
      <c r="Q5" s="1988"/>
      <c r="R5" s="1988"/>
      <c r="S5" s="1988"/>
    </row>
    <row r="6" spans="1:28" ht="14.1" customHeight="1" x14ac:dyDescent="0.2">
      <c r="B6" s="103"/>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7"/>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8" t="s">
        <v>2077</v>
      </c>
      <c r="P12" s="100" t="s">
        <v>211</v>
      </c>
      <c r="Q12" s="74"/>
      <c r="R12" s="30"/>
      <c r="S12" s="30"/>
      <c r="T12" s="85" t="s">
        <v>283</v>
      </c>
      <c r="U12" s="51"/>
      <c r="V12" s="51"/>
      <c r="W12" s="51"/>
      <c r="X12" s="51"/>
      <c r="Y12" s="45"/>
      <c r="Z12" s="45"/>
      <c r="AA12" s="46"/>
    </row>
    <row r="13" spans="1:28" ht="13.5" customHeight="1" x14ac:dyDescent="0.2">
      <c r="A13" s="2004">
        <v>6016094002</v>
      </c>
      <c r="B13" s="2005"/>
      <c r="C13" s="2005"/>
      <c r="D13" s="2005"/>
      <c r="E13" s="2005"/>
      <c r="F13" s="2005"/>
      <c r="G13" s="2005"/>
      <c r="H13" s="2006"/>
      <c r="I13" s="31"/>
      <c r="J13" s="30"/>
      <c r="K13" s="28"/>
      <c r="L13" s="30"/>
      <c r="M13" s="30"/>
      <c r="N13" s="30"/>
      <c r="O13" s="30"/>
      <c r="P13" s="30"/>
      <c r="Q13" s="30"/>
      <c r="R13" s="30"/>
      <c r="S13" s="30"/>
      <c r="T13" s="2009" t="s">
        <v>2084</v>
      </c>
      <c r="U13" s="2010"/>
      <c r="V13" s="2010"/>
      <c r="W13" s="2010"/>
      <c r="X13" s="2010"/>
      <c r="Y13" s="2011"/>
      <c r="Z13" s="2011"/>
      <c r="AA13" s="2012"/>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2108</v>
      </c>
      <c r="B17" s="2032"/>
      <c r="C17" s="2032"/>
      <c r="D17" s="2032"/>
      <c r="E17" s="2032"/>
      <c r="F17" s="2032"/>
      <c r="G17" s="2032"/>
      <c r="H17" s="2033"/>
      <c r="T17" s="2019" t="s">
        <v>2086</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8" t="s">
        <v>698</v>
      </c>
      <c r="AA18" s="46"/>
    </row>
    <row r="19" spans="1:27" ht="13.5" customHeight="1" x14ac:dyDescent="0.2">
      <c r="A19" s="2002" t="s">
        <v>2079</v>
      </c>
      <c r="B19" s="2003"/>
      <c r="C19" s="2003"/>
      <c r="D19" s="2003"/>
      <c r="E19" s="2003"/>
      <c r="F19" s="2003"/>
      <c r="G19" s="2003"/>
      <c r="H19" s="2001"/>
      <c r="I19" s="30"/>
      <c r="J19" s="99"/>
      <c r="K19" s="40"/>
      <c r="L19" s="38"/>
      <c r="M19" s="111" t="s">
        <v>333</v>
      </c>
      <c r="P19" s="27"/>
      <c r="Q19" s="27"/>
      <c r="R19" s="27"/>
      <c r="S19" s="31"/>
      <c r="T19" s="2002" t="s">
        <v>2087</v>
      </c>
      <c r="U19" s="2000"/>
      <c r="V19" s="2000"/>
      <c r="W19" s="2001"/>
      <c r="X19" s="2017" t="s">
        <v>2088</v>
      </c>
      <c r="Y19" s="2018"/>
      <c r="Z19" s="2015">
        <v>60008</v>
      </c>
      <c r="AA19" s="2016"/>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2089</v>
      </c>
      <c r="U21" s="1968"/>
      <c r="V21" s="1968"/>
      <c r="W21" s="1968"/>
      <c r="X21" s="1981" t="s">
        <v>2091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59" t="s">
        <v>1385</v>
      </c>
      <c r="Z22" s="45"/>
      <c r="AA22" s="46"/>
    </row>
    <row r="23" spans="1:27" ht="13.5" customHeight="1" x14ac:dyDescent="0.2">
      <c r="A23" s="2022"/>
      <c r="B23" s="2023"/>
      <c r="C23" s="2023"/>
      <c r="D23" s="2023"/>
      <c r="E23" s="2023"/>
      <c r="F23" s="2023"/>
      <c r="G23" s="2023"/>
      <c r="H23" s="2024"/>
      <c r="T23" s="1962" t="s">
        <v>2090</v>
      </c>
      <c r="U23" s="1963"/>
      <c r="V23" s="1963"/>
      <c r="W23" s="1963"/>
      <c r="X23" s="1978">
        <v>43466</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4" t="s">
        <v>552</v>
      </c>
      <c r="U24" s="105"/>
      <c r="V24" s="105"/>
      <c r="W24" s="105"/>
      <c r="X24" s="106"/>
      <c r="Y24" s="106"/>
      <c r="Z24" s="106"/>
      <c r="AA24" s="107"/>
    </row>
    <row r="25" spans="1:27" ht="14.1" customHeight="1" x14ac:dyDescent="0.2">
      <c r="A25" s="1999">
        <v>60546</v>
      </c>
      <c r="B25" s="2000"/>
      <c r="C25" s="2000"/>
      <c r="D25" s="2000"/>
      <c r="E25" s="2000"/>
      <c r="F25" s="2000"/>
      <c r="G25" s="2000"/>
      <c r="H25" s="2001"/>
      <c r="I25" s="112"/>
      <c r="J25" s="2066"/>
      <c r="K25" s="2066"/>
      <c r="L25" s="2066"/>
      <c r="M25" s="2066"/>
      <c r="N25" s="2066"/>
      <c r="O25" s="2066"/>
      <c r="P25" s="2066"/>
      <c r="Q25" s="2066"/>
      <c r="R25" s="2066"/>
      <c r="S25" s="2067"/>
      <c r="T25" s="1959" t="s">
        <v>2092</v>
      </c>
      <c r="U25" s="1960"/>
      <c r="V25" s="1960"/>
      <c r="W25" s="1960"/>
      <c r="X25" s="1960"/>
      <c r="Y25" s="1960"/>
      <c r="Z25" s="1960"/>
      <c r="AA25" s="1961"/>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57" t="s">
        <v>1591</v>
      </c>
      <c r="J27" s="2030"/>
      <c r="K27" s="2030"/>
      <c r="L27" s="2030"/>
      <c r="M27" s="2030"/>
      <c r="N27" s="2030"/>
      <c r="O27" s="2030"/>
      <c r="P27" s="2030"/>
      <c r="Q27" s="2030"/>
      <c r="R27" s="2030"/>
      <c r="S27" s="2031"/>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2077</v>
      </c>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t="s">
        <v>2081</v>
      </c>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t="s">
        <v>2082</v>
      </c>
      <c r="J42" s="1965"/>
      <c r="K42" s="1965"/>
      <c r="L42" s="1965"/>
      <c r="M42" s="1965"/>
      <c r="N42" s="1965"/>
      <c r="O42" s="1966"/>
      <c r="P42" s="1964" t="s">
        <v>2083</v>
      </c>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2" t="s">
        <v>1230</v>
      </c>
      <c r="B2" s="2072"/>
      <c r="C2" s="2072"/>
      <c r="D2" s="2072"/>
      <c r="E2" s="2072"/>
      <c r="F2" s="2072"/>
      <c r="G2" s="2072"/>
      <c r="H2" s="2072"/>
      <c r="I2" s="2072"/>
      <c r="J2" s="2072"/>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6" t="s">
        <v>1731</v>
      </c>
      <c r="B35" s="2087"/>
      <c r="C35" s="2087"/>
      <c r="D35" s="2087"/>
      <c r="E35" s="2088"/>
      <c r="F35" s="2088"/>
      <c r="G35" s="2088"/>
      <c r="H35" s="2088"/>
      <c r="I35" s="2088"/>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6" t="s">
        <v>331</v>
      </c>
      <c r="B47" s="2089"/>
      <c r="C47" s="2089"/>
      <c r="D47" s="2089"/>
      <c r="E47" s="2090"/>
      <c r="F47" s="2090"/>
      <c r="G47" s="2090"/>
      <c r="H47" s="2090"/>
      <c r="I47" s="2090"/>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2077</v>
      </c>
      <c r="C53" s="178">
        <v>22</v>
      </c>
      <c r="D53" s="246" t="s">
        <v>1537</v>
      </c>
      <c r="E53" s="247"/>
      <c r="F53" s="248"/>
      <c r="G53" s="248" t="s">
        <v>1536</v>
      </c>
      <c r="H53" s="249">
        <v>33512</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3"/>
      <c r="C57" s="2094"/>
      <c r="D57" s="2094"/>
      <c r="E57" s="2094"/>
      <c r="F57" s="2094"/>
      <c r="G57" s="2094"/>
      <c r="H57" s="2094"/>
      <c r="I57" s="2094"/>
      <c r="J57" s="2095"/>
    </row>
    <row r="58" spans="1:10" s="180" customFormat="1" x14ac:dyDescent="0.2">
      <c r="A58" s="252"/>
      <c r="B58" s="2096"/>
      <c r="C58" s="2097"/>
      <c r="D58" s="2097"/>
      <c r="E58" s="2097"/>
      <c r="F58" s="2097"/>
      <c r="G58" s="2097"/>
      <c r="H58" s="2097"/>
      <c r="I58" s="2097"/>
      <c r="J58" s="2098"/>
    </row>
    <row r="59" spans="1:10" s="180" customFormat="1" x14ac:dyDescent="0.2">
      <c r="A59" s="252"/>
      <c r="B59" s="2096"/>
      <c r="C59" s="2097"/>
      <c r="D59" s="2097"/>
      <c r="E59" s="2097"/>
      <c r="F59" s="2097"/>
      <c r="G59" s="2097"/>
      <c r="H59" s="2097"/>
      <c r="I59" s="2097"/>
      <c r="J59" s="2098"/>
    </row>
    <row r="60" spans="1:10" s="180" customFormat="1" x14ac:dyDescent="0.2">
      <c r="A60" s="252"/>
      <c r="B60" s="2096"/>
      <c r="C60" s="2097"/>
      <c r="D60" s="2097"/>
      <c r="E60" s="2097"/>
      <c r="F60" s="2097"/>
      <c r="G60" s="2097"/>
      <c r="H60" s="2097"/>
      <c r="I60" s="2097"/>
      <c r="J60" s="2098"/>
    </row>
    <row r="61" spans="1:10" s="180" customFormat="1" x14ac:dyDescent="0.2">
      <c r="A61" s="252"/>
      <c r="B61" s="2096"/>
      <c r="C61" s="2097"/>
      <c r="D61" s="2097"/>
      <c r="E61" s="2097"/>
      <c r="F61" s="2097"/>
      <c r="G61" s="2097"/>
      <c r="H61" s="2097"/>
      <c r="I61" s="2097"/>
      <c r="J61" s="2098"/>
    </row>
    <row r="62" spans="1:10" s="180" customFormat="1" x14ac:dyDescent="0.2">
      <c r="A62" s="252"/>
      <c r="B62" s="2096"/>
      <c r="C62" s="2097"/>
      <c r="D62" s="2097"/>
      <c r="E62" s="2097"/>
      <c r="F62" s="2097"/>
      <c r="G62" s="2097"/>
      <c r="H62" s="2097"/>
      <c r="I62" s="2097"/>
      <c r="J62" s="2098"/>
    </row>
    <row r="63" spans="1:10" s="180" customFormat="1" x14ac:dyDescent="0.2">
      <c r="A63" s="252"/>
      <c r="B63" s="2096"/>
      <c r="C63" s="2097"/>
      <c r="D63" s="2097"/>
      <c r="E63" s="2097"/>
      <c r="F63" s="2097"/>
      <c r="G63" s="2097"/>
      <c r="H63" s="2097"/>
      <c r="I63" s="2097"/>
      <c r="J63" s="2098"/>
    </row>
    <row r="64" spans="1:10" s="180" customFormat="1" x14ac:dyDescent="0.2">
      <c r="A64" s="252"/>
      <c r="B64" s="2096"/>
      <c r="C64" s="2097"/>
      <c r="D64" s="2097"/>
      <c r="E64" s="2097"/>
      <c r="F64" s="2097"/>
      <c r="G64" s="2097"/>
      <c r="H64" s="2097"/>
      <c r="I64" s="2097"/>
      <c r="J64" s="2098"/>
    </row>
    <row r="65" spans="1:10" s="180" customFormat="1" x14ac:dyDescent="0.2">
      <c r="A65" s="252"/>
      <c r="B65" s="2096"/>
      <c r="C65" s="2097"/>
      <c r="D65" s="2097"/>
      <c r="E65" s="2097"/>
      <c r="F65" s="2097"/>
      <c r="G65" s="2097"/>
      <c r="H65" s="2097"/>
      <c r="I65" s="2097"/>
      <c r="J65" s="2098"/>
    </row>
    <row r="66" spans="1:10" s="180" customFormat="1" x14ac:dyDescent="0.2">
      <c r="A66" s="252"/>
      <c r="B66" s="2096"/>
      <c r="C66" s="2097"/>
      <c r="D66" s="2097"/>
      <c r="E66" s="2097"/>
      <c r="F66" s="2097"/>
      <c r="G66" s="2097"/>
      <c r="H66" s="2097"/>
      <c r="I66" s="2097"/>
      <c r="J66" s="2098"/>
    </row>
    <row r="67" spans="1:10" s="180" customFormat="1" ht="9" customHeight="1" x14ac:dyDescent="0.2">
      <c r="A67" s="253"/>
      <c r="B67" s="2099"/>
      <c r="C67" s="2100"/>
      <c r="D67" s="2100"/>
      <c r="E67" s="2100"/>
      <c r="F67" s="2100"/>
      <c r="G67" s="2100"/>
      <c r="H67" s="2100"/>
      <c r="I67" s="2100"/>
      <c r="J67" s="210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6" t="s">
        <v>1390</v>
      </c>
      <c r="B70" s="2089"/>
      <c r="C70" s="2089"/>
      <c r="D70" s="2089"/>
      <c r="E70" s="2090"/>
      <c r="F70" s="2090"/>
      <c r="G70" s="2090"/>
      <c r="H70" s="2090"/>
      <c r="I70" s="2090"/>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2069</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2020</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1" t="s">
        <v>1387</v>
      </c>
      <c r="B83" s="2091"/>
      <c r="C83" s="2091"/>
      <c r="D83" s="2092"/>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2067</v>
      </c>
      <c r="B85" s="271"/>
      <c r="C85" s="272"/>
      <c r="D85" s="273"/>
      <c r="E85" s="274">
        <v>0</v>
      </c>
      <c r="F85" s="275">
        <v>34</v>
      </c>
      <c r="G85" s="275">
        <v>10026</v>
      </c>
      <c r="H85" s="275">
        <v>4670</v>
      </c>
      <c r="I85" s="275">
        <v>0</v>
      </c>
      <c r="J85" s="276">
        <f>SUM(E85:I85)</f>
        <v>14730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14730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2068</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3"/>
      <c r="C102" s="2074"/>
      <c r="D102" s="2074"/>
      <c r="E102" s="2074"/>
      <c r="F102" s="2074"/>
      <c r="G102" s="2074"/>
      <c r="H102" s="2074"/>
      <c r="I102" s="2075"/>
    </row>
    <row r="103" spans="1:9" s="180" customFormat="1" ht="11.25" customHeight="1" x14ac:dyDescent="0.2">
      <c r="A103" s="315"/>
      <c r="B103" s="2076"/>
      <c r="C103" s="2077"/>
      <c r="D103" s="2077"/>
      <c r="E103" s="2077"/>
      <c r="F103" s="2077"/>
      <c r="G103" s="2077"/>
      <c r="H103" s="2077"/>
      <c r="I103" s="2078"/>
    </row>
    <row r="104" spans="1:9" s="180" customFormat="1" ht="11.25" customHeight="1" x14ac:dyDescent="0.2">
      <c r="A104" s="315"/>
      <c r="B104" s="2076"/>
      <c r="C104" s="2077"/>
      <c r="D104" s="2077"/>
      <c r="E104" s="2077"/>
      <c r="F104" s="2077"/>
      <c r="G104" s="2077"/>
      <c r="H104" s="2077"/>
      <c r="I104" s="2078"/>
    </row>
    <row r="105" spans="1:9" s="180" customFormat="1" x14ac:dyDescent="0.2">
      <c r="A105" s="315"/>
      <c r="B105" s="2076"/>
      <c r="C105" s="2077"/>
      <c r="D105" s="2077"/>
      <c r="E105" s="2077"/>
      <c r="F105" s="2077"/>
      <c r="G105" s="2077"/>
      <c r="H105" s="2077"/>
      <c r="I105" s="2078"/>
    </row>
    <row r="106" spans="1:9" s="180" customFormat="1" ht="11.25" customHeight="1" x14ac:dyDescent="0.2">
      <c r="A106" s="315"/>
      <c r="B106" s="2076"/>
      <c r="C106" s="2077"/>
      <c r="D106" s="2077"/>
      <c r="E106" s="2077"/>
      <c r="F106" s="2077"/>
      <c r="G106" s="2077"/>
      <c r="H106" s="2077"/>
      <c r="I106" s="2078"/>
    </row>
    <row r="107" spans="1:9" s="180" customFormat="1" ht="11.25" customHeight="1" x14ac:dyDescent="0.2">
      <c r="A107" s="315"/>
      <c r="B107" s="2076"/>
      <c r="C107" s="2077"/>
      <c r="D107" s="2077"/>
      <c r="E107" s="2077"/>
      <c r="F107" s="2077"/>
      <c r="G107" s="2077"/>
      <c r="H107" s="2077"/>
      <c r="I107" s="2078"/>
    </row>
    <row r="108" spans="1:9" s="180" customFormat="1" ht="11.25" customHeight="1" x14ac:dyDescent="0.2">
      <c r="A108" s="315"/>
      <c r="B108" s="2076"/>
      <c r="C108" s="2077"/>
      <c r="D108" s="2077"/>
      <c r="E108" s="2077"/>
      <c r="F108" s="2077"/>
      <c r="G108" s="2077"/>
      <c r="H108" s="2077"/>
      <c r="I108" s="2078"/>
    </row>
    <row r="109" spans="1:9" s="180" customFormat="1" ht="11.25" customHeight="1" x14ac:dyDescent="0.2">
      <c r="A109" s="315"/>
      <c r="B109" s="2076"/>
      <c r="C109" s="2077"/>
      <c r="D109" s="2077"/>
      <c r="E109" s="2077"/>
      <c r="F109" s="2077"/>
      <c r="G109" s="2077"/>
      <c r="H109" s="2077"/>
      <c r="I109" s="2078"/>
    </row>
    <row r="110" spans="1:9" s="180" customFormat="1" ht="11.25" customHeight="1" x14ac:dyDescent="0.2">
      <c r="A110" s="315"/>
      <c r="B110" s="2076"/>
      <c r="C110" s="2077"/>
      <c r="D110" s="2077"/>
      <c r="E110" s="2077"/>
      <c r="F110" s="2077"/>
      <c r="G110" s="2077"/>
      <c r="H110" s="2077"/>
      <c r="I110" s="2078"/>
    </row>
    <row r="111" spans="1:9" s="180" customFormat="1" ht="11.25" customHeight="1" x14ac:dyDescent="0.2">
      <c r="A111" s="315"/>
      <c r="B111" s="2076"/>
      <c r="C111" s="2077"/>
      <c r="D111" s="2077"/>
      <c r="E111" s="2077"/>
      <c r="F111" s="2077"/>
      <c r="G111" s="2077"/>
      <c r="H111" s="2077"/>
      <c r="I111" s="2078"/>
    </row>
    <row r="112" spans="1:9" s="180" customFormat="1" ht="11.25" customHeight="1" x14ac:dyDescent="0.2">
      <c r="A112" s="315"/>
      <c r="B112" s="2079"/>
      <c r="C112" s="2080"/>
      <c r="D112" s="2080"/>
      <c r="E112" s="2080"/>
      <c r="F112" s="2080"/>
      <c r="G112" s="2080"/>
      <c r="H112" s="2080"/>
      <c r="I112" s="208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2" t="s">
        <v>2084</v>
      </c>
      <c r="D114" s="2082"/>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3" t="s">
        <v>1397</v>
      </c>
      <c r="D117" s="2084"/>
      <c r="E117" s="2085"/>
      <c r="F117" s="2085"/>
      <c r="G117" s="2085"/>
      <c r="H117" s="2085"/>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2021</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1970</v>
      </c>
      <c r="C4" s="161" t="s">
        <v>1231</v>
      </c>
      <c r="D4" s="168" t="s">
        <v>10</v>
      </c>
      <c r="E4" s="169" t="s">
        <v>22</v>
      </c>
    </row>
    <row r="5" spans="1:5" x14ac:dyDescent="0.2">
      <c r="A5" s="167" t="s">
        <v>1972</v>
      </c>
      <c r="C5" s="161" t="s">
        <v>1231</v>
      </c>
      <c r="D5" s="168" t="s">
        <v>10</v>
      </c>
      <c r="E5" s="169" t="s">
        <v>22</v>
      </c>
    </row>
    <row r="6" spans="1:5" x14ac:dyDescent="0.2">
      <c r="A6" s="167" t="s">
        <v>1971</v>
      </c>
      <c r="C6" s="161" t="s">
        <v>1231</v>
      </c>
      <c r="D6" s="166" t="s">
        <v>11</v>
      </c>
      <c r="E6" s="169" t="s">
        <v>998</v>
      </c>
    </row>
    <row r="7" spans="1:5" x14ac:dyDescent="0.2">
      <c r="A7" s="167" t="s">
        <v>1973</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1974</v>
      </c>
      <c r="C11" s="161" t="s">
        <v>1231</v>
      </c>
      <c r="D11" s="168" t="s">
        <v>14</v>
      </c>
      <c r="E11" s="169" t="s">
        <v>1218</v>
      </c>
    </row>
    <row r="12" spans="1:5" x14ac:dyDescent="0.2">
      <c r="B12" s="168" t="s">
        <v>1975</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1976</v>
      </c>
      <c r="C15" s="161" t="s">
        <v>1231</v>
      </c>
      <c r="D15" s="168" t="s">
        <v>17</v>
      </c>
      <c r="E15" s="169" t="s">
        <v>657</v>
      </c>
    </row>
    <row r="16" spans="1:5" x14ac:dyDescent="0.2">
      <c r="A16" s="171"/>
      <c r="B16" s="161" t="s">
        <v>1977</v>
      </c>
      <c r="C16" s="161" t="s">
        <v>1231</v>
      </c>
      <c r="D16" s="168" t="s">
        <v>702</v>
      </c>
      <c r="E16" s="169" t="s">
        <v>1100</v>
      </c>
    </row>
    <row r="17" spans="1:5" x14ac:dyDescent="0.2">
      <c r="B17" s="166" t="s">
        <v>1045</v>
      </c>
      <c r="C17" s="161" t="s">
        <v>1231</v>
      </c>
    </row>
    <row r="18" spans="1:5" x14ac:dyDescent="0.2">
      <c r="B18" s="166" t="s">
        <v>1983</v>
      </c>
      <c r="D18" s="168" t="s">
        <v>18</v>
      </c>
      <c r="E18" s="169" t="s">
        <v>1101</v>
      </c>
    </row>
    <row r="19" spans="1:5" x14ac:dyDescent="0.2">
      <c r="A19" s="167" t="s">
        <v>1161</v>
      </c>
      <c r="C19" s="161" t="s">
        <v>1231</v>
      </c>
      <c r="D19" s="168"/>
      <c r="E19" s="170"/>
    </row>
    <row r="20" spans="1:5" x14ac:dyDescent="0.2">
      <c r="B20" s="166" t="s">
        <v>1978</v>
      </c>
      <c r="C20" s="161" t="s">
        <v>1231</v>
      </c>
      <c r="D20" s="168" t="s">
        <v>19</v>
      </c>
      <c r="E20" s="169" t="s">
        <v>53</v>
      </c>
    </row>
    <row r="21" spans="1:5" x14ac:dyDescent="0.2">
      <c r="B21" s="166" t="s">
        <v>1979</v>
      </c>
      <c r="C21" s="161" t="s">
        <v>1231</v>
      </c>
      <c r="D21" s="168" t="s">
        <v>20</v>
      </c>
      <c r="E21" s="169" t="s">
        <v>1708</v>
      </c>
    </row>
    <row r="22" spans="1:5" x14ac:dyDescent="0.2">
      <c r="A22" s="167"/>
      <c r="B22" s="161" t="s">
        <v>1967</v>
      </c>
      <c r="C22" s="161" t="s">
        <v>1231</v>
      </c>
      <c r="D22" s="166" t="s">
        <v>1969</v>
      </c>
      <c r="E22" s="1858" t="s">
        <v>1709</v>
      </c>
    </row>
    <row r="23" spans="1:5" x14ac:dyDescent="0.2">
      <c r="A23" s="167"/>
      <c r="B23" s="161" t="s">
        <v>1968</v>
      </c>
      <c r="D23" s="166" t="s">
        <v>658</v>
      </c>
      <c r="E23" s="1858" t="s">
        <v>1016</v>
      </c>
    </row>
    <row r="24" spans="1:5" x14ac:dyDescent="0.2">
      <c r="A24" s="167" t="s">
        <v>1707</v>
      </c>
      <c r="C24" s="161" t="s">
        <v>1231</v>
      </c>
      <c r="D24" s="166" t="s">
        <v>1460</v>
      </c>
      <c r="E24" s="169" t="s">
        <v>1017</v>
      </c>
    </row>
    <row r="25" spans="1:5" x14ac:dyDescent="0.2">
      <c r="A25" s="167" t="s">
        <v>1980</v>
      </c>
      <c r="C25" s="161" t="s">
        <v>1231</v>
      </c>
      <c r="D25" s="168" t="s">
        <v>21</v>
      </c>
      <c r="E25" s="169" t="s">
        <v>1102</v>
      </c>
    </row>
    <row r="26" spans="1:5" x14ac:dyDescent="0.2">
      <c r="A26" s="167" t="s">
        <v>1981</v>
      </c>
      <c r="C26" s="161" t="s">
        <v>1231</v>
      </c>
      <c r="D26" s="168" t="s">
        <v>584</v>
      </c>
      <c r="E26" s="169" t="s">
        <v>1103</v>
      </c>
    </row>
    <row r="27" spans="1:5" x14ac:dyDescent="0.2">
      <c r="A27" s="167" t="s">
        <v>1982</v>
      </c>
      <c r="C27" s="161" t="s">
        <v>1231</v>
      </c>
      <c r="D27" s="168" t="s">
        <v>578</v>
      </c>
      <c r="E27" s="169" t="s">
        <v>704</v>
      </c>
    </row>
    <row r="28" spans="1:5" x14ac:dyDescent="0.2">
      <c r="A28" s="167" t="s">
        <v>1984</v>
      </c>
      <c r="D28" s="168" t="s">
        <v>705</v>
      </c>
      <c r="E28" s="169" t="s">
        <v>1433</v>
      </c>
    </row>
    <row r="29" spans="1:5" x14ac:dyDescent="0.2">
      <c r="A29" s="167" t="s">
        <v>1985</v>
      </c>
      <c r="D29" s="168" t="s">
        <v>1461</v>
      </c>
      <c r="E29" s="169" t="s">
        <v>1442</v>
      </c>
    </row>
    <row r="30" spans="1:5" x14ac:dyDescent="0.2">
      <c r="A30" s="172" t="s">
        <v>1986</v>
      </c>
      <c r="C30" s="161" t="s">
        <v>1231</v>
      </c>
      <c r="D30" s="168" t="s">
        <v>42</v>
      </c>
      <c r="E30" s="169" t="s">
        <v>1039</v>
      </c>
    </row>
    <row r="31" spans="1:5" x14ac:dyDescent="0.2">
      <c r="A31" s="167" t="s">
        <v>1602</v>
      </c>
      <c r="C31" s="161" t="s">
        <v>1231</v>
      </c>
      <c r="D31" s="166"/>
      <c r="E31" s="170"/>
    </row>
    <row r="32" spans="1:5" x14ac:dyDescent="0.2">
      <c r="B32" s="166" t="s">
        <v>1987</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1" t="s">
        <v>1125</v>
      </c>
      <c r="B35" s="2071"/>
      <c r="C35" s="2071"/>
      <c r="D35" s="2071"/>
      <c r="E35" s="207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6"/>
      <c r="B43" s="175"/>
    </row>
    <row r="44" spans="1:5" x14ac:dyDescent="0.2">
      <c r="A44" s="184" t="s">
        <v>1040</v>
      </c>
      <c r="B44" s="185" t="s">
        <v>2017</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2" t="s">
        <v>404</v>
      </c>
      <c r="B1" s="2102"/>
      <c r="C1" s="2102"/>
      <c r="D1" s="2102"/>
      <c r="E1" s="2102"/>
      <c r="F1" s="2102"/>
      <c r="G1" s="2102"/>
      <c r="H1" s="2102"/>
      <c r="I1" s="2102"/>
      <c r="J1" s="2102"/>
      <c r="K1" s="2102"/>
      <c r="L1" s="2102"/>
      <c r="M1" s="2102"/>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168944806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2.3199999999999998E-2</v>
      </c>
      <c r="E10" s="355" t="s">
        <v>1062</v>
      </c>
      <c r="F10" s="354">
        <v>2.7320000000000001E-3</v>
      </c>
      <c r="G10" s="355" t="s">
        <v>1062</v>
      </c>
      <c r="H10" s="354">
        <v>2.8299999999999999E-4</v>
      </c>
      <c r="I10" s="355" t="s">
        <v>1063</v>
      </c>
      <c r="J10" s="1753">
        <f>ROUND(D10+F10+H10,5)</f>
        <v>2.622E-2</v>
      </c>
      <c r="K10" s="221"/>
      <c r="L10" s="354">
        <v>0</v>
      </c>
      <c r="M10" s="221"/>
    </row>
    <row r="11" spans="1:14" ht="7.5" customHeight="1" x14ac:dyDescent="0.2">
      <c r="B11" s="221"/>
      <c r="C11" s="221"/>
      <c r="D11" s="2112" t="str">
        <f>IF(SUM(J10)&lt;=0.0999999,"","Enter the Tax Rates by moving the decimal two places to the left.")</f>
        <v/>
      </c>
      <c r="E11" s="2113"/>
      <c r="F11" s="2113"/>
      <c r="G11" s="2113"/>
      <c r="H11" s="2113"/>
      <c r="I11" s="2113"/>
      <c r="J11" s="211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6988436</v>
      </c>
      <c r="E16" s="355"/>
      <c r="F16" s="1754">
        <f>SUM('Acct Summary 7-8'!C17,'Acct Summary 7-8'!D17,'Acct Summary 7-8'!F17)</f>
        <v>6777036</v>
      </c>
      <c r="G16" s="355"/>
      <c r="H16" s="1754">
        <f>SUM(D16-F16)</f>
        <v>211400</v>
      </c>
      <c r="I16" s="221"/>
      <c r="J16" s="1754">
        <f>SUM('Acct Summary 7-8'!C81,'Acct Summary 7-8'!D81,'Acct Summary 7-8'!F81,'Acct Summary 7-8'!I81)</f>
        <v>3621354</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11657191.614</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5130022</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3"/>
      <c r="C54" s="2104"/>
      <c r="D54" s="2104"/>
      <c r="E54" s="2104"/>
      <c r="F54" s="2104"/>
      <c r="G54" s="2104"/>
      <c r="H54" s="2104"/>
      <c r="I54" s="2104"/>
      <c r="J54" s="2104"/>
      <c r="K54" s="2104"/>
      <c r="L54" s="2105"/>
      <c r="M54" s="379"/>
    </row>
    <row r="55" spans="1:13" ht="12.75" customHeight="1" x14ac:dyDescent="0.2">
      <c r="B55" s="2106"/>
      <c r="C55" s="2107"/>
      <c r="D55" s="2107"/>
      <c r="E55" s="2107"/>
      <c r="F55" s="2107"/>
      <c r="G55" s="2107"/>
      <c r="H55" s="2107"/>
      <c r="I55" s="2107"/>
      <c r="J55" s="2107"/>
      <c r="K55" s="2107"/>
      <c r="L55" s="2108"/>
      <c r="M55" s="379"/>
    </row>
    <row r="56" spans="1:13" ht="12.75" customHeight="1" x14ac:dyDescent="0.2">
      <c r="B56" s="2106"/>
      <c r="C56" s="2107"/>
      <c r="D56" s="2107"/>
      <c r="E56" s="2107"/>
      <c r="F56" s="2107"/>
      <c r="G56" s="2107"/>
      <c r="H56" s="2107"/>
      <c r="I56" s="2107"/>
      <c r="J56" s="2107"/>
      <c r="K56" s="2107"/>
      <c r="L56" s="2108"/>
      <c r="M56" s="221"/>
    </row>
    <row r="57" spans="1:13" ht="12.75" customHeight="1" x14ac:dyDescent="0.2">
      <c r="B57" s="2106"/>
      <c r="C57" s="2107"/>
      <c r="D57" s="2107"/>
      <c r="E57" s="2107"/>
      <c r="F57" s="2107"/>
      <c r="G57" s="2107"/>
      <c r="H57" s="2107"/>
      <c r="I57" s="2107"/>
      <c r="J57" s="2107"/>
      <c r="K57" s="2107"/>
      <c r="L57" s="2108"/>
      <c r="M57" s="221"/>
    </row>
    <row r="58" spans="1:13" x14ac:dyDescent="0.2">
      <c r="B58" s="2109"/>
      <c r="C58" s="2110"/>
      <c r="D58" s="2110"/>
      <c r="E58" s="2110"/>
      <c r="F58" s="2110"/>
      <c r="G58" s="2110"/>
      <c r="H58" s="2110"/>
      <c r="I58" s="2110"/>
      <c r="J58" s="2110"/>
      <c r="K58" s="2110"/>
      <c r="L58" s="211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4"/>
      <c r="D61" s="211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37" zoomScale="110" zoomScaleNormal="110" workbookViewId="0">
      <selection activeCell="D40" sqref="D4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7"/>
      <c r="B1" s="2118"/>
      <c r="C1" s="2118"/>
      <c r="D1" s="383"/>
      <c r="E1" s="383"/>
      <c r="F1" s="383"/>
      <c r="G1" s="383"/>
      <c r="H1" s="383"/>
      <c r="I1" s="383"/>
      <c r="J1" s="383"/>
      <c r="K1" s="383"/>
      <c r="L1" s="383"/>
      <c r="M1" s="383"/>
      <c r="N1" s="383"/>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Komarek SD 94</v>
      </c>
      <c r="E7" s="390"/>
      <c r="G7" s="251"/>
      <c r="H7" s="386"/>
      <c r="I7" s="386"/>
      <c r="J7" s="386"/>
      <c r="K7" s="386"/>
      <c r="L7" s="328"/>
      <c r="M7" s="328"/>
      <c r="N7" s="328"/>
      <c r="O7" s="328"/>
      <c r="P7" s="328"/>
    </row>
    <row r="8" spans="1:18" ht="12.75" x14ac:dyDescent="0.2">
      <c r="A8" s="328"/>
      <c r="B8" s="328"/>
      <c r="C8" s="388" t="s">
        <v>1187</v>
      </c>
      <c r="D8" s="391">
        <f>COVER!A13</f>
        <v>6016094002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3621354</v>
      </c>
      <c r="I12" s="403"/>
      <c r="J12" s="403"/>
      <c r="K12" s="404">
        <f>TRUNC((H12/H13*100000),5)/100000</f>
        <v>0.52742648169999995</v>
      </c>
      <c r="L12" s="405"/>
      <c r="M12" s="359" t="s">
        <v>1206</v>
      </c>
      <c r="N12" s="359"/>
      <c r="O12" s="406">
        <v>0.35</v>
      </c>
      <c r="P12" s="217"/>
      <c r="Q12" s="217"/>
    </row>
    <row r="13" spans="1:18" s="407" customFormat="1" ht="12.75" x14ac:dyDescent="0.2">
      <c r="A13" s="217"/>
      <c r="B13" s="400"/>
      <c r="C13" s="2119" t="s">
        <v>1391</v>
      </c>
      <c r="D13" s="2120"/>
      <c r="E13" s="217"/>
      <c r="F13" s="408" t="s">
        <v>826</v>
      </c>
      <c r="G13" s="401"/>
      <c r="H13" s="402">
        <f>SUM('Acct Summary 7-8'!C8+'Acct Summary 7-8'!D8+'Acct Summary 7-8'!F8+'Acct Summary 7-8'!I8)+H14</f>
        <v>6866083</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-122353</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6777036</v>
      </c>
      <c r="I17" s="403"/>
      <c r="J17" s="415"/>
      <c r="K17" s="404">
        <f>TRUNC((H17/H18*100000),5)/100000</f>
        <v>0.98703088789999993</v>
      </c>
      <c r="L17" s="405"/>
      <c r="M17" s="416" t="s">
        <v>1233</v>
      </c>
      <c r="O17" s="417" t="str">
        <f>IF(AND(O16="2", J20 &gt; 2),"1",IF(AND(O16 = "1", J20 &gt; 2),"2",IF(AND(O16="1", J20 &gt;1),"1","0")))</f>
        <v>0</v>
      </c>
      <c r="P17" s="217"/>
    </row>
    <row r="18" spans="1:18" s="407" customFormat="1" ht="11.25" x14ac:dyDescent="0.2">
      <c r="A18" s="217"/>
      <c r="B18" s="400"/>
      <c r="C18" s="2119" t="s">
        <v>1384</v>
      </c>
      <c r="D18" s="2120"/>
      <c r="E18" s="217"/>
      <c r="F18" s="418" t="s">
        <v>827</v>
      </c>
      <c r="G18" s="401"/>
      <c r="H18" s="402">
        <f>SUM('Acct Summary 7-8'!C8+'Acct Summary 7-8'!D8+'Acct Summary 7-8'!F8+'Acct Summary 7-8'!I8)+H19</f>
        <v>6866083</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-122353</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116" t="s">
        <v>1479</v>
      </c>
      <c r="D24" s="2116"/>
      <c r="E24" s="217"/>
      <c r="F24" s="217" t="s">
        <v>465</v>
      </c>
      <c r="G24" s="401"/>
      <c r="H24" s="402">
        <f>SUM('Assets-Liab 5-6'!C4+'Assets-Liab 5-6'!D4+'Assets-Liab 5-6'!F4+'Assets-Liab 5-6'!I4+'Assets-Liab 5-6'!C5+'Assets-Liab 5-6'!D5+'Assets-Liab 5-6'!F5+'Assets-Liab 5-6'!I5)</f>
        <v>1972059</v>
      </c>
      <c r="I24" s="421"/>
      <c r="J24" s="421"/>
      <c r="K24" s="422">
        <f>TRUNC(((H24/H25*100000)/100000),2)</f>
        <v>104.75</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18825.099999999999</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2070</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3765272.8913199999</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5130022</v>
      </c>
      <c r="I32" s="419"/>
      <c r="J32" s="419"/>
      <c r="K32" s="422">
        <f>TRUNC(100-((((H32/H33*100))*100)/100),2)</f>
        <v>55.99</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11657191.614</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M41" sqref="M41"/>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4"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5"/>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6" t="s">
        <v>1030</v>
      </c>
      <c r="B3" s="2127"/>
      <c r="C3" s="1580"/>
      <c r="D3" s="1581"/>
      <c r="E3" s="1581"/>
      <c r="F3" s="1581"/>
      <c r="G3" s="1581"/>
      <c r="H3" s="1581"/>
      <c r="I3" s="1581"/>
      <c r="J3" s="1581"/>
      <c r="K3" s="1581"/>
      <c r="L3" s="1581"/>
      <c r="M3" s="1582"/>
      <c r="N3" s="1583"/>
    </row>
    <row r="4" spans="1:14" ht="13.5" customHeight="1" x14ac:dyDescent="0.2">
      <c r="A4" s="462" t="s">
        <v>1750</v>
      </c>
      <c r="B4" s="463"/>
      <c r="C4" s="464">
        <v>888041</v>
      </c>
      <c r="D4" s="465">
        <v>278263</v>
      </c>
      <c r="E4" s="465">
        <v>478562</v>
      </c>
      <c r="F4" s="465">
        <v>178339</v>
      </c>
      <c r="G4" s="465">
        <v>77400</v>
      </c>
      <c r="H4" s="465"/>
      <c r="I4" s="465">
        <v>627416</v>
      </c>
      <c r="J4" s="466"/>
      <c r="K4" s="465">
        <v>1400</v>
      </c>
      <c r="L4" s="465">
        <v>21927</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v>1999538</v>
      </c>
      <c r="D6" s="465">
        <v>212557</v>
      </c>
      <c r="E6" s="465">
        <v>191814</v>
      </c>
      <c r="F6" s="465">
        <v>21920</v>
      </c>
      <c r="G6" s="470">
        <v>53740</v>
      </c>
      <c r="H6" s="470"/>
      <c r="I6" s="465"/>
      <c r="J6" s="473"/>
      <c r="K6" s="470"/>
      <c r="L6" s="474"/>
      <c r="M6" s="467"/>
      <c r="N6" s="468"/>
    </row>
    <row r="7" spans="1:14" ht="13.5" customHeight="1" x14ac:dyDescent="0.2">
      <c r="A7" s="472" t="s">
        <v>438</v>
      </c>
      <c r="B7" s="469">
        <v>140</v>
      </c>
      <c r="C7" s="475"/>
      <c r="D7" s="466">
        <v>400000</v>
      </c>
      <c r="E7" s="466"/>
      <c r="F7" s="466"/>
      <c r="G7" s="466"/>
      <c r="H7" s="466"/>
      <c r="I7" s="466"/>
      <c r="J7" s="466"/>
      <c r="K7" s="466"/>
      <c r="L7" s="476"/>
      <c r="M7" s="467"/>
      <c r="N7" s="468"/>
    </row>
    <row r="8" spans="1:14" ht="13.5" customHeight="1" x14ac:dyDescent="0.2">
      <c r="A8" s="472" t="s">
        <v>287</v>
      </c>
      <c r="B8" s="469">
        <v>150</v>
      </c>
      <c r="C8" s="475">
        <v>16025</v>
      </c>
      <c r="D8" s="466"/>
      <c r="E8" s="466"/>
      <c r="F8" s="466">
        <v>10060</v>
      </c>
      <c r="G8" s="477"/>
      <c r="H8" s="466"/>
      <c r="I8" s="473"/>
      <c r="J8" s="473"/>
      <c r="K8" s="478"/>
      <c r="L8" s="479"/>
      <c r="M8" s="467"/>
      <c r="N8" s="468"/>
    </row>
    <row r="9" spans="1:14" ht="13.5" customHeight="1" x14ac:dyDescent="0.2">
      <c r="A9" s="472" t="s">
        <v>288</v>
      </c>
      <c r="B9" s="469">
        <v>160</v>
      </c>
      <c r="C9" s="475">
        <v>72774</v>
      </c>
      <c r="D9" s="466">
        <v>24258</v>
      </c>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v>7549</v>
      </c>
      <c r="D11" s="466">
        <v>20071</v>
      </c>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2983927</v>
      </c>
      <c r="D13" s="1758">
        <f t="shared" ref="D13:L13" si="0">SUM(D4:D12)</f>
        <v>935149</v>
      </c>
      <c r="E13" s="1758">
        <f t="shared" si="0"/>
        <v>670376</v>
      </c>
      <c r="F13" s="1758">
        <f t="shared" si="0"/>
        <v>210319</v>
      </c>
      <c r="G13" s="1758">
        <f t="shared" si="0"/>
        <v>131140</v>
      </c>
      <c r="H13" s="1758">
        <f t="shared" si="0"/>
        <v>0</v>
      </c>
      <c r="I13" s="1758">
        <f t="shared" si="0"/>
        <v>627416</v>
      </c>
      <c r="J13" s="1758">
        <f t="shared" si="0"/>
        <v>0</v>
      </c>
      <c r="K13" s="1758">
        <f t="shared" si="0"/>
        <v>1400</v>
      </c>
      <c r="L13" s="1758">
        <f t="shared" si="0"/>
        <v>21927</v>
      </c>
      <c r="M13" s="467"/>
      <c r="N13" s="468"/>
    </row>
    <row r="14" spans="1:14" ht="18" customHeight="1" thickTop="1" x14ac:dyDescent="0.2">
      <c r="A14" s="2128" t="s">
        <v>149</v>
      </c>
      <c r="B14" s="2129"/>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264189</v>
      </c>
      <c r="N16" s="483"/>
    </row>
    <row r="17" spans="1:14" s="484" customFormat="1" ht="12.75" customHeight="1" x14ac:dyDescent="0.2">
      <c r="A17" s="481" t="s">
        <v>1470</v>
      </c>
      <c r="B17" s="482">
        <v>230</v>
      </c>
      <c r="C17" s="476"/>
      <c r="D17" s="476"/>
      <c r="E17" s="476"/>
      <c r="F17" s="476"/>
      <c r="G17" s="476"/>
      <c r="H17" s="476"/>
      <c r="I17" s="476"/>
      <c r="J17" s="476"/>
      <c r="K17" s="476"/>
      <c r="L17" s="476"/>
      <c r="M17" s="466">
        <v>3437843</v>
      </c>
      <c r="N17" s="483"/>
    </row>
    <row r="18" spans="1:14" s="484" customFormat="1" ht="12.75" customHeight="1" x14ac:dyDescent="0.2">
      <c r="A18" s="481" t="s">
        <v>1471</v>
      </c>
      <c r="B18" s="482">
        <v>240</v>
      </c>
      <c r="C18" s="476"/>
      <c r="D18" s="476"/>
      <c r="E18" s="476"/>
      <c r="F18" s="476"/>
      <c r="G18" s="476"/>
      <c r="H18" s="476"/>
      <c r="I18" s="476"/>
      <c r="J18" s="476"/>
      <c r="K18" s="476"/>
      <c r="L18" s="476"/>
      <c r="M18" s="466">
        <v>94743</v>
      </c>
      <c r="N18" s="483"/>
    </row>
    <row r="19" spans="1:14" s="484" customFormat="1" ht="12.75" customHeight="1" x14ac:dyDescent="0.2">
      <c r="A19" s="481" t="s">
        <v>1472</v>
      </c>
      <c r="B19" s="482">
        <v>250</v>
      </c>
      <c r="C19" s="476"/>
      <c r="D19" s="476"/>
      <c r="E19" s="476"/>
      <c r="F19" s="476"/>
      <c r="G19" s="476"/>
      <c r="H19" s="476"/>
      <c r="I19" s="476"/>
      <c r="J19" s="476"/>
      <c r="K19" s="476"/>
      <c r="L19" s="476"/>
      <c r="M19" s="466">
        <v>1745567</v>
      </c>
      <c r="N19" s="483"/>
    </row>
    <row r="20" spans="1:14" s="484" customFormat="1" ht="12.75" customHeight="1" x14ac:dyDescent="0.2">
      <c r="A20" s="481" t="s">
        <v>1473</v>
      </c>
      <c r="B20" s="482">
        <v>260</v>
      </c>
      <c r="C20" s="476"/>
      <c r="D20" s="476"/>
      <c r="E20" s="476"/>
      <c r="F20" s="476"/>
      <c r="G20" s="476"/>
      <c r="H20" s="476"/>
      <c r="I20" s="476"/>
      <c r="J20" s="476"/>
      <c r="K20" s="476"/>
      <c r="L20" s="476"/>
      <c r="M20" s="466"/>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670377</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4459645</v>
      </c>
    </row>
    <row r="23" spans="1:14" ht="13.5" customHeight="1" thickBot="1" x14ac:dyDescent="0.25">
      <c r="A23" s="1757" t="s">
        <v>664</v>
      </c>
      <c r="B23" s="1762"/>
      <c r="C23" s="467"/>
      <c r="D23" s="467"/>
      <c r="E23" s="467"/>
      <c r="F23" s="467"/>
      <c r="G23" s="467"/>
      <c r="H23" s="467"/>
      <c r="I23" s="467"/>
      <c r="J23" s="467"/>
      <c r="K23" s="467"/>
      <c r="L23" s="467"/>
      <c r="M23" s="1709">
        <f>SUM(M15:M22)</f>
        <v>5542342</v>
      </c>
      <c r="N23" s="1709">
        <f>SUM(N21:N22)</f>
        <v>5130022</v>
      </c>
    </row>
    <row r="24" spans="1:14" ht="18" customHeight="1" thickTop="1" x14ac:dyDescent="0.2">
      <c r="A24" s="2130" t="s">
        <v>619</v>
      </c>
      <c r="B24" s="2131"/>
      <c r="C24" s="1589"/>
      <c r="D24" s="1586"/>
      <c r="E24" s="1586"/>
      <c r="F24" s="1586"/>
      <c r="G24" s="1586"/>
      <c r="H24" s="1586"/>
      <c r="I24" s="1586"/>
      <c r="J24" s="1586"/>
      <c r="K24" s="1586"/>
      <c r="L24" s="1586"/>
      <c r="M24" s="1585"/>
      <c r="N24" s="1590"/>
    </row>
    <row r="25" spans="1:14" x14ac:dyDescent="0.2">
      <c r="A25" s="472" t="s">
        <v>666</v>
      </c>
      <c r="B25" s="469">
        <v>410</v>
      </c>
      <c r="C25" s="477">
        <v>400000</v>
      </c>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v>41200</v>
      </c>
      <c r="D27" s="466">
        <v>25744</v>
      </c>
      <c r="E27" s="466"/>
      <c r="F27" s="466">
        <v>1600</v>
      </c>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v>532618</v>
      </c>
      <c r="D30" s="473">
        <v>931</v>
      </c>
      <c r="E30" s="466"/>
      <c r="F30" s="466"/>
      <c r="G30" s="466">
        <v>21297</v>
      </c>
      <c r="H30" s="466"/>
      <c r="I30" s="466"/>
      <c r="J30" s="466"/>
      <c r="K30" s="477"/>
      <c r="L30" s="467"/>
      <c r="M30" s="467"/>
      <c r="N30" s="467"/>
    </row>
    <row r="31" spans="1:14" ht="13.5" customHeight="1" x14ac:dyDescent="0.2">
      <c r="A31" s="472" t="s">
        <v>672</v>
      </c>
      <c r="B31" s="469">
        <v>480</v>
      </c>
      <c r="C31" s="465"/>
      <c r="D31" s="466"/>
      <c r="E31" s="466"/>
      <c r="F31" s="465"/>
      <c r="G31" s="466"/>
      <c r="H31" s="466"/>
      <c r="I31" s="466"/>
      <c r="J31" s="466"/>
      <c r="K31" s="466"/>
      <c r="L31" s="467"/>
      <c r="M31" s="467"/>
      <c r="N31" s="467"/>
    </row>
    <row r="32" spans="1:14" ht="13.5" customHeight="1" x14ac:dyDescent="0.2">
      <c r="A32" s="489" t="s">
        <v>673</v>
      </c>
      <c r="B32" s="490">
        <v>490</v>
      </c>
      <c r="C32" s="491">
        <v>119701</v>
      </c>
      <c r="D32" s="491">
        <v>12495</v>
      </c>
      <c r="E32" s="473">
        <v>11338</v>
      </c>
      <c r="F32" s="473">
        <v>1168</v>
      </c>
      <c r="G32" s="473">
        <v>3142</v>
      </c>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21927</v>
      </c>
      <c r="M33" s="467"/>
      <c r="N33" s="468"/>
    </row>
    <row r="34" spans="1:14" ht="13.5" customHeight="1" thickBot="1" x14ac:dyDescent="0.25">
      <c r="A34" s="1759" t="s">
        <v>675</v>
      </c>
      <c r="B34" s="1760"/>
      <c r="C34" s="1761">
        <f>SUM(C25:C33)</f>
        <v>1093519</v>
      </c>
      <c r="D34" s="1761">
        <f t="shared" ref="D34:K34" si="1">SUM(D25:D33)</f>
        <v>39170</v>
      </c>
      <c r="E34" s="1761">
        <f t="shared" si="1"/>
        <v>11338</v>
      </c>
      <c r="F34" s="1761">
        <f t="shared" si="1"/>
        <v>2768</v>
      </c>
      <c r="G34" s="1761">
        <f t="shared" si="1"/>
        <v>24439</v>
      </c>
      <c r="H34" s="1761">
        <f t="shared" si="1"/>
        <v>0</v>
      </c>
      <c r="I34" s="1761">
        <f t="shared" si="1"/>
        <v>0</v>
      </c>
      <c r="J34" s="1761">
        <f t="shared" si="1"/>
        <v>0</v>
      </c>
      <c r="K34" s="1761">
        <f t="shared" si="1"/>
        <v>0</v>
      </c>
      <c r="L34" s="1742">
        <f>SUM(L33)</f>
        <v>21927</v>
      </c>
      <c r="M34" s="467"/>
      <c r="N34" s="479"/>
    </row>
    <row r="35" spans="1:14" ht="18" customHeight="1" thickTop="1" x14ac:dyDescent="0.2">
      <c r="A35" s="2132" t="s">
        <v>550</v>
      </c>
      <c r="B35" s="2133"/>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5130022</v>
      </c>
    </row>
    <row r="37" spans="1:14" ht="13.5" thickBot="1" x14ac:dyDescent="0.25">
      <c r="A37" s="1757" t="s">
        <v>674</v>
      </c>
      <c r="B37" s="1762"/>
      <c r="C37" s="476"/>
      <c r="D37" s="476"/>
      <c r="E37" s="476"/>
      <c r="F37" s="476"/>
      <c r="G37" s="476"/>
      <c r="H37" s="476"/>
      <c r="I37" s="476"/>
      <c r="J37" s="476"/>
      <c r="K37" s="476"/>
      <c r="L37" s="479"/>
      <c r="M37" s="467"/>
      <c r="N37" s="1709">
        <f>SUM(N36:N36)</f>
        <v>5130022</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1890408</v>
      </c>
      <c r="D39" s="465">
        <v>895979</v>
      </c>
      <c r="E39" s="465">
        <v>659038</v>
      </c>
      <c r="F39" s="465">
        <v>207551</v>
      </c>
      <c r="G39" s="465">
        <v>106701</v>
      </c>
      <c r="H39" s="465"/>
      <c r="I39" s="465">
        <v>627416</v>
      </c>
      <c r="J39" s="466"/>
      <c r="K39" s="465">
        <v>1400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5542342</v>
      </c>
      <c r="N40" s="496"/>
    </row>
    <row r="41" spans="1:14" ht="13.5" customHeight="1" thickBot="1" x14ac:dyDescent="0.25">
      <c r="A41" s="1757" t="s">
        <v>676</v>
      </c>
      <c r="B41" s="1727"/>
      <c r="C41" s="1709">
        <f>(SUM(C34,C37,C38,C39))</f>
        <v>2983927</v>
      </c>
      <c r="D41" s="1709">
        <f t="shared" ref="D41:L41" si="2">SUM(D34,D37,D38:D39)</f>
        <v>935149</v>
      </c>
      <c r="E41" s="1709">
        <f t="shared" si="2"/>
        <v>670376</v>
      </c>
      <c r="F41" s="1709">
        <f t="shared" si="2"/>
        <v>210319</v>
      </c>
      <c r="G41" s="1709">
        <f t="shared" si="2"/>
        <v>131140</v>
      </c>
      <c r="H41" s="1709">
        <f t="shared" si="2"/>
        <v>0</v>
      </c>
      <c r="I41" s="1709">
        <f t="shared" si="2"/>
        <v>627416</v>
      </c>
      <c r="J41" s="1709">
        <f t="shared" si="2"/>
        <v>0</v>
      </c>
      <c r="K41" s="1709">
        <f t="shared" si="2"/>
        <v>1400</v>
      </c>
      <c r="L41" s="1709">
        <f t="shared" si="2"/>
        <v>21927</v>
      </c>
      <c r="M41" s="1709">
        <f>SUM(M40)</f>
        <v>5542342</v>
      </c>
      <c r="N41" s="1709">
        <f>SUM(N37)</f>
        <v>5130022</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27" activePane="bottomLeft" state="frozenSplit"/>
      <selection activeCell="A47" sqref="A47"/>
      <selection pane="bottomLeft" activeCell="C36" sqref="C36"/>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2"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3"/>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4" t="s">
        <v>1237</v>
      </c>
      <c r="B3" s="2155"/>
      <c r="C3" s="1594"/>
      <c r="D3" s="1595"/>
      <c r="E3" s="1595"/>
      <c r="F3" s="1595"/>
      <c r="G3" s="1595"/>
      <c r="H3" s="1595"/>
      <c r="I3" s="1595"/>
      <c r="J3" s="1595"/>
      <c r="K3" s="1596"/>
      <c r="L3" s="505"/>
    </row>
    <row r="4" spans="1:13" ht="15.75" customHeight="1" x14ac:dyDescent="0.2">
      <c r="A4" s="1953" t="s">
        <v>1579</v>
      </c>
      <c r="B4" s="1954">
        <v>1000</v>
      </c>
      <c r="C4" s="1763">
        <f>'Revenues 9-14'!C109</f>
        <v>5356480</v>
      </c>
      <c r="D4" s="1763">
        <f>'Revenues 9-14'!D109</f>
        <v>638652</v>
      </c>
      <c r="E4" s="1763">
        <f>'Revenues 9-14'!E109</f>
        <v>458762</v>
      </c>
      <c r="F4" s="1763">
        <f>'Revenues 9-14'!F109</f>
        <v>53224</v>
      </c>
      <c r="G4" s="1763">
        <f>'Revenues 9-14'!G109</f>
        <v>157922</v>
      </c>
      <c r="H4" s="1763">
        <f>'Revenues 9-14'!H109</f>
        <v>0</v>
      </c>
      <c r="I4" s="1763">
        <f>'Revenues 9-14'!I109</f>
        <v>6038</v>
      </c>
      <c r="J4" s="1763">
        <f>'Revenues 9-14'!J109</f>
        <v>0</v>
      </c>
      <c r="K4" s="1763">
        <f>'Revenues 9-14'!K109</f>
        <v>13</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595539</v>
      </c>
      <c r="D6" s="1764">
        <f>'Revenues 9-14'!D173</f>
        <v>0</v>
      </c>
      <c r="E6" s="1764">
        <f>'Revenues 9-14'!E173</f>
        <v>0</v>
      </c>
      <c r="F6" s="1764">
        <f>'Revenues 9-14'!F173</f>
        <v>40200</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298303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6250322</v>
      </c>
      <c r="D8" s="1709">
        <f t="shared" ref="D8:K8" si="0">SUM(D4:D7)</f>
        <v>638652</v>
      </c>
      <c r="E8" s="1709">
        <f t="shared" si="0"/>
        <v>458762</v>
      </c>
      <c r="F8" s="1709">
        <f t="shared" si="0"/>
        <v>93424</v>
      </c>
      <c r="G8" s="1709">
        <f t="shared" si="0"/>
        <v>157922</v>
      </c>
      <c r="H8" s="1709">
        <f t="shared" si="0"/>
        <v>0</v>
      </c>
      <c r="I8" s="1709">
        <f t="shared" si="0"/>
        <v>6038</v>
      </c>
      <c r="J8" s="1709">
        <f t="shared" si="0"/>
        <v>0</v>
      </c>
      <c r="K8" s="1709">
        <f t="shared" si="0"/>
        <v>13</v>
      </c>
      <c r="L8" s="346"/>
    </row>
    <row r="9" spans="1:13" ht="15.75" thickTop="1" x14ac:dyDescent="0.2">
      <c r="A9" s="513" t="s">
        <v>1752</v>
      </c>
      <c r="B9" s="514">
        <v>3998</v>
      </c>
      <c r="C9" s="480">
        <v>2367107</v>
      </c>
      <c r="D9" s="515"/>
      <c r="E9" s="480"/>
      <c r="F9" s="480"/>
      <c r="G9" s="516"/>
      <c r="H9" s="480"/>
      <c r="I9" s="508" t="s">
        <v>1231</v>
      </c>
      <c r="J9" s="477"/>
      <c r="K9" s="480"/>
      <c r="L9" s="346"/>
    </row>
    <row r="10" spans="1:13" s="518" customFormat="1" ht="13.5" thickBot="1" x14ac:dyDescent="0.25">
      <c r="A10" s="1757" t="s">
        <v>1235</v>
      </c>
      <c r="B10" s="1730"/>
      <c r="C10" s="1709">
        <f>SUM(C8:C9)</f>
        <v>8617429</v>
      </c>
      <c r="D10" s="1709">
        <f t="shared" ref="D10:K10" si="1">SUM(D8:D9)</f>
        <v>638652</v>
      </c>
      <c r="E10" s="1709">
        <f t="shared" si="1"/>
        <v>458762</v>
      </c>
      <c r="F10" s="1709">
        <f t="shared" si="1"/>
        <v>93424</v>
      </c>
      <c r="G10" s="1709">
        <f t="shared" si="1"/>
        <v>157922</v>
      </c>
      <c r="H10" s="1709">
        <f t="shared" si="1"/>
        <v>0</v>
      </c>
      <c r="I10" s="1709">
        <f t="shared" si="1"/>
        <v>6038</v>
      </c>
      <c r="J10" s="1709">
        <f t="shared" si="1"/>
        <v>0</v>
      </c>
      <c r="K10" s="1709">
        <f t="shared" si="1"/>
        <v>13</v>
      </c>
      <c r="L10" s="517"/>
    </row>
    <row r="11" spans="1:13" s="518" customFormat="1" ht="16.7" customHeight="1" thickTop="1" x14ac:dyDescent="0.2">
      <c r="A11" s="2128" t="s">
        <v>1238</v>
      </c>
      <c r="B11" s="2129"/>
      <c r="C11" s="1591"/>
      <c r="D11" s="1592"/>
      <c r="E11" s="1592"/>
      <c r="F11" s="1592"/>
      <c r="G11" s="1592"/>
      <c r="H11" s="1592"/>
      <c r="I11" s="1592"/>
      <c r="J11" s="1592"/>
      <c r="K11" s="1593"/>
      <c r="L11" s="517"/>
    </row>
    <row r="12" spans="1:13" ht="15.75" customHeight="1" x14ac:dyDescent="0.2">
      <c r="A12" s="1597" t="s">
        <v>476</v>
      </c>
      <c r="B12" s="1599">
        <v>1000</v>
      </c>
      <c r="C12" s="1763">
        <f>'Expenditures 15-22'!K33</f>
        <v>4034184</v>
      </c>
      <c r="D12" s="519" t="s">
        <v>1231</v>
      </c>
      <c r="E12" s="467" t="s">
        <v>1231</v>
      </c>
      <c r="F12" s="467" t="s">
        <v>1231</v>
      </c>
      <c r="G12" s="1763">
        <f>'Expenditures 15-22'!K229</f>
        <v>108823</v>
      </c>
      <c r="H12" s="520"/>
      <c r="I12" s="467" t="s">
        <v>1231</v>
      </c>
      <c r="J12" s="467" t="s">
        <v>1231</v>
      </c>
      <c r="K12" s="520" t="s">
        <v>1231</v>
      </c>
      <c r="L12" s="346"/>
    </row>
    <row r="13" spans="1:13" ht="15.75" customHeight="1" x14ac:dyDescent="0.2">
      <c r="A13" s="1597" t="s">
        <v>477</v>
      </c>
      <c r="B13" s="1599">
        <v>2000</v>
      </c>
      <c r="C13" s="1764">
        <f>'Expenditures 15-22'!K74</f>
        <v>1493653</v>
      </c>
      <c r="D13" s="1764">
        <f>'Expenditures 15-22'!K129</f>
        <v>567300</v>
      </c>
      <c r="E13" s="468" t="s">
        <v>1231</v>
      </c>
      <c r="F13" s="1764">
        <f>'Expenditures 15-22'!K184</f>
        <v>115138</v>
      </c>
      <c r="G13" s="1764">
        <f>'Expenditures 15-22'!K279</f>
        <v>83892</v>
      </c>
      <c r="H13" s="1764">
        <f>'Expenditures 15-22'!K303</f>
        <v>0</v>
      </c>
      <c r="I13" s="467" t="s">
        <v>1231</v>
      </c>
      <c r="J13" s="1764">
        <f>'Expenditures 15-22'!K330</f>
        <v>0</v>
      </c>
      <c r="K13" s="1768">
        <f>'Expenditures 15-22'!K352</f>
        <v>0</v>
      </c>
      <c r="L13" s="346"/>
    </row>
    <row r="14" spans="1:13" ht="15.75" customHeight="1" x14ac:dyDescent="0.2">
      <c r="A14" s="1597" t="s">
        <v>469</v>
      </c>
      <c r="B14" s="1599">
        <v>3000</v>
      </c>
      <c r="C14" s="1764">
        <f>'Expenditures 15-22'!K75</f>
        <v>46959</v>
      </c>
      <c r="D14" s="1764">
        <f>'Expenditures 15-22'!K130</f>
        <v>0</v>
      </c>
      <c r="E14" s="519" t="s">
        <v>1231</v>
      </c>
      <c r="F14" s="1764">
        <f>'Expenditures 15-22'!K185</f>
        <v>0</v>
      </c>
      <c r="G14" s="1764">
        <f>'Expenditures 15-22'!K280</f>
        <v>7731</v>
      </c>
      <c r="H14" s="511"/>
      <c r="I14" s="467" t="s">
        <v>1231</v>
      </c>
      <c r="J14" s="467" t="s">
        <v>1231</v>
      </c>
      <c r="K14" s="511" t="s">
        <v>1231</v>
      </c>
      <c r="L14" s="346"/>
    </row>
    <row r="15" spans="1:13" ht="15.75" customHeight="1" x14ac:dyDescent="0.2">
      <c r="A15" s="1597" t="s">
        <v>109</v>
      </c>
      <c r="B15" s="1599">
        <v>4000</v>
      </c>
      <c r="C15" s="1764">
        <f>'Expenditures 15-22'!K102</f>
        <v>519802</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540644</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6094598</v>
      </c>
      <c r="D17" s="1709">
        <f t="shared" si="2"/>
        <v>567300</v>
      </c>
      <c r="E17" s="1709">
        <f t="shared" si="2"/>
        <v>540644</v>
      </c>
      <c r="F17" s="1709">
        <f t="shared" si="2"/>
        <v>115138</v>
      </c>
      <c r="G17" s="1709">
        <f t="shared" si="2"/>
        <v>200446</v>
      </c>
      <c r="H17" s="1709">
        <f t="shared" si="2"/>
        <v>0</v>
      </c>
      <c r="I17" s="467"/>
      <c r="J17" s="1709">
        <f>SUM(J12:J16)</f>
        <v>0</v>
      </c>
      <c r="K17" s="1709">
        <f>SUM(K12:K16)</f>
        <v>0</v>
      </c>
      <c r="L17" s="346"/>
    </row>
    <row r="18" spans="1:12" ht="15" customHeight="1" thickTop="1" x14ac:dyDescent="0.2">
      <c r="A18" s="1765" t="s">
        <v>1753</v>
      </c>
      <c r="B18" s="1766">
        <v>4180</v>
      </c>
      <c r="C18" s="1763">
        <f t="shared" ref="C18:H18" si="3">C9</f>
        <v>2367107</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8461705</v>
      </c>
      <c r="D19" s="1709">
        <f t="shared" si="4"/>
        <v>567300</v>
      </c>
      <c r="E19" s="1709">
        <f t="shared" si="4"/>
        <v>540644</v>
      </c>
      <c r="F19" s="1709">
        <f t="shared" si="4"/>
        <v>115138</v>
      </c>
      <c r="G19" s="1709">
        <f t="shared" si="4"/>
        <v>200446</v>
      </c>
      <c r="H19" s="1709">
        <f t="shared" si="4"/>
        <v>0</v>
      </c>
      <c r="I19" s="467"/>
      <c r="J19" s="1709">
        <f>SUM(J17:J18)</f>
        <v>0</v>
      </c>
      <c r="K19" s="1709">
        <f>SUM(K17:K18)</f>
        <v>0</v>
      </c>
      <c r="L19" s="346"/>
    </row>
    <row r="20" spans="1:12" ht="16.5" thickTop="1" thickBot="1" x14ac:dyDescent="0.25">
      <c r="A20" s="2144" t="s">
        <v>1754</v>
      </c>
      <c r="B20" s="2145"/>
      <c r="C20" s="1767">
        <f>C8-C17</f>
        <v>155724</v>
      </c>
      <c r="D20" s="1767">
        <f t="shared" ref="D20:K20" si="5">D8-D17</f>
        <v>71352</v>
      </c>
      <c r="E20" s="1767">
        <f t="shared" si="5"/>
        <v>-81882</v>
      </c>
      <c r="F20" s="1767">
        <f t="shared" si="5"/>
        <v>-21714</v>
      </c>
      <c r="G20" s="1767">
        <f t="shared" si="5"/>
        <v>-42524</v>
      </c>
      <c r="H20" s="1767">
        <f t="shared" si="5"/>
        <v>0</v>
      </c>
      <c r="I20" s="1767">
        <f t="shared" si="5"/>
        <v>6038</v>
      </c>
      <c r="J20" s="1767">
        <f t="shared" si="5"/>
        <v>0</v>
      </c>
      <c r="K20" s="1767">
        <f t="shared" si="5"/>
        <v>13</v>
      </c>
      <c r="L20" s="346"/>
    </row>
    <row r="21" spans="1:12" ht="16.7" customHeight="1" thickTop="1" x14ac:dyDescent="0.2">
      <c r="A21" s="2156" t="s">
        <v>616</v>
      </c>
      <c r="B21" s="2157"/>
      <c r="C21" s="1591"/>
      <c r="D21" s="1592"/>
      <c r="E21" s="1592"/>
      <c r="F21" s="1592"/>
      <c r="G21" s="1592"/>
      <c r="H21" s="1592"/>
      <c r="I21" s="1592"/>
      <c r="J21" s="1592"/>
      <c r="K21" s="1593"/>
      <c r="L21" s="523"/>
    </row>
    <row r="22" spans="1:12" ht="15.75" customHeight="1" collapsed="1" x14ac:dyDescent="0.2">
      <c r="A22" s="2152" t="s">
        <v>617</v>
      </c>
      <c r="B22" s="2153"/>
      <c r="C22" s="476"/>
      <c r="D22" s="476"/>
      <c r="E22" s="476"/>
      <c r="F22" s="476"/>
      <c r="G22" s="476"/>
      <c r="H22" s="476"/>
      <c r="I22" s="476"/>
      <c r="J22" s="476"/>
      <c r="K22" s="476"/>
      <c r="L22" s="346"/>
    </row>
    <row r="23" spans="1:12" s="484" customFormat="1" ht="15.75" customHeight="1" x14ac:dyDescent="0.2">
      <c r="A23" s="2148" t="s">
        <v>311</v>
      </c>
      <c r="B23" s="2149"/>
      <c r="C23" s="479"/>
      <c r="D23" s="476"/>
      <c r="E23" s="476"/>
      <c r="F23" s="476"/>
      <c r="G23" s="476"/>
      <c r="H23" s="476"/>
      <c r="I23" s="476"/>
      <c r="J23" s="476"/>
      <c r="K23" s="476"/>
      <c r="L23" s="523"/>
    </row>
    <row r="24" spans="1:12" s="484" customFormat="1" ht="13.5" customHeight="1" x14ac:dyDescent="0.2">
      <c r="A24" s="1510" t="s">
        <v>1755</v>
      </c>
      <c r="B24" s="524">
        <v>7110</v>
      </c>
      <c r="C24" s="466">
        <v>400000</v>
      </c>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50" t="s">
        <v>1038</v>
      </c>
      <c r="B32" s="2151"/>
      <c r="C32" s="476"/>
      <c r="D32" s="476"/>
      <c r="E32" s="474"/>
      <c r="F32" s="476"/>
      <c r="G32" s="476"/>
      <c r="H32" s="476"/>
      <c r="I32" s="476"/>
      <c r="J32" s="476"/>
      <c r="K32" s="476"/>
      <c r="L32" s="523"/>
    </row>
    <row r="33" spans="1:12" s="484" customFormat="1" x14ac:dyDescent="0.2">
      <c r="A33" s="1510" t="s">
        <v>432</v>
      </c>
      <c r="B33" s="524">
        <v>7210</v>
      </c>
      <c r="C33" s="466">
        <v>42828</v>
      </c>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117886</v>
      </c>
      <c r="F37" s="474"/>
      <c r="G37" s="474"/>
      <c r="H37" s="474"/>
      <c r="I37" s="476"/>
      <c r="J37" s="474"/>
      <c r="K37" s="474"/>
      <c r="L37" s="523"/>
    </row>
    <row r="38" spans="1:12" s="484" customFormat="1" x14ac:dyDescent="0.2">
      <c r="A38" s="1510" t="s">
        <v>462</v>
      </c>
      <c r="B38" s="524">
        <v>7500</v>
      </c>
      <c r="C38" s="476"/>
      <c r="D38" s="476"/>
      <c r="E38" s="1764">
        <f>SUM(C58:D61,H58:H61)</f>
        <v>4467</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58" t="s">
        <v>392</v>
      </c>
      <c r="B44" s="2159"/>
      <c r="C44" s="1724">
        <f>SUM(C24:C43)</f>
        <v>442828</v>
      </c>
      <c r="D44" s="1724">
        <f t="shared" ref="D44:K44" si="6">SUM(D24:D43)</f>
        <v>0</v>
      </c>
      <c r="E44" s="1724">
        <f t="shared" si="6"/>
        <v>122353</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52" t="s">
        <v>110</v>
      </c>
      <c r="B45" s="2153"/>
      <c r="C45" s="527"/>
      <c r="D45" s="527"/>
      <c r="E45" s="527"/>
      <c r="F45" s="527"/>
      <c r="G45" s="527"/>
      <c r="H45" s="527"/>
      <c r="I45" s="527"/>
      <c r="J45" s="527"/>
      <c r="K45" s="527"/>
      <c r="L45" s="346"/>
    </row>
    <row r="46" spans="1:12" s="484" customFormat="1" ht="15.75" customHeight="1" x14ac:dyDescent="0.2">
      <c r="A46" s="2160" t="s">
        <v>111</v>
      </c>
      <c r="B46" s="2161"/>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400000</v>
      </c>
      <c r="J47" s="476"/>
      <c r="K47" s="476"/>
      <c r="L47" s="528"/>
    </row>
    <row r="48" spans="1:12" s="484" customFormat="1" ht="15" x14ac:dyDescent="0.2">
      <c r="A48" s="1511" t="s">
        <v>1759</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v>117886</v>
      </c>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v>4467</v>
      </c>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4" t="s">
        <v>460</v>
      </c>
      <c r="B76" s="2135"/>
      <c r="C76" s="1724">
        <f t="shared" ref="C76:K76" si="7">SUM(C47:C75)</f>
        <v>122353</v>
      </c>
      <c r="D76" s="1724">
        <f t="shared" si="7"/>
        <v>0</v>
      </c>
      <c r="E76" s="1724">
        <f t="shared" si="7"/>
        <v>0</v>
      </c>
      <c r="F76" s="1724">
        <f t="shared" si="7"/>
        <v>0</v>
      </c>
      <c r="G76" s="1724">
        <f t="shared" si="7"/>
        <v>0</v>
      </c>
      <c r="H76" s="1724">
        <f t="shared" si="7"/>
        <v>0</v>
      </c>
      <c r="I76" s="1724">
        <f t="shared" si="7"/>
        <v>400000</v>
      </c>
      <c r="J76" s="1724">
        <f t="shared" si="7"/>
        <v>0</v>
      </c>
      <c r="K76" s="1724">
        <f t="shared" si="7"/>
        <v>0</v>
      </c>
      <c r="L76" s="523"/>
    </row>
    <row r="77" spans="1:12" ht="14.25" thickTop="1" thickBot="1" x14ac:dyDescent="0.25">
      <c r="A77" s="2136" t="s">
        <v>1239</v>
      </c>
      <c r="B77" s="2137"/>
      <c r="C77" s="1724">
        <f t="shared" ref="C77:K77" si="8">C44-C76</f>
        <v>320475</v>
      </c>
      <c r="D77" s="1724">
        <f t="shared" si="8"/>
        <v>0</v>
      </c>
      <c r="E77" s="1724">
        <f t="shared" si="8"/>
        <v>122353</v>
      </c>
      <c r="F77" s="1724">
        <f t="shared" si="8"/>
        <v>0</v>
      </c>
      <c r="G77" s="1724">
        <f t="shared" si="8"/>
        <v>0</v>
      </c>
      <c r="H77" s="1724">
        <f t="shared" si="8"/>
        <v>0</v>
      </c>
      <c r="I77" s="1724">
        <f t="shared" si="8"/>
        <v>-400000</v>
      </c>
      <c r="J77" s="1724">
        <f t="shared" si="8"/>
        <v>0</v>
      </c>
      <c r="K77" s="1724">
        <f t="shared" si="8"/>
        <v>0</v>
      </c>
      <c r="L77" s="346"/>
    </row>
    <row r="78" spans="1:12" ht="21.75" customHeight="1" thickTop="1" thickBot="1" x14ac:dyDescent="0.25">
      <c r="A78" s="2140" t="s">
        <v>618</v>
      </c>
      <c r="B78" s="2141"/>
      <c r="C78" s="1723">
        <f t="shared" ref="C78:K78" si="9">C20+C77</f>
        <v>476199</v>
      </c>
      <c r="D78" s="1723">
        <f t="shared" si="9"/>
        <v>71352</v>
      </c>
      <c r="E78" s="1723">
        <f t="shared" si="9"/>
        <v>40471</v>
      </c>
      <c r="F78" s="1723">
        <f t="shared" si="9"/>
        <v>-21714</v>
      </c>
      <c r="G78" s="1723">
        <f t="shared" si="9"/>
        <v>-42524</v>
      </c>
      <c r="H78" s="1723">
        <f t="shared" si="9"/>
        <v>0</v>
      </c>
      <c r="I78" s="1723">
        <f t="shared" si="9"/>
        <v>-393962</v>
      </c>
      <c r="J78" s="1723">
        <f t="shared" si="9"/>
        <v>0</v>
      </c>
      <c r="K78" s="1723">
        <f t="shared" si="9"/>
        <v>13</v>
      </c>
      <c r="L78" s="532"/>
    </row>
    <row r="79" spans="1:12" ht="13.5" thickTop="1" x14ac:dyDescent="0.2">
      <c r="A79" s="1515" t="s">
        <v>2071</v>
      </c>
      <c r="B79" s="533"/>
      <c r="C79" s="477">
        <v>1414209</v>
      </c>
      <c r="D79" s="534">
        <v>824627</v>
      </c>
      <c r="E79" s="534">
        <v>618567</v>
      </c>
      <c r="F79" s="534">
        <v>229265</v>
      </c>
      <c r="G79" s="534">
        <v>149225</v>
      </c>
      <c r="H79" s="534"/>
      <c r="I79" s="534">
        <v>1021378</v>
      </c>
      <c r="J79" s="534"/>
      <c r="K79" s="534">
        <v>1387</v>
      </c>
      <c r="L79" s="346"/>
    </row>
    <row r="80" spans="1:12" x14ac:dyDescent="0.2">
      <c r="A80" s="2146" t="s">
        <v>1898</v>
      </c>
      <c r="B80" s="2147"/>
      <c r="C80" s="466"/>
      <c r="D80" s="466"/>
      <c r="E80" s="466"/>
      <c r="F80" s="466"/>
      <c r="G80" s="466"/>
      <c r="H80" s="466"/>
      <c r="I80" s="466"/>
      <c r="J80" s="466"/>
      <c r="K80" s="466"/>
      <c r="L80" s="346"/>
    </row>
    <row r="81" spans="1:12" ht="13.5" thickBot="1" x14ac:dyDescent="0.25">
      <c r="A81" s="2138" t="s">
        <v>2072</v>
      </c>
      <c r="B81" s="2139"/>
      <c r="C81" s="1709">
        <f>(SUM(C78:C80))</f>
        <v>1890408</v>
      </c>
      <c r="D81" s="1709">
        <f>SUM(D78:D80)</f>
        <v>895979</v>
      </c>
      <c r="E81" s="1709">
        <f t="shared" ref="E81:K81" si="10">SUM(E78:E80)</f>
        <v>659038</v>
      </c>
      <c r="F81" s="1709">
        <f t="shared" si="10"/>
        <v>207551</v>
      </c>
      <c r="G81" s="1709">
        <f t="shared" si="10"/>
        <v>106701</v>
      </c>
      <c r="H81" s="1709">
        <f t="shared" si="10"/>
        <v>0</v>
      </c>
      <c r="I81" s="1709">
        <f t="shared" si="10"/>
        <v>627416</v>
      </c>
      <c r="J81" s="1709">
        <f t="shared" si="10"/>
        <v>0</v>
      </c>
      <c r="K81" s="1709">
        <f t="shared" si="10"/>
        <v>1400</v>
      </c>
      <c r="L81" s="346"/>
    </row>
    <row r="82" spans="1:12" ht="0.75" customHeight="1" thickTop="1" thickBot="1" x14ac:dyDescent="0.25">
      <c r="A82" s="535" t="s">
        <v>361</v>
      </c>
      <c r="B82" s="536"/>
      <c r="C82" s="537">
        <f>(C81-C79)</f>
        <v>476199</v>
      </c>
      <c r="D82" s="537">
        <f t="shared" ref="D82:K82" si="11">(D81-D79)</f>
        <v>71352</v>
      </c>
      <c r="E82" s="537">
        <f t="shared" si="11"/>
        <v>40471</v>
      </c>
      <c r="F82" s="537">
        <f t="shared" si="11"/>
        <v>-21714</v>
      </c>
      <c r="G82" s="537">
        <f t="shared" si="11"/>
        <v>-42524</v>
      </c>
      <c r="H82" s="537">
        <f t="shared" si="11"/>
        <v>0</v>
      </c>
      <c r="I82" s="537">
        <f t="shared" si="11"/>
        <v>-393962</v>
      </c>
      <c r="J82" s="537">
        <f t="shared" si="11"/>
        <v>0</v>
      </c>
      <c r="K82" s="537">
        <f t="shared" si="11"/>
        <v>13</v>
      </c>
    </row>
    <row r="83" spans="1:12" ht="14.25" hidden="1" thickTop="1" thickBot="1" x14ac:dyDescent="0.25">
      <c r="A83" s="538" t="s">
        <v>362</v>
      </c>
      <c r="B83" s="463"/>
      <c r="C83" s="539">
        <f>C82/C81</f>
        <v>0.2519027638478043</v>
      </c>
      <c r="D83" s="539">
        <f t="shared" ref="D83:K83" si="12">D82/D81</f>
        <v>7.9635795035374712E-2</v>
      </c>
      <c r="E83" s="539">
        <f t="shared" si="12"/>
        <v>6.1409205538982575E-2</v>
      </c>
      <c r="F83" s="539">
        <f t="shared" si="12"/>
        <v>-0.10462006928417594</v>
      </c>
      <c r="G83" s="539">
        <f t="shared" si="12"/>
        <v>-0.39853422179735898</v>
      </c>
      <c r="H83" s="539" t="e">
        <f t="shared" si="12"/>
        <v>#DIV/0!</v>
      </c>
      <c r="I83" s="539">
        <f t="shared" si="12"/>
        <v>-0.62791194359085523</v>
      </c>
      <c r="J83" s="539" t="e">
        <f t="shared" si="12"/>
        <v>#DIV/0!</v>
      </c>
      <c r="K83" s="539">
        <f t="shared" si="12"/>
        <v>9.285714285714286E-3</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2" t="s">
        <v>1905</v>
      </c>
      <c r="B1" s="451"/>
      <c r="C1" s="452" t="s">
        <v>445</v>
      </c>
      <c r="D1" s="452" t="s">
        <v>446</v>
      </c>
      <c r="E1" s="452" t="s">
        <v>447</v>
      </c>
      <c r="F1" s="452" t="s">
        <v>448</v>
      </c>
      <c r="G1" s="452" t="s">
        <v>449</v>
      </c>
      <c r="H1" s="452" t="s">
        <v>450</v>
      </c>
      <c r="I1" s="452" t="s">
        <v>451</v>
      </c>
      <c r="J1" s="452" t="s">
        <v>452</v>
      </c>
      <c r="K1" s="452" t="s">
        <v>780</v>
      </c>
    </row>
    <row r="2" spans="1:12" ht="36" x14ac:dyDescent="0.2">
      <c r="A2" s="2143"/>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3790921</v>
      </c>
      <c r="D5" s="480">
        <v>446632</v>
      </c>
      <c r="E5" s="465">
        <v>403224</v>
      </c>
      <c r="F5" s="547">
        <v>45601</v>
      </c>
      <c r="G5" s="465">
        <v>113269</v>
      </c>
      <c r="H5" s="465"/>
      <c r="I5" s="465">
        <v>-1551</v>
      </c>
      <c r="J5" s="466"/>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v>411933</v>
      </c>
      <c r="D7" s="465"/>
      <c r="E7" s="467"/>
      <c r="F7" s="466"/>
      <c r="G7" s="466"/>
      <c r="H7" s="466"/>
      <c r="I7" s="467"/>
      <c r="J7" s="467"/>
      <c r="K7" s="467"/>
    </row>
    <row r="8" spans="1:12" x14ac:dyDescent="0.2">
      <c r="A8" s="462" t="s">
        <v>433</v>
      </c>
      <c r="B8" s="469">
        <v>1150</v>
      </c>
      <c r="C8" s="474"/>
      <c r="D8" s="474"/>
      <c r="E8" s="476"/>
      <c r="F8" s="476"/>
      <c r="G8" s="480"/>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4202854</v>
      </c>
      <c r="D12" s="1728">
        <f t="shared" si="0"/>
        <v>446632</v>
      </c>
      <c r="E12" s="1728">
        <f t="shared" si="0"/>
        <v>403224</v>
      </c>
      <c r="F12" s="1728">
        <f t="shared" si="0"/>
        <v>45601</v>
      </c>
      <c r="G12" s="1728">
        <f t="shared" si="0"/>
        <v>113269</v>
      </c>
      <c r="H12" s="1728">
        <f t="shared" si="0"/>
        <v>0</v>
      </c>
      <c r="I12" s="1728">
        <f t="shared" si="0"/>
        <v>-1551</v>
      </c>
      <c r="J12" s="1728">
        <f t="shared" si="0"/>
        <v>0</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404746</v>
      </c>
      <c r="D16" s="465">
        <v>134915</v>
      </c>
      <c r="E16" s="465"/>
      <c r="F16" s="465"/>
      <c r="G16" s="465">
        <v>29821</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404746</v>
      </c>
      <c r="D18" s="1731">
        <f t="shared" ref="D18:K18" si="1">SUM(D14:D17)</f>
        <v>134915</v>
      </c>
      <c r="E18" s="1731">
        <f t="shared" si="1"/>
        <v>0</v>
      </c>
      <c r="F18" s="1731">
        <f t="shared" si="1"/>
        <v>0</v>
      </c>
      <c r="G18" s="1731">
        <f t="shared" si="1"/>
        <v>29821</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v>91534</v>
      </c>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v>11911</v>
      </c>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v>17082</v>
      </c>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120527</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10564</v>
      </c>
      <c r="D65" s="465">
        <v>2220</v>
      </c>
      <c r="E65" s="465">
        <v>4706</v>
      </c>
      <c r="F65" s="466">
        <v>1962</v>
      </c>
      <c r="G65" s="465">
        <v>1126</v>
      </c>
      <c r="H65" s="465"/>
      <c r="I65" s="465">
        <v>7589</v>
      </c>
      <c r="J65" s="466"/>
      <c r="K65" s="465">
        <v>13</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10564</v>
      </c>
      <c r="D67" s="1709">
        <f t="shared" ref="D67:K67" si="2">SUM(D65:D66)</f>
        <v>2220</v>
      </c>
      <c r="E67" s="1709">
        <f t="shared" si="2"/>
        <v>4706</v>
      </c>
      <c r="F67" s="1709">
        <f t="shared" si="2"/>
        <v>1962</v>
      </c>
      <c r="G67" s="1709">
        <f t="shared" si="2"/>
        <v>1126</v>
      </c>
      <c r="H67" s="1709">
        <f t="shared" si="2"/>
        <v>0</v>
      </c>
      <c r="I67" s="1709">
        <f t="shared" si="2"/>
        <v>7589</v>
      </c>
      <c r="J67" s="1709">
        <f t="shared" si="2"/>
        <v>0</v>
      </c>
      <c r="K67" s="1709">
        <f t="shared" si="2"/>
        <v>13</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54758</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54758</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11880</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11880</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v>38073</v>
      </c>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v>15238</v>
      </c>
      <c r="D92" s="467"/>
      <c r="E92" s="467"/>
      <c r="F92" s="467"/>
      <c r="G92" s="467"/>
      <c r="H92" s="467"/>
      <c r="I92" s="467"/>
      <c r="J92" s="467"/>
      <c r="K92" s="467"/>
    </row>
    <row r="93" spans="1:11" ht="12.75" customHeight="1" thickBot="1" x14ac:dyDescent="0.25">
      <c r="A93" s="1729" t="s">
        <v>261</v>
      </c>
      <c r="B93" s="1730"/>
      <c r="C93" s="1709">
        <f>SUM(C84:C92)</f>
        <v>53311</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v>2899</v>
      </c>
      <c r="D95" s="550"/>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c r="D99" s="465"/>
      <c r="E99" s="465"/>
      <c r="F99" s="465"/>
      <c r="G99" s="465"/>
      <c r="H99" s="465"/>
      <c r="I99" s="467"/>
      <c r="J99" s="466"/>
      <c r="K99" s="465"/>
    </row>
    <row r="100" spans="1:12" ht="12.75" customHeight="1" x14ac:dyDescent="0.2">
      <c r="A100" s="462" t="s">
        <v>263</v>
      </c>
      <c r="B100" s="469">
        <v>1960</v>
      </c>
      <c r="C100" s="488">
        <v>470841</v>
      </c>
      <c r="D100" s="488">
        <v>54885</v>
      </c>
      <c r="E100" s="488">
        <v>50832</v>
      </c>
      <c r="F100" s="488">
        <v>5661</v>
      </c>
      <c r="G100" s="488">
        <v>13706</v>
      </c>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24100</v>
      </c>
      <c r="D107" s="465"/>
      <c r="E107" s="465"/>
      <c r="F107" s="465"/>
      <c r="G107" s="465"/>
      <c r="H107" s="465"/>
      <c r="I107" s="465"/>
      <c r="J107" s="466"/>
      <c r="K107" s="465"/>
    </row>
    <row r="108" spans="1:12" ht="12.75" customHeight="1" thickBot="1" x14ac:dyDescent="0.25">
      <c r="A108" s="1729" t="s">
        <v>508</v>
      </c>
      <c r="B108" s="1733"/>
      <c r="C108" s="1728">
        <f>SUM(C95:C107)</f>
        <v>497840</v>
      </c>
      <c r="D108" s="1728">
        <f t="shared" ref="D108:K108" si="3">SUM(D95:D107)</f>
        <v>54885</v>
      </c>
      <c r="E108" s="1728">
        <f t="shared" si="3"/>
        <v>50832</v>
      </c>
      <c r="F108" s="1728">
        <f t="shared" si="3"/>
        <v>5661</v>
      </c>
      <c r="G108" s="1728">
        <f t="shared" si="3"/>
        <v>13706</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5356480</v>
      </c>
      <c r="D109" s="1736">
        <f t="shared" si="4"/>
        <v>638652</v>
      </c>
      <c r="E109" s="1736">
        <f t="shared" si="4"/>
        <v>458762</v>
      </c>
      <c r="F109" s="1736">
        <f t="shared" si="4"/>
        <v>53224</v>
      </c>
      <c r="G109" s="1736">
        <f t="shared" si="4"/>
        <v>157922</v>
      </c>
      <c r="H109" s="1736">
        <f t="shared" si="4"/>
        <v>0</v>
      </c>
      <c r="I109" s="1736">
        <f t="shared" si="4"/>
        <v>6038</v>
      </c>
      <c r="J109" s="1736">
        <f t="shared" si="4"/>
        <v>0</v>
      </c>
      <c r="K109" s="1723">
        <f t="shared" si="4"/>
        <v>13</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493372</v>
      </c>
      <c r="D117" s="480"/>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493372</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14009</v>
      </c>
      <c r="D124" s="560"/>
      <c r="E124" s="467"/>
      <c r="F124" s="547"/>
      <c r="G124" s="467"/>
      <c r="H124" s="467"/>
      <c r="I124" s="467"/>
      <c r="J124" s="467"/>
      <c r="K124" s="467"/>
    </row>
    <row r="125" spans="1:11" ht="12.75" customHeight="1" x14ac:dyDescent="0.2">
      <c r="A125" s="462" t="s">
        <v>1521</v>
      </c>
      <c r="B125" s="561">
        <v>3105</v>
      </c>
      <c r="C125" s="465">
        <v>5027</v>
      </c>
      <c r="D125" s="560"/>
      <c r="E125" s="467"/>
      <c r="F125" s="465"/>
      <c r="G125" s="467"/>
      <c r="H125" s="467"/>
      <c r="I125" s="467"/>
      <c r="J125" s="467"/>
      <c r="K125" s="467"/>
    </row>
    <row r="126" spans="1:11" ht="12.75" customHeight="1" x14ac:dyDescent="0.2">
      <c r="A126" s="462" t="s">
        <v>922</v>
      </c>
      <c r="B126" s="561">
        <v>3110</v>
      </c>
      <c r="C126" s="550"/>
      <c r="D126" s="465"/>
      <c r="E126" s="467"/>
      <c r="F126" s="465"/>
      <c r="G126" s="467"/>
      <c r="H126" s="467"/>
      <c r="I126" s="467"/>
      <c r="J126" s="467"/>
      <c r="K126" s="467"/>
    </row>
    <row r="127" spans="1:11" ht="12.75" customHeight="1" x14ac:dyDescent="0.2">
      <c r="A127" s="462" t="s">
        <v>107</v>
      </c>
      <c r="B127" s="561">
        <v>3120</v>
      </c>
      <c r="C127" s="465">
        <v>6661</v>
      </c>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25697</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15135</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15135</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1335</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v>136</v>
      </c>
      <c r="G151" s="466"/>
      <c r="H151" s="467"/>
      <c r="I151" s="467"/>
      <c r="J151" s="467"/>
      <c r="K151" s="467"/>
    </row>
    <row r="152" spans="1:11" ht="12.75" customHeight="1" x14ac:dyDescent="0.2">
      <c r="A152" s="462" t="s">
        <v>1117</v>
      </c>
      <c r="B152" s="561">
        <v>3510</v>
      </c>
      <c r="C152" s="550"/>
      <c r="D152" s="465"/>
      <c r="E152" s="560"/>
      <c r="F152" s="465">
        <v>40064</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40200</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v>60000</v>
      </c>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c r="D171" s="579"/>
      <c r="E171" s="579"/>
      <c r="F171" s="579"/>
      <c r="G171" s="580"/>
      <c r="H171" s="581"/>
      <c r="I171" s="580"/>
      <c r="J171" s="580"/>
      <c r="K171" s="581"/>
    </row>
    <row r="172" spans="1:11" ht="12.75" customHeight="1" thickTop="1" thickBot="1" x14ac:dyDescent="0.25">
      <c r="A172" s="2162" t="s">
        <v>418</v>
      </c>
      <c r="B172" s="2163"/>
      <c r="C172" s="1743">
        <f t="shared" ref="C172:K172" si="6">SUM(C131,C140,C144,C145:C149,C154,C155:C170,C171)</f>
        <v>102167</v>
      </c>
      <c r="D172" s="1743">
        <f t="shared" si="6"/>
        <v>0</v>
      </c>
      <c r="E172" s="1743">
        <f t="shared" si="6"/>
        <v>0</v>
      </c>
      <c r="F172" s="1743">
        <f t="shared" si="6"/>
        <v>40200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595539</v>
      </c>
      <c r="D173" s="1736">
        <f>SUM(D121,D172)</f>
        <v>0</v>
      </c>
      <c r="E173" s="1736">
        <f>SUM(E121,E172)</f>
        <v>0</v>
      </c>
      <c r="F173" s="1736">
        <f t="shared" ref="F173:K173" si="7">SUM(F121,F172)</f>
        <v>40200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4" t="s">
        <v>1572</v>
      </c>
      <c r="B175" s="2165"/>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8" t="s">
        <v>1764</v>
      </c>
      <c r="B178" s="216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2" t="s">
        <v>1763</v>
      </c>
      <c r="B179" s="2173"/>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70" t="s">
        <v>818</v>
      </c>
      <c r="B184" s="2171"/>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6" t="s">
        <v>1906</v>
      </c>
      <c r="B185" s="2167"/>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99294</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99294</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101965</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101965</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46420</v>
      </c>
      <c r="D220" s="465"/>
      <c r="E220" s="467"/>
      <c r="F220" s="465"/>
      <c r="G220" s="465"/>
      <c r="H220" s="467"/>
      <c r="I220" s="467"/>
      <c r="J220" s="467"/>
      <c r="K220" s="467"/>
    </row>
    <row r="221" spans="1:11" ht="12.75" customHeight="1" x14ac:dyDescent="0.2">
      <c r="A221" s="462" t="s">
        <v>1114</v>
      </c>
      <c r="B221" s="469">
        <v>4625</v>
      </c>
      <c r="C221" s="550">
        <v>19938</v>
      </c>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66358</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14711</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v>9398</v>
      </c>
      <c r="D270" s="575"/>
      <c r="E270" s="467"/>
      <c r="F270" s="575"/>
      <c r="G270" s="575"/>
      <c r="H270" s="467"/>
      <c r="I270" s="467"/>
      <c r="J270" s="467"/>
      <c r="K270" s="467"/>
    </row>
    <row r="271" spans="1:11" ht="12.75" customHeight="1" thickTop="1" thickBot="1" x14ac:dyDescent="0.25">
      <c r="A271" s="462" t="s">
        <v>395</v>
      </c>
      <c r="B271" s="469">
        <v>4992</v>
      </c>
      <c r="C271" s="574">
        <v>6577</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298303</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298303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6250322</v>
      </c>
      <c r="D275" s="1736">
        <f t="shared" si="12"/>
        <v>638652</v>
      </c>
      <c r="E275" s="1736">
        <f t="shared" si="12"/>
        <v>458762</v>
      </c>
      <c r="F275" s="1736">
        <f t="shared" si="12"/>
        <v>93424</v>
      </c>
      <c r="G275" s="1736">
        <f t="shared" si="12"/>
        <v>157922</v>
      </c>
      <c r="H275" s="1736">
        <f t="shared" si="12"/>
        <v>0</v>
      </c>
      <c r="I275" s="1736">
        <f t="shared" si="12"/>
        <v>6038</v>
      </c>
      <c r="J275" s="1736">
        <f t="shared" si="12"/>
        <v>0</v>
      </c>
      <c r="K275" s="1723">
        <f t="shared" si="12"/>
        <v>13</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2"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4"/>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0" t="s">
        <v>315</v>
      </c>
      <c r="B3" s="2181"/>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1979292</v>
      </c>
      <c r="D5" s="465">
        <v>386661</v>
      </c>
      <c r="E5" s="465">
        <v>166760</v>
      </c>
      <c r="F5" s="465">
        <v>71406</v>
      </c>
      <c r="G5" s="465">
        <v>6589</v>
      </c>
      <c r="H5" s="465">
        <v>36301</v>
      </c>
      <c r="I5" s="466"/>
      <c r="J5" s="466"/>
      <c r="K5" s="1692">
        <f>SUM(C5:J5)</f>
        <v>2647009</v>
      </c>
      <c r="L5" s="465">
        <v>2764115</v>
      </c>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v>96308</v>
      </c>
      <c r="D7" s="466">
        <v>28018</v>
      </c>
      <c r="E7" s="466">
        <v>144</v>
      </c>
      <c r="F7" s="466">
        <v>8687</v>
      </c>
      <c r="G7" s="466">
        <v>6429</v>
      </c>
      <c r="H7" s="466"/>
      <c r="I7" s="466"/>
      <c r="J7" s="466"/>
      <c r="K7" s="1692">
        <f t="shared" ref="K7:K32" si="0">SUM(C7:J7)</f>
        <v>139586</v>
      </c>
      <c r="L7" s="465">
        <v>117650</v>
      </c>
    </row>
    <row r="8" spans="1:14" x14ac:dyDescent="0.2">
      <c r="A8" s="1525" t="s">
        <v>166</v>
      </c>
      <c r="B8" s="614">
        <v>1200</v>
      </c>
      <c r="C8" s="465">
        <v>756439</v>
      </c>
      <c r="D8" s="465">
        <v>129182</v>
      </c>
      <c r="E8" s="465">
        <v>4105</v>
      </c>
      <c r="F8" s="465">
        <v>3167</v>
      </c>
      <c r="G8" s="465">
        <v>1017</v>
      </c>
      <c r="H8" s="465"/>
      <c r="I8" s="466"/>
      <c r="J8" s="466"/>
      <c r="K8" s="1692">
        <f t="shared" si="0"/>
        <v>893910</v>
      </c>
      <c r="L8" s="465">
        <v>916860</v>
      </c>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c r="D10" s="465"/>
      <c r="E10" s="465"/>
      <c r="F10" s="465"/>
      <c r="G10" s="465"/>
      <c r="H10" s="465"/>
      <c r="I10" s="466"/>
      <c r="J10" s="466"/>
      <c r="K10" s="1692">
        <f t="shared" si="0"/>
        <v>0</v>
      </c>
      <c r="L10" s="465"/>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v>200067</v>
      </c>
      <c r="D14" s="465">
        <v>12834</v>
      </c>
      <c r="E14" s="465">
        <v>3056</v>
      </c>
      <c r="F14" s="465">
        <v>2788</v>
      </c>
      <c r="G14" s="465"/>
      <c r="H14" s="465"/>
      <c r="I14" s="466"/>
      <c r="J14" s="466"/>
      <c r="K14" s="1692">
        <f t="shared" si="0"/>
        <v>218745</v>
      </c>
      <c r="L14" s="465">
        <v>213121</v>
      </c>
    </row>
    <row r="15" spans="1:14" x14ac:dyDescent="0.2">
      <c r="A15" s="1525" t="s">
        <v>1021</v>
      </c>
      <c r="B15" s="614">
        <v>1600</v>
      </c>
      <c r="C15" s="465">
        <v>13606</v>
      </c>
      <c r="D15" s="465">
        <v>79</v>
      </c>
      <c r="E15" s="465"/>
      <c r="F15" s="465">
        <v>698</v>
      </c>
      <c r="G15" s="465"/>
      <c r="H15" s="465"/>
      <c r="I15" s="466"/>
      <c r="J15" s="466"/>
      <c r="K15" s="1692">
        <f t="shared" si="0"/>
        <v>14383</v>
      </c>
      <c r="L15" s="465">
        <v>13500</v>
      </c>
    </row>
    <row r="16" spans="1:14" x14ac:dyDescent="0.2">
      <c r="A16" s="1525" t="s">
        <v>1044</v>
      </c>
      <c r="B16" s="614" t="s">
        <v>444</v>
      </c>
      <c r="C16" s="465"/>
      <c r="D16" s="465"/>
      <c r="E16" s="465"/>
      <c r="F16" s="465"/>
      <c r="G16" s="465"/>
      <c r="H16" s="465"/>
      <c r="I16" s="466"/>
      <c r="J16" s="466"/>
      <c r="K16" s="1692">
        <f t="shared" si="0"/>
        <v>0</v>
      </c>
      <c r="L16" s="465"/>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v>95153</v>
      </c>
      <c r="D18" s="465">
        <v>11741</v>
      </c>
      <c r="E18" s="465">
        <v>694</v>
      </c>
      <c r="F18" s="465">
        <v>12963</v>
      </c>
      <c r="G18" s="465"/>
      <c r="H18" s="465"/>
      <c r="I18" s="466"/>
      <c r="J18" s="466"/>
      <c r="K18" s="1692">
        <f t="shared" si="0"/>
        <v>120551</v>
      </c>
      <c r="L18" s="465">
        <v>139598</v>
      </c>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3140865</v>
      </c>
      <c r="D33" s="1691">
        <f t="shared" ref="D33:L33" si="1">SUM(D5:D32)</f>
        <v>568515</v>
      </c>
      <c r="E33" s="1691">
        <f t="shared" si="1"/>
        <v>174759</v>
      </c>
      <c r="F33" s="1691">
        <f t="shared" si="1"/>
        <v>99709</v>
      </c>
      <c r="G33" s="1691">
        <f t="shared" si="1"/>
        <v>14035</v>
      </c>
      <c r="H33" s="1691">
        <f t="shared" si="1"/>
        <v>36301</v>
      </c>
      <c r="I33" s="1691">
        <f t="shared" si="1"/>
        <v>0</v>
      </c>
      <c r="J33" s="1691">
        <f t="shared" si="1"/>
        <v>0</v>
      </c>
      <c r="K33" s="1691">
        <f t="shared" si="1"/>
        <v>4034184</v>
      </c>
      <c r="L33" s="1691">
        <f t="shared" si="1"/>
        <v>4164844</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52926</v>
      </c>
      <c r="D36" s="480">
        <v>11016</v>
      </c>
      <c r="E36" s="480"/>
      <c r="F36" s="480"/>
      <c r="G36" s="480"/>
      <c r="H36" s="480"/>
      <c r="I36" s="466"/>
      <c r="J36" s="466"/>
      <c r="K36" s="1692">
        <f t="shared" ref="K36:K41" si="2">SUM(C36:J36)</f>
        <v>63942</v>
      </c>
      <c r="L36" s="465">
        <v>61454</v>
      </c>
    </row>
    <row r="37" spans="1:14" x14ac:dyDescent="0.2">
      <c r="A37" s="1525" t="s">
        <v>1151</v>
      </c>
      <c r="B37" s="614">
        <v>2120</v>
      </c>
      <c r="C37" s="465"/>
      <c r="D37" s="465"/>
      <c r="E37" s="465"/>
      <c r="F37" s="465"/>
      <c r="G37" s="465"/>
      <c r="H37" s="465"/>
      <c r="I37" s="466"/>
      <c r="J37" s="466"/>
      <c r="K37" s="1692">
        <f t="shared" si="2"/>
        <v>0</v>
      </c>
      <c r="L37" s="465"/>
    </row>
    <row r="38" spans="1:14" x14ac:dyDescent="0.2">
      <c r="A38" s="1525" t="s">
        <v>207</v>
      </c>
      <c r="B38" s="614">
        <v>2130</v>
      </c>
      <c r="C38" s="465">
        <v>36735</v>
      </c>
      <c r="D38" s="465">
        <v>10709</v>
      </c>
      <c r="E38" s="465">
        <v>10323</v>
      </c>
      <c r="F38" s="465">
        <v>571</v>
      </c>
      <c r="G38" s="465"/>
      <c r="H38" s="465"/>
      <c r="I38" s="466"/>
      <c r="J38" s="466"/>
      <c r="K38" s="1692">
        <f t="shared" si="2"/>
        <v>58338</v>
      </c>
      <c r="L38" s="465">
        <v>69341</v>
      </c>
    </row>
    <row r="39" spans="1:14" x14ac:dyDescent="0.2">
      <c r="A39" s="1525" t="s">
        <v>208</v>
      </c>
      <c r="B39" s="614">
        <v>2140</v>
      </c>
      <c r="C39" s="465"/>
      <c r="D39" s="465"/>
      <c r="E39" s="465"/>
      <c r="F39" s="465"/>
      <c r="G39" s="465"/>
      <c r="H39" s="465"/>
      <c r="I39" s="466"/>
      <c r="J39" s="466"/>
      <c r="K39" s="1692">
        <f t="shared" si="2"/>
        <v>0</v>
      </c>
      <c r="L39" s="465"/>
    </row>
    <row r="40" spans="1:14" x14ac:dyDescent="0.2">
      <c r="A40" s="1525" t="s">
        <v>209</v>
      </c>
      <c r="B40" s="614">
        <v>2150</v>
      </c>
      <c r="C40" s="465">
        <v>92268</v>
      </c>
      <c r="D40" s="465">
        <v>10434</v>
      </c>
      <c r="E40" s="465"/>
      <c r="F40" s="465">
        <v>1319</v>
      </c>
      <c r="G40" s="465"/>
      <c r="H40" s="465"/>
      <c r="I40" s="466"/>
      <c r="J40" s="466"/>
      <c r="K40" s="1692">
        <f t="shared" si="2"/>
        <v>104021</v>
      </c>
      <c r="L40" s="465">
        <v>109066</v>
      </c>
    </row>
    <row r="41" spans="1:14" x14ac:dyDescent="0.2">
      <c r="A41" s="1525" t="s">
        <v>1768</v>
      </c>
      <c r="B41" s="614">
        <v>2190</v>
      </c>
      <c r="C41" s="465"/>
      <c r="D41" s="465"/>
      <c r="E41" s="465"/>
      <c r="F41" s="465"/>
      <c r="G41" s="465"/>
      <c r="H41" s="465"/>
      <c r="I41" s="466"/>
      <c r="J41" s="466"/>
      <c r="K41" s="1692">
        <f t="shared" si="2"/>
        <v>0</v>
      </c>
      <c r="L41" s="465"/>
    </row>
    <row r="42" spans="1:14" ht="12.75" customHeight="1" thickBot="1" x14ac:dyDescent="0.25">
      <c r="A42" s="1689" t="s">
        <v>581</v>
      </c>
      <c r="B42" s="1690" t="s">
        <v>740</v>
      </c>
      <c r="C42" s="1691">
        <f>SUM(C36:C41)</f>
        <v>181929</v>
      </c>
      <c r="D42" s="1691">
        <f t="shared" ref="D42:L42" si="3">SUM(D36:D41)</f>
        <v>32159</v>
      </c>
      <c r="E42" s="1691">
        <f t="shared" si="3"/>
        <v>10323</v>
      </c>
      <c r="F42" s="1691">
        <f t="shared" si="3"/>
        <v>1890</v>
      </c>
      <c r="G42" s="1691">
        <f t="shared" si="3"/>
        <v>0</v>
      </c>
      <c r="H42" s="1691">
        <f t="shared" si="3"/>
        <v>0</v>
      </c>
      <c r="I42" s="1691">
        <f t="shared" si="3"/>
        <v>0</v>
      </c>
      <c r="J42" s="1691">
        <f t="shared" si="3"/>
        <v>0</v>
      </c>
      <c r="K42" s="1691">
        <f t="shared" si="3"/>
        <v>226301</v>
      </c>
      <c r="L42" s="1691">
        <f t="shared" si="3"/>
        <v>239861</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c r="D44" s="480">
        <v>3450</v>
      </c>
      <c r="E44" s="480">
        <v>28497</v>
      </c>
      <c r="F44" s="480"/>
      <c r="G44" s="480"/>
      <c r="H44" s="480"/>
      <c r="I44" s="466"/>
      <c r="J44" s="466"/>
      <c r="K44" s="1693">
        <f>SUM(C44:J44)</f>
        <v>31947</v>
      </c>
      <c r="L44" s="480">
        <v>75200</v>
      </c>
    </row>
    <row r="45" spans="1:14" x14ac:dyDescent="0.2">
      <c r="A45" s="1525" t="s">
        <v>869</v>
      </c>
      <c r="B45" s="614">
        <v>2220</v>
      </c>
      <c r="C45" s="465">
        <v>99698</v>
      </c>
      <c r="D45" s="465">
        <v>9071</v>
      </c>
      <c r="E45" s="465">
        <v>52932</v>
      </c>
      <c r="F45" s="465">
        <v>83844</v>
      </c>
      <c r="G45" s="465">
        <v>66064</v>
      </c>
      <c r="H45" s="465"/>
      <c r="I45" s="466"/>
      <c r="J45" s="466"/>
      <c r="K45" s="1693">
        <f>SUM(C45:J45)</f>
        <v>311609</v>
      </c>
      <c r="L45" s="465">
        <v>280696</v>
      </c>
    </row>
    <row r="46" spans="1:14" x14ac:dyDescent="0.2">
      <c r="A46" s="1525" t="s">
        <v>870</v>
      </c>
      <c r="B46" s="614">
        <v>2230</v>
      </c>
      <c r="C46" s="465"/>
      <c r="D46" s="465"/>
      <c r="E46" s="465"/>
      <c r="F46" s="465">
        <v>9368</v>
      </c>
      <c r="G46" s="465"/>
      <c r="H46" s="465"/>
      <c r="I46" s="466"/>
      <c r="J46" s="466"/>
      <c r="K46" s="1693">
        <f>SUM(C46:J46)</f>
        <v>9368</v>
      </c>
      <c r="L46" s="465">
        <v>9524</v>
      </c>
    </row>
    <row r="47" spans="1:14" ht="12.75" customHeight="1" thickBot="1" x14ac:dyDescent="0.25">
      <c r="A47" s="1689" t="s">
        <v>582</v>
      </c>
      <c r="B47" s="1690" t="s">
        <v>32</v>
      </c>
      <c r="C47" s="1691">
        <f>SUM(C44:C46)</f>
        <v>99698</v>
      </c>
      <c r="D47" s="1691">
        <f t="shared" ref="D47:K47" si="4">SUM(D44:D46)</f>
        <v>12521</v>
      </c>
      <c r="E47" s="1691">
        <f t="shared" si="4"/>
        <v>81429</v>
      </c>
      <c r="F47" s="1691">
        <f t="shared" si="4"/>
        <v>93212</v>
      </c>
      <c r="G47" s="1691">
        <f t="shared" si="4"/>
        <v>66064</v>
      </c>
      <c r="H47" s="1691">
        <f t="shared" si="4"/>
        <v>0</v>
      </c>
      <c r="I47" s="1691">
        <f t="shared" si="4"/>
        <v>0</v>
      </c>
      <c r="J47" s="1691">
        <f t="shared" si="4"/>
        <v>0</v>
      </c>
      <c r="K47" s="1691">
        <f t="shared" si="4"/>
        <v>352924</v>
      </c>
      <c r="L47" s="1691">
        <f>SUM(L44:L46)</f>
        <v>365420</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v>58739</v>
      </c>
      <c r="D49" s="480">
        <v>19373</v>
      </c>
      <c r="E49" s="480">
        <v>44741</v>
      </c>
      <c r="F49" s="480">
        <v>1128</v>
      </c>
      <c r="G49" s="480"/>
      <c r="H49" s="480">
        <v>4644</v>
      </c>
      <c r="I49" s="466"/>
      <c r="J49" s="466"/>
      <c r="K49" s="1693">
        <f>SUM(C49:J49)</f>
        <v>128625</v>
      </c>
      <c r="L49" s="480">
        <v>150440</v>
      </c>
    </row>
    <row r="50" spans="1:14" x14ac:dyDescent="0.2">
      <c r="A50" s="1525" t="s">
        <v>872</v>
      </c>
      <c r="B50" s="614">
        <v>2320</v>
      </c>
      <c r="C50" s="465">
        <v>149000</v>
      </c>
      <c r="D50" s="465">
        <v>49207</v>
      </c>
      <c r="E50" s="465">
        <v>2004</v>
      </c>
      <c r="F50" s="465"/>
      <c r="G50" s="465"/>
      <c r="H50" s="465">
        <v>2092</v>
      </c>
      <c r="I50" s="466"/>
      <c r="J50" s="466"/>
      <c r="K50" s="1693">
        <f>SUM(C50:J50)</f>
        <v>202303</v>
      </c>
      <c r="L50" s="465">
        <v>196199</v>
      </c>
    </row>
    <row r="51" spans="1:14" x14ac:dyDescent="0.2">
      <c r="A51" s="1525" t="s">
        <v>44</v>
      </c>
      <c r="B51" s="614">
        <v>2330</v>
      </c>
      <c r="C51" s="465"/>
      <c r="D51" s="465"/>
      <c r="E51" s="465"/>
      <c r="F51" s="465"/>
      <c r="G51" s="465"/>
      <c r="H51" s="465"/>
      <c r="I51" s="466"/>
      <c r="J51" s="466"/>
      <c r="K51" s="1693">
        <f>SUM(C51:J51)</f>
        <v>0</v>
      </c>
      <c r="L51" s="465"/>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207739</v>
      </c>
      <c r="D53" s="1691">
        <f t="shared" ref="D53:L53" si="5">SUM(D49:D52)</f>
        <v>68580</v>
      </c>
      <c r="E53" s="1691">
        <f t="shared" si="5"/>
        <v>46745</v>
      </c>
      <c r="F53" s="1691">
        <f t="shared" si="5"/>
        <v>1128</v>
      </c>
      <c r="G53" s="1691">
        <f t="shared" si="5"/>
        <v>0</v>
      </c>
      <c r="H53" s="1691">
        <f t="shared" si="5"/>
        <v>6736</v>
      </c>
      <c r="I53" s="1691">
        <f t="shared" si="5"/>
        <v>0</v>
      </c>
      <c r="J53" s="1691">
        <f t="shared" si="5"/>
        <v>0</v>
      </c>
      <c r="K53" s="1691">
        <f t="shared" si="5"/>
        <v>330928</v>
      </c>
      <c r="L53" s="1691">
        <f t="shared" si="5"/>
        <v>346639</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210733</v>
      </c>
      <c r="D55" s="480">
        <v>72786</v>
      </c>
      <c r="E55" s="480"/>
      <c r="F55" s="480">
        <v>1534</v>
      </c>
      <c r="G55" s="480"/>
      <c r="H55" s="480">
        <v>384</v>
      </c>
      <c r="I55" s="466"/>
      <c r="J55" s="466"/>
      <c r="K55" s="1693">
        <f>SUM(C55:J55)</f>
        <v>285437</v>
      </c>
      <c r="L55" s="480">
        <v>299884</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210733</v>
      </c>
      <c r="D57" s="1695">
        <f t="shared" ref="D57:K57" si="6">SUM(D55:D56)</f>
        <v>72786</v>
      </c>
      <c r="E57" s="1695">
        <f t="shared" si="6"/>
        <v>0</v>
      </c>
      <c r="F57" s="1695">
        <f t="shared" si="6"/>
        <v>1534</v>
      </c>
      <c r="G57" s="1695">
        <f t="shared" si="6"/>
        <v>0</v>
      </c>
      <c r="H57" s="1695">
        <f t="shared" si="6"/>
        <v>384</v>
      </c>
      <c r="I57" s="1695">
        <f t="shared" si="6"/>
        <v>0</v>
      </c>
      <c r="J57" s="1695">
        <f t="shared" si="6"/>
        <v>0</v>
      </c>
      <c r="K57" s="1695">
        <f t="shared" si="6"/>
        <v>285437</v>
      </c>
      <c r="L57" s="1691">
        <f>SUM(L55:L56)</f>
        <v>299884</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c r="M59" s="609"/>
      <c r="N59" s="609"/>
    </row>
    <row r="60" spans="1:14" s="342" customFormat="1" x14ac:dyDescent="0.2">
      <c r="A60" s="1525" t="s">
        <v>483</v>
      </c>
      <c r="B60" s="614">
        <v>2520</v>
      </c>
      <c r="C60" s="465">
        <v>64098</v>
      </c>
      <c r="D60" s="465">
        <v>8734</v>
      </c>
      <c r="E60" s="465">
        <v>18364</v>
      </c>
      <c r="F60" s="465">
        <v>158</v>
      </c>
      <c r="G60" s="465"/>
      <c r="H60" s="465">
        <v>340</v>
      </c>
      <c r="I60" s="466"/>
      <c r="J60" s="466"/>
      <c r="K60" s="1693">
        <f t="shared" si="7"/>
        <v>91694</v>
      </c>
      <c r="L60" s="465">
        <v>89497</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v>53397</v>
      </c>
      <c r="D63" s="465"/>
      <c r="E63" s="465">
        <v>549</v>
      </c>
      <c r="F63" s="465">
        <f>167279-14856</f>
        <v>152423</v>
      </c>
      <c r="G63" s="465"/>
      <c r="H63" s="465"/>
      <c r="I63" s="466"/>
      <c r="J63" s="466"/>
      <c r="K63" s="1693">
        <f t="shared" si="7"/>
        <v>206369</v>
      </c>
      <c r="L63" s="465">
        <v>186850</v>
      </c>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743</v>
      </c>
      <c r="B65" s="1690" t="s">
        <v>35</v>
      </c>
      <c r="C65" s="1691">
        <f>SUM(C59:C64)</f>
        <v>117495</v>
      </c>
      <c r="D65" s="1691">
        <f t="shared" ref="D65:L65" si="8">SUM(D59:D64)</f>
        <v>8734</v>
      </c>
      <c r="E65" s="1691">
        <f t="shared" si="8"/>
        <v>18913</v>
      </c>
      <c r="F65" s="1691">
        <f t="shared" si="8"/>
        <v>152581</v>
      </c>
      <c r="G65" s="1691">
        <f t="shared" si="8"/>
        <v>0</v>
      </c>
      <c r="H65" s="1691">
        <f t="shared" si="8"/>
        <v>340</v>
      </c>
      <c r="I65" s="1691">
        <f t="shared" si="8"/>
        <v>0</v>
      </c>
      <c r="J65" s="1691">
        <f t="shared" si="8"/>
        <v>0</v>
      </c>
      <c r="K65" s="1691">
        <f t="shared" si="8"/>
        <v>298063</v>
      </c>
      <c r="L65" s="1691">
        <f t="shared" si="8"/>
        <v>276347</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c r="D71" s="465"/>
      <c r="E71" s="465"/>
      <c r="F71" s="465"/>
      <c r="G71" s="465"/>
      <c r="H71" s="465"/>
      <c r="I71" s="466"/>
      <c r="J71" s="466"/>
      <c r="K71" s="1693">
        <f>SUM(C71:J71)</f>
        <v>0</v>
      </c>
      <c r="L71" s="465"/>
      <c r="M71" s="609"/>
      <c r="N71" s="609"/>
    </row>
    <row r="72" spans="1:14" s="342"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c r="M73" s="609"/>
      <c r="N73" s="609"/>
    </row>
    <row r="74" spans="1:14" ht="12.75" customHeight="1" thickTop="1" thickBot="1" x14ac:dyDescent="0.25">
      <c r="A74" s="1689" t="s">
        <v>865</v>
      </c>
      <c r="B74" s="1697">
        <v>2000</v>
      </c>
      <c r="C74" s="1698">
        <f>SUM(C42,C47,C53,C57,C65,C72,C73)</f>
        <v>817594</v>
      </c>
      <c r="D74" s="1698">
        <f t="shared" ref="D74:K74" si="10">SUM(D42,D47,D53,D57,D65,D72,D73)</f>
        <v>194780</v>
      </c>
      <c r="E74" s="1698">
        <f t="shared" si="10"/>
        <v>157410</v>
      </c>
      <c r="F74" s="1698">
        <f t="shared" si="10"/>
        <v>250345</v>
      </c>
      <c r="G74" s="1698">
        <f t="shared" si="10"/>
        <v>66064</v>
      </c>
      <c r="H74" s="1698">
        <f t="shared" si="10"/>
        <v>7460</v>
      </c>
      <c r="I74" s="1698">
        <f t="shared" si="10"/>
        <v>0</v>
      </c>
      <c r="J74" s="1698">
        <f t="shared" si="10"/>
        <v>0</v>
      </c>
      <c r="K74" s="1698">
        <f t="shared" si="10"/>
        <v>1493653</v>
      </c>
      <c r="L74" s="1698">
        <f>SUM(L42,L47,L53,L57,L65,L72,L73)</f>
        <v>1528151</v>
      </c>
    </row>
    <row r="75" spans="1:14" s="258" customFormat="1" ht="15.75" customHeight="1" thickTop="1" thickBot="1" x14ac:dyDescent="0.25">
      <c r="A75" s="1631" t="s">
        <v>49</v>
      </c>
      <c r="B75" s="1632" t="s">
        <v>596</v>
      </c>
      <c r="C75" s="572">
        <v>45652</v>
      </c>
      <c r="D75" s="572"/>
      <c r="E75" s="572">
        <v>575</v>
      </c>
      <c r="F75" s="572">
        <v>732</v>
      </c>
      <c r="G75" s="572"/>
      <c r="H75" s="572"/>
      <c r="I75" s="530"/>
      <c r="J75" s="530"/>
      <c r="K75" s="1691">
        <f>SUM(C75:J75)</f>
        <v>46959</v>
      </c>
      <c r="L75" s="575">
        <v>59550</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v>340836</v>
      </c>
      <c r="F79" s="616"/>
      <c r="G79" s="616"/>
      <c r="H79" s="465">
        <v>178966</v>
      </c>
      <c r="I79" s="476"/>
      <c r="J79" s="476"/>
      <c r="K79" s="1692">
        <f t="shared" si="11"/>
        <v>519802</v>
      </c>
      <c r="L79" s="465">
        <v>189000</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340836</v>
      </c>
      <c r="F84" s="616"/>
      <c r="G84" s="616"/>
      <c r="H84" s="1691">
        <f>SUM(H78:H83)</f>
        <v>178966</v>
      </c>
      <c r="I84" s="476"/>
      <c r="J84" s="476"/>
      <c r="K84" s="1691">
        <f>SUM(K78:K83)</f>
        <v>519802</v>
      </c>
      <c r="L84" s="1691">
        <f>SUM(L78:L83)</f>
        <v>189000</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v>135000</v>
      </c>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135000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340836</v>
      </c>
      <c r="F102" s="616"/>
      <c r="G102" s="616"/>
      <c r="H102" s="1698">
        <f>SUM(H84,H92,H100,H101)</f>
        <v>178966</v>
      </c>
      <c r="I102" s="476"/>
      <c r="J102" s="476"/>
      <c r="K102" s="1698">
        <f>SUM(K84,K92,K100,K101)</f>
        <v>519802</v>
      </c>
      <c r="L102" s="1698">
        <f>SUM(L84,L92,L100,L101)</f>
        <v>324000</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v>33500</v>
      </c>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33500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4004111</v>
      </c>
      <c r="D114" s="1691">
        <f t="shared" ref="D114:K114" si="13">SUM(D33,D74,D75,D102,D112,D113)</f>
        <v>763295</v>
      </c>
      <c r="E114" s="1691">
        <f t="shared" si="13"/>
        <v>673580</v>
      </c>
      <c r="F114" s="1691">
        <f t="shared" si="13"/>
        <v>350786</v>
      </c>
      <c r="G114" s="1691">
        <f t="shared" si="13"/>
        <v>80099</v>
      </c>
      <c r="H114" s="1691">
        <f>SUM(H33,H74,H75,H102,H112,H113)</f>
        <v>222727</v>
      </c>
      <c r="I114" s="1691">
        <f t="shared" si="13"/>
        <v>0</v>
      </c>
      <c r="J114" s="1691">
        <f t="shared" si="13"/>
        <v>0</v>
      </c>
      <c r="K114" s="1691">
        <f t="shared" si="13"/>
        <v>6094598</v>
      </c>
      <c r="L114" s="1691">
        <f>SUM(L33,L74,L75,L102,L112,L113)</f>
        <v>6110045</v>
      </c>
    </row>
    <row r="115" spans="1:14" ht="13.5" thickTop="1" x14ac:dyDescent="0.2">
      <c r="A115" s="2199" t="s">
        <v>1053</v>
      </c>
      <c r="B115" s="2200"/>
      <c r="C115" s="618"/>
      <c r="D115" s="618"/>
      <c r="E115" s="618"/>
      <c r="F115" s="618"/>
      <c r="G115" s="618"/>
      <c r="H115" s="618"/>
      <c r="I115" s="618"/>
      <c r="J115" s="618"/>
      <c r="K115" s="1705">
        <f>'Revenues 9-14'!C275-'Expenditures 15-22'!K114</f>
        <v>155724</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7" t="s">
        <v>314</v>
      </c>
      <c r="B117" s="2178"/>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v>2250</v>
      </c>
      <c r="F123" s="465"/>
      <c r="G123" s="465"/>
      <c r="H123" s="465"/>
      <c r="I123" s="466"/>
      <c r="J123" s="466"/>
      <c r="K123" s="1691">
        <f>SUM(C123:J123)</f>
        <v>2250</v>
      </c>
      <c r="L123" s="465"/>
    </row>
    <row r="124" spans="1:14" ht="14.25" thickTop="1" thickBot="1" x14ac:dyDescent="0.25">
      <c r="A124" s="1525" t="s">
        <v>206</v>
      </c>
      <c r="B124" s="614">
        <v>2540</v>
      </c>
      <c r="C124" s="465">
        <v>237479</v>
      </c>
      <c r="D124" s="465">
        <v>31652</v>
      </c>
      <c r="E124" s="465">
        <v>162339</v>
      </c>
      <c r="F124" s="465">
        <v>111828</v>
      </c>
      <c r="G124" s="465">
        <v>8235</v>
      </c>
      <c r="H124" s="465">
        <v>5761</v>
      </c>
      <c r="I124" s="466">
        <v>7756</v>
      </c>
      <c r="J124" s="466"/>
      <c r="K124" s="1691">
        <f>SUM(C124:J124)</f>
        <v>565050</v>
      </c>
      <c r="L124" s="465">
        <v>716477</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237479</v>
      </c>
      <c r="D127" s="1691">
        <f t="shared" ref="D127:L127" si="14">SUM(D122:D126)</f>
        <v>31652</v>
      </c>
      <c r="E127" s="1691">
        <f t="shared" si="14"/>
        <v>164589</v>
      </c>
      <c r="F127" s="1691">
        <f t="shared" si="14"/>
        <v>111828</v>
      </c>
      <c r="G127" s="1691">
        <f t="shared" si="14"/>
        <v>8235</v>
      </c>
      <c r="H127" s="1691">
        <f t="shared" si="14"/>
        <v>5761</v>
      </c>
      <c r="I127" s="1691">
        <f t="shared" si="14"/>
        <v>7756</v>
      </c>
      <c r="J127" s="1691">
        <f t="shared" si="14"/>
        <v>0</v>
      </c>
      <c r="K127" s="1691">
        <f t="shared" si="14"/>
        <v>567300</v>
      </c>
      <c r="L127" s="1691">
        <f t="shared" si="14"/>
        <v>716477</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237479</v>
      </c>
      <c r="D129" s="1698">
        <f t="shared" ref="D129:L129" si="15">SUM(D120,D127,D128)</f>
        <v>31652</v>
      </c>
      <c r="E129" s="1698">
        <f t="shared" si="15"/>
        <v>164589</v>
      </c>
      <c r="F129" s="1698">
        <f t="shared" si="15"/>
        <v>111828</v>
      </c>
      <c r="G129" s="1698">
        <f t="shared" si="15"/>
        <v>8235</v>
      </c>
      <c r="H129" s="1698">
        <f t="shared" si="15"/>
        <v>5761</v>
      </c>
      <c r="I129" s="1698">
        <f t="shared" si="15"/>
        <v>7756</v>
      </c>
      <c r="J129" s="1698">
        <f t="shared" si="15"/>
        <v>0</v>
      </c>
      <c r="K129" s="1698">
        <f t="shared" si="15"/>
        <v>567300</v>
      </c>
      <c r="L129" s="1698">
        <f t="shared" si="15"/>
        <v>716477</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1956</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189" t="s">
        <v>641</v>
      </c>
      <c r="B151" s="2171"/>
      <c r="C151" s="1691">
        <f>SUM(C129,C130,C139,C149,C150)</f>
        <v>237479</v>
      </c>
      <c r="D151" s="1691">
        <f t="shared" ref="D151:K151" si="16">SUM(D129,D130,D139,D149,D150)</f>
        <v>31652</v>
      </c>
      <c r="E151" s="1691">
        <f t="shared" si="16"/>
        <v>164589</v>
      </c>
      <c r="F151" s="1691">
        <f t="shared" si="16"/>
        <v>111828</v>
      </c>
      <c r="G151" s="1691">
        <f t="shared" si="16"/>
        <v>8235</v>
      </c>
      <c r="H151" s="1691">
        <f t="shared" si="16"/>
        <v>5761</v>
      </c>
      <c r="I151" s="1691">
        <f t="shared" si="16"/>
        <v>7756</v>
      </c>
      <c r="J151" s="1691">
        <f t="shared" si="16"/>
        <v>0</v>
      </c>
      <c r="K151" s="1691">
        <f t="shared" si="16"/>
        <v>567300</v>
      </c>
      <c r="L151" s="1691">
        <f>SUM(L129,L130,L139,L149,L150)</f>
        <v>716477</v>
      </c>
    </row>
    <row r="152" spans="1:14" ht="12.75" customHeight="1" thickTop="1" x14ac:dyDescent="0.2">
      <c r="A152" s="2192" t="s">
        <v>1240</v>
      </c>
      <c r="B152" s="2193"/>
      <c r="C152" s="618"/>
      <c r="D152" s="618"/>
      <c r="E152" s="618"/>
      <c r="F152" s="618"/>
      <c r="G152" s="618"/>
      <c r="H152" s="618"/>
      <c r="I152" s="618"/>
      <c r="J152" s="616"/>
      <c r="K152" s="1705">
        <f>'Revenues 9-14'!D275-'Expenditures 15-22'!K151</f>
        <v>71352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642</v>
      </c>
      <c r="B154" s="2179"/>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1957</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1956</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1958</v>
      </c>
      <c r="C158" s="616"/>
      <c r="D158" s="616"/>
      <c r="E158" s="616"/>
      <c r="F158" s="616"/>
      <c r="G158" s="616"/>
      <c r="H158" s="466"/>
      <c r="I158" s="616"/>
      <c r="J158" s="616"/>
      <c r="K158" s="1692">
        <f>H158</f>
        <v>0</v>
      </c>
      <c r="L158" s="466"/>
      <c r="M158" s="619"/>
      <c r="N158" s="619"/>
    </row>
    <row r="159" spans="1:14" s="620" customFormat="1" ht="12" x14ac:dyDescent="0.2">
      <c r="A159" s="1848" t="s">
        <v>1959</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1960</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v>107825</v>
      </c>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107825</v>
      </c>
    </row>
    <row r="169" spans="1:14" ht="15.75" customHeight="1" thickTop="1" x14ac:dyDescent="0.2">
      <c r="A169" s="669" t="s">
        <v>85</v>
      </c>
      <c r="B169" s="670" t="s">
        <v>38</v>
      </c>
      <c r="C169" s="616"/>
      <c r="D169" s="616"/>
      <c r="E169" s="616"/>
      <c r="F169" s="616"/>
      <c r="G169" s="616"/>
      <c r="H169" s="656">
        <v>226291</v>
      </c>
      <c r="I169" s="616"/>
      <c r="J169" s="616"/>
      <c r="K169" s="1692">
        <f>SUM(C169:H169)</f>
        <v>226291</v>
      </c>
      <c r="L169" s="656">
        <v>310215</v>
      </c>
    </row>
    <row r="170" spans="1:14" ht="33.75" customHeight="1" x14ac:dyDescent="0.2">
      <c r="A170" s="669" t="s">
        <v>1769</v>
      </c>
      <c r="B170" s="671" t="s">
        <v>31</v>
      </c>
      <c r="C170" s="616"/>
      <c r="D170" s="616"/>
      <c r="E170" s="616"/>
      <c r="F170" s="616"/>
      <c r="G170" s="616"/>
      <c r="H170" s="568">
        <v>312053</v>
      </c>
      <c r="I170" s="616"/>
      <c r="J170" s="616"/>
      <c r="K170" s="1692">
        <f>SUM(C170:J170)</f>
        <v>312053</v>
      </c>
      <c r="L170" s="568"/>
    </row>
    <row r="171" spans="1:14" ht="15.75" customHeight="1" x14ac:dyDescent="0.2">
      <c r="A171" s="621" t="s">
        <v>790</v>
      </c>
      <c r="B171" s="672" t="s">
        <v>86</v>
      </c>
      <c r="C171" s="616"/>
      <c r="D171" s="616"/>
      <c r="E171" s="465"/>
      <c r="F171" s="616"/>
      <c r="G171" s="616"/>
      <c r="H171" s="568">
        <v>2300</v>
      </c>
      <c r="I171" s="476"/>
      <c r="J171" s="616"/>
      <c r="K171" s="1692">
        <f>SUM(C171:J171)</f>
        <v>2300</v>
      </c>
      <c r="L171" s="568"/>
    </row>
    <row r="172" spans="1:14" ht="12.75" customHeight="1" thickBot="1" x14ac:dyDescent="0.25">
      <c r="A172" s="1689" t="s">
        <v>659</v>
      </c>
      <c r="B172" s="1690" t="s">
        <v>513</v>
      </c>
      <c r="C172" s="616"/>
      <c r="D172" s="616"/>
      <c r="E172" s="1698">
        <f>SUM(E168,E169,E170,E171)</f>
        <v>0</v>
      </c>
      <c r="F172" s="616"/>
      <c r="G172" s="616"/>
      <c r="H172" s="1698">
        <f>SUM(H168,H169,H170,H171)</f>
        <v>540644</v>
      </c>
      <c r="I172" s="638"/>
      <c r="J172" s="616"/>
      <c r="K172" s="1698">
        <f>SUM(K168,K169,K170,K171)</f>
        <v>540644</v>
      </c>
      <c r="L172" s="1698">
        <f>SUM(L168,L169,L170,L171)</f>
        <v>418040</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540644</v>
      </c>
      <c r="I174" s="638"/>
      <c r="J174" s="616"/>
      <c r="K174" s="1698">
        <f>SUM(K160,K172,K173)</f>
        <v>540644</v>
      </c>
      <c r="L174" s="1698">
        <f>SUM(L160,L172,L173)</f>
        <v>418040</v>
      </c>
    </row>
    <row r="175" spans="1:14" ht="13.5" thickTop="1" x14ac:dyDescent="0.2">
      <c r="A175" s="2199" t="s">
        <v>1053</v>
      </c>
      <c r="B175" s="2200"/>
      <c r="C175" s="616"/>
      <c r="D175" s="616"/>
      <c r="E175" s="616"/>
      <c r="F175" s="616"/>
      <c r="G175" s="616"/>
      <c r="H175" s="618"/>
      <c r="I175" s="616"/>
      <c r="J175" s="616"/>
      <c r="K175" s="1705">
        <f>'Revenues 9-14'!E275-'Expenditures 15-22'!K174</f>
        <v>-81882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c r="D182" s="465"/>
      <c r="E182" s="465">
        <v>115138</v>
      </c>
      <c r="F182" s="465"/>
      <c r="G182" s="465"/>
      <c r="H182" s="465"/>
      <c r="I182" s="466"/>
      <c r="J182" s="466"/>
      <c r="K182" s="1692">
        <f>SUM(C182:J182)</f>
        <v>115138</v>
      </c>
      <c r="L182" s="465">
        <v>76500</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0</v>
      </c>
      <c r="D184" s="1698">
        <f t="shared" ref="D184:J184" si="17">SUM(D180,D182,D183)</f>
        <v>0</v>
      </c>
      <c r="E184" s="1698">
        <f t="shared" si="17"/>
        <v>115138</v>
      </c>
      <c r="F184" s="1698">
        <f t="shared" si="17"/>
        <v>0</v>
      </c>
      <c r="G184" s="1698">
        <f t="shared" si="17"/>
        <v>0</v>
      </c>
      <c r="H184" s="1698">
        <f t="shared" si="17"/>
        <v>0</v>
      </c>
      <c r="I184" s="1698">
        <f t="shared" si="17"/>
        <v>0</v>
      </c>
      <c r="J184" s="1698">
        <f t="shared" si="17"/>
        <v>0</v>
      </c>
      <c r="K184" s="1698">
        <f>SUM(K180,K182,K183)</f>
        <v>115138</v>
      </c>
      <c r="L184" s="1698">
        <f>SUM(L180, L182:L183)</f>
        <v>76500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1770</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0</v>
      </c>
      <c r="D210" s="1691">
        <f>SUM(D184,D185)</f>
        <v>0</v>
      </c>
      <c r="E210" s="1691">
        <f>SUM(E184,E185,E196)</f>
        <v>115138</v>
      </c>
      <c r="F210" s="1691">
        <f>SUM(F184,F185)</f>
        <v>0</v>
      </c>
      <c r="G210" s="1691">
        <f>SUM(G184,G185)</f>
        <v>0</v>
      </c>
      <c r="H210" s="1691">
        <f>SUM(H184,H185,H196,H208,H209)</f>
        <v>0</v>
      </c>
      <c r="I210" s="1691">
        <f>SUM(I184,I185)</f>
        <v>0</v>
      </c>
      <c r="J210" s="1691">
        <f>SUM(J184,J185)</f>
        <v>0</v>
      </c>
      <c r="K210" s="1692">
        <f>SUM(K184,K185,K196,K208,K209)</f>
        <v>115138</v>
      </c>
      <c r="L210" s="1691">
        <f>SUM(L184,L185,L196,L208,L209)</f>
        <v>76500</v>
      </c>
    </row>
    <row r="211" spans="1:14" ht="13.5" thickTop="1" x14ac:dyDescent="0.2">
      <c r="A211" s="2199" t="s">
        <v>1053</v>
      </c>
      <c r="B211" s="2200"/>
      <c r="C211" s="618"/>
      <c r="D211" s="618"/>
      <c r="E211" s="618"/>
      <c r="F211" s="618"/>
      <c r="G211" s="618"/>
      <c r="H211" s="618"/>
      <c r="I211" s="616"/>
      <c r="J211" s="616"/>
      <c r="K211" s="1705">
        <f>'Revenues 9-14'!F275-'Expenditures 15-22'!K210</f>
        <v>-21714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4" t="s">
        <v>1022</v>
      </c>
      <c r="B213" s="2195"/>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36184</v>
      </c>
      <c r="E215" s="616"/>
      <c r="F215" s="616"/>
      <c r="G215" s="616"/>
      <c r="H215" s="616"/>
      <c r="I215" s="616"/>
      <c r="J215" s="616"/>
      <c r="K215" s="1692">
        <f>D215</f>
        <v>36184</v>
      </c>
      <c r="L215" s="465">
        <v>40790</v>
      </c>
    </row>
    <row r="216" spans="1:14" x14ac:dyDescent="0.2">
      <c r="A216" s="1525" t="s">
        <v>165</v>
      </c>
      <c r="B216" s="614" t="s">
        <v>1024</v>
      </c>
      <c r="C216" s="616"/>
      <c r="D216" s="466">
        <v>6428</v>
      </c>
      <c r="E216" s="616"/>
      <c r="F216" s="616"/>
      <c r="G216" s="616"/>
      <c r="H216" s="616"/>
      <c r="I216" s="616"/>
      <c r="J216" s="616"/>
      <c r="K216" s="1692">
        <f t="shared" ref="K216:K228" si="19">D216</f>
        <v>6428</v>
      </c>
      <c r="L216" s="465">
        <v>5090</v>
      </c>
    </row>
    <row r="217" spans="1:14" x14ac:dyDescent="0.2">
      <c r="A217" s="1525" t="s">
        <v>166</v>
      </c>
      <c r="B217" s="614">
        <v>1200</v>
      </c>
      <c r="C217" s="616"/>
      <c r="D217" s="465">
        <v>66014</v>
      </c>
      <c r="E217" s="616"/>
      <c r="F217" s="616"/>
      <c r="G217" s="616"/>
      <c r="H217" s="616"/>
      <c r="I217" s="616"/>
      <c r="J217" s="616"/>
      <c r="K217" s="1692">
        <f t="shared" si="19"/>
        <v>66014</v>
      </c>
      <c r="L217" s="465">
        <v>71622</v>
      </c>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c r="E219" s="616"/>
      <c r="F219" s="616"/>
      <c r="G219" s="616"/>
      <c r="H219" s="616"/>
      <c r="I219" s="616"/>
      <c r="J219" s="616"/>
      <c r="K219" s="1692">
        <f t="shared" si="19"/>
        <v>0</v>
      </c>
      <c r="L219" s="465"/>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c r="E223" s="616"/>
      <c r="F223" s="616"/>
      <c r="G223" s="616"/>
      <c r="H223" s="616"/>
      <c r="I223" s="616"/>
      <c r="J223" s="616"/>
      <c r="K223" s="1692">
        <f t="shared" si="19"/>
        <v>0</v>
      </c>
      <c r="L223" s="465"/>
    </row>
    <row r="224" spans="1:14" x14ac:dyDescent="0.2">
      <c r="A224" s="1525" t="s">
        <v>1021</v>
      </c>
      <c r="B224" s="614">
        <v>1600</v>
      </c>
      <c r="C224" s="616"/>
      <c r="D224" s="465">
        <v>197</v>
      </c>
      <c r="E224" s="616"/>
      <c r="F224" s="616"/>
      <c r="G224" s="616"/>
      <c r="H224" s="616"/>
      <c r="I224" s="616"/>
      <c r="J224" s="616"/>
      <c r="K224" s="1692">
        <f t="shared" si="19"/>
        <v>197</v>
      </c>
      <c r="L224" s="465">
        <v>375</v>
      </c>
    </row>
    <row r="225" spans="1:12" x14ac:dyDescent="0.2">
      <c r="A225" s="1525" t="s">
        <v>1044</v>
      </c>
      <c r="B225" s="614">
        <v>1650</v>
      </c>
      <c r="C225" s="616"/>
      <c r="D225" s="465"/>
      <c r="E225" s="616"/>
      <c r="F225" s="616"/>
      <c r="G225" s="616"/>
      <c r="H225" s="616"/>
      <c r="I225" s="616"/>
      <c r="J225" s="616"/>
      <c r="K225" s="1692">
        <f t="shared" si="19"/>
        <v>0</v>
      </c>
      <c r="L225" s="465"/>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c r="E227" s="616"/>
      <c r="F227" s="616"/>
      <c r="G227" s="616"/>
      <c r="H227" s="616"/>
      <c r="I227" s="616"/>
      <c r="J227" s="616"/>
      <c r="K227" s="1692">
        <f t="shared" si="19"/>
        <v>0</v>
      </c>
      <c r="L227" s="465"/>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108823</v>
      </c>
      <c r="E229" s="616"/>
      <c r="F229" s="616"/>
      <c r="G229" s="616"/>
      <c r="H229" s="616"/>
      <c r="I229" s="616"/>
      <c r="J229" s="616"/>
      <c r="K229" s="1691">
        <f>SUM(K215:K228)</f>
        <v>108823</v>
      </c>
      <c r="L229" s="1691">
        <f>SUM(L215:L228)</f>
        <v>117877</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743</v>
      </c>
      <c r="E232" s="616"/>
      <c r="F232" s="616"/>
      <c r="G232" s="616"/>
      <c r="H232" s="616"/>
      <c r="I232" s="616"/>
      <c r="J232" s="616"/>
      <c r="K232" s="1692">
        <f t="shared" ref="K232:K237" si="20">D232</f>
        <v>743</v>
      </c>
      <c r="L232" s="465">
        <v>600</v>
      </c>
    </row>
    <row r="233" spans="1:12" x14ac:dyDescent="0.2">
      <c r="A233" s="1525" t="s">
        <v>1151</v>
      </c>
      <c r="B233" s="614">
        <v>2120</v>
      </c>
      <c r="C233" s="616"/>
      <c r="D233" s="465"/>
      <c r="E233" s="616"/>
      <c r="F233" s="616"/>
      <c r="G233" s="616"/>
      <c r="H233" s="616"/>
      <c r="I233" s="616"/>
      <c r="J233" s="616"/>
      <c r="K233" s="1692">
        <f t="shared" si="20"/>
        <v>0</v>
      </c>
      <c r="L233" s="465"/>
    </row>
    <row r="234" spans="1:12" x14ac:dyDescent="0.2">
      <c r="A234" s="1525" t="s">
        <v>207</v>
      </c>
      <c r="B234" s="614">
        <v>2130</v>
      </c>
      <c r="C234" s="616"/>
      <c r="D234" s="465">
        <v>6250</v>
      </c>
      <c r="E234" s="616"/>
      <c r="F234" s="616"/>
      <c r="G234" s="616"/>
      <c r="H234" s="616"/>
      <c r="I234" s="616"/>
      <c r="J234" s="616"/>
      <c r="K234" s="1692">
        <f t="shared" si="20"/>
        <v>6250</v>
      </c>
      <c r="L234" s="465">
        <v>9650</v>
      </c>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c r="E236" s="616"/>
      <c r="F236" s="616"/>
      <c r="G236" s="616"/>
      <c r="H236" s="616"/>
      <c r="I236" s="616"/>
      <c r="J236" s="616"/>
      <c r="K236" s="1692">
        <f t="shared" si="20"/>
        <v>0</v>
      </c>
      <c r="L236" s="465"/>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6993</v>
      </c>
      <c r="E238" s="616"/>
      <c r="F238" s="616"/>
      <c r="G238" s="616"/>
      <c r="H238" s="616"/>
      <c r="I238" s="616"/>
      <c r="J238" s="616"/>
      <c r="K238" s="1691">
        <f>SUM(K232:K237)</f>
        <v>6993</v>
      </c>
      <c r="L238" s="1691">
        <f>SUM(L232:L237)</f>
        <v>10250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c r="E240" s="616"/>
      <c r="F240" s="616"/>
      <c r="G240" s="616"/>
      <c r="H240" s="616"/>
      <c r="I240" s="616"/>
      <c r="J240" s="616"/>
      <c r="K240" s="1693">
        <f>D240</f>
        <v>0</v>
      </c>
      <c r="L240" s="480"/>
    </row>
    <row r="241" spans="1:12" x14ac:dyDescent="0.2">
      <c r="A241" s="1525" t="s">
        <v>869</v>
      </c>
      <c r="B241" s="614">
        <v>2220</v>
      </c>
      <c r="C241" s="616"/>
      <c r="D241" s="465">
        <v>7920</v>
      </c>
      <c r="E241" s="616"/>
      <c r="F241" s="616"/>
      <c r="G241" s="616"/>
      <c r="H241" s="616"/>
      <c r="I241" s="616"/>
      <c r="J241" s="616"/>
      <c r="K241" s="1693">
        <f>D241</f>
        <v>7920</v>
      </c>
      <c r="L241" s="465">
        <v>5180</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7920</v>
      </c>
      <c r="E243" s="616"/>
      <c r="F243" s="616"/>
      <c r="G243" s="616"/>
      <c r="H243" s="616"/>
      <c r="I243" s="616"/>
      <c r="J243" s="616"/>
      <c r="K243" s="1691">
        <f>SUM(K240:K242)</f>
        <v>7920</v>
      </c>
      <c r="L243" s="1691">
        <f>SUM(L240:L242)</f>
        <v>5180</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v>98</v>
      </c>
      <c r="E245" s="616"/>
      <c r="F245" s="616"/>
      <c r="G245" s="616"/>
      <c r="H245" s="616"/>
      <c r="I245" s="616"/>
      <c r="J245" s="616"/>
      <c r="K245" s="1693">
        <f>D245</f>
        <v>98</v>
      </c>
      <c r="L245" s="480"/>
    </row>
    <row r="246" spans="1:12" x14ac:dyDescent="0.2">
      <c r="A246" s="1525" t="s">
        <v>872</v>
      </c>
      <c r="B246" s="614">
        <v>2320</v>
      </c>
      <c r="C246" s="616"/>
      <c r="D246" s="465">
        <v>11444</v>
      </c>
      <c r="E246" s="616"/>
      <c r="F246" s="616"/>
      <c r="G246" s="616"/>
      <c r="H246" s="616"/>
      <c r="I246" s="616"/>
      <c r="J246" s="616"/>
      <c r="K246" s="1693">
        <f t="shared" ref="K246:K256" si="21">D246</f>
        <v>11444</v>
      </c>
      <c r="L246" s="465">
        <v>12400</v>
      </c>
    </row>
    <row r="247" spans="1:12" x14ac:dyDescent="0.2">
      <c r="A247" s="1525" t="s">
        <v>873</v>
      </c>
      <c r="B247" s="614">
        <v>2330</v>
      </c>
      <c r="C247" s="616"/>
      <c r="D247" s="465"/>
      <c r="E247" s="616"/>
      <c r="F247" s="616"/>
      <c r="G247" s="616"/>
      <c r="H247" s="616"/>
      <c r="I247" s="616"/>
      <c r="J247" s="616"/>
      <c r="K247" s="1693">
        <f t="shared" si="21"/>
        <v>0</v>
      </c>
      <c r="L247" s="465"/>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1908</v>
      </c>
      <c r="B249" s="683" t="s">
        <v>300</v>
      </c>
      <c r="C249" s="616"/>
      <c r="D249" s="473"/>
      <c r="E249" s="616"/>
      <c r="F249" s="616"/>
      <c r="G249" s="616"/>
      <c r="H249" s="616"/>
      <c r="I249" s="616"/>
      <c r="J249" s="616"/>
      <c r="K249" s="1693">
        <f t="shared" si="21"/>
        <v>0</v>
      </c>
      <c r="L249" s="465"/>
    </row>
    <row r="250" spans="1:12" x14ac:dyDescent="0.2">
      <c r="A250" s="1526" t="s">
        <v>1909</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11542</v>
      </c>
      <c r="E257" s="616"/>
      <c r="F257" s="616"/>
      <c r="G257" s="616"/>
      <c r="H257" s="616"/>
      <c r="I257" s="616"/>
      <c r="J257" s="616"/>
      <c r="K257" s="1691">
        <f>SUM(K245:K256)</f>
        <v>11542</v>
      </c>
      <c r="L257" s="1691">
        <f>SUM(L245:L256)</f>
        <v>12400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7745</v>
      </c>
      <c r="E259" s="616"/>
      <c r="F259" s="616"/>
      <c r="G259" s="616"/>
      <c r="H259" s="616"/>
      <c r="I259" s="616"/>
      <c r="J259" s="616"/>
      <c r="K259" s="1693">
        <f>D259</f>
        <v>7745</v>
      </c>
      <c r="L259" s="480">
        <v>9776</v>
      </c>
    </row>
    <row r="260" spans="1:14" s="597" customFormat="1" x14ac:dyDescent="0.2">
      <c r="A260" s="1543" t="s">
        <v>1907</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7745</v>
      </c>
      <c r="E261" s="616"/>
      <c r="F261" s="616"/>
      <c r="G261" s="616"/>
      <c r="H261" s="616"/>
      <c r="I261" s="616"/>
      <c r="J261" s="616"/>
      <c r="K261" s="1691">
        <f>SUM(K259:K260)</f>
        <v>7745</v>
      </c>
      <c r="L261" s="1691">
        <f>SUM(L259:L260)</f>
        <v>9776</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c r="E263" s="616"/>
      <c r="F263" s="616"/>
      <c r="G263" s="616"/>
      <c r="H263" s="616"/>
      <c r="I263" s="616"/>
      <c r="J263" s="616"/>
      <c r="K263" s="1693">
        <f>D263</f>
        <v>0</v>
      </c>
      <c r="L263" s="480"/>
    </row>
    <row r="264" spans="1:14" x14ac:dyDescent="0.2">
      <c r="A264" s="1525" t="s">
        <v>483</v>
      </c>
      <c r="B264" s="685">
        <v>2520</v>
      </c>
      <c r="C264" s="616"/>
      <c r="D264" s="465">
        <v>10679</v>
      </c>
      <c r="E264" s="616"/>
      <c r="F264" s="616"/>
      <c r="G264" s="616"/>
      <c r="H264" s="616"/>
      <c r="I264" s="616"/>
      <c r="J264" s="616"/>
      <c r="K264" s="1693">
        <f t="shared" ref="K264:K269" si="22">D264</f>
        <v>10679</v>
      </c>
      <c r="L264" s="465">
        <v>11132</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39013</v>
      </c>
      <c r="E266" s="616"/>
      <c r="F266" s="616"/>
      <c r="G266" s="616"/>
      <c r="H266" s="616"/>
      <c r="I266" s="616"/>
      <c r="J266" s="616"/>
      <c r="K266" s="1693">
        <f t="shared" si="22"/>
        <v>39013</v>
      </c>
      <c r="L266" s="465">
        <v>38110</v>
      </c>
    </row>
    <row r="267" spans="1:14" x14ac:dyDescent="0.2">
      <c r="A267" s="1525" t="s">
        <v>1010</v>
      </c>
      <c r="B267" s="614">
        <v>2550</v>
      </c>
      <c r="C267" s="616"/>
      <c r="D267" s="465"/>
      <c r="E267" s="616"/>
      <c r="F267" s="616"/>
      <c r="G267" s="616"/>
      <c r="H267" s="616"/>
      <c r="I267" s="616"/>
      <c r="J267" s="616"/>
      <c r="K267" s="1693">
        <f t="shared" si="22"/>
        <v>0</v>
      </c>
      <c r="L267" s="465"/>
    </row>
    <row r="268" spans="1:14" x14ac:dyDescent="0.2">
      <c r="A268" s="1525" t="s">
        <v>102</v>
      </c>
      <c r="B268" s="614">
        <v>2560</v>
      </c>
      <c r="C268" s="616"/>
      <c r="D268" s="465"/>
      <c r="E268" s="616"/>
      <c r="F268" s="616"/>
      <c r="G268" s="616"/>
      <c r="H268" s="616"/>
      <c r="I268" s="616"/>
      <c r="J268" s="616"/>
      <c r="K268" s="1693">
        <f t="shared" si="22"/>
        <v>0</v>
      </c>
      <c r="L268" s="465"/>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49692</v>
      </c>
      <c r="E270" s="616"/>
      <c r="F270" s="616"/>
      <c r="G270" s="616"/>
      <c r="H270" s="616"/>
      <c r="I270" s="616"/>
      <c r="J270" s="616"/>
      <c r="K270" s="1691">
        <f>SUM(K263:K269)</f>
        <v>49692</v>
      </c>
      <c r="L270" s="1691">
        <f>SUM(L263:L269)</f>
        <v>49242</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c r="E276" s="616"/>
      <c r="F276" s="616"/>
      <c r="G276" s="616"/>
      <c r="H276" s="616"/>
      <c r="I276" s="616"/>
      <c r="J276" s="616"/>
      <c r="K276" s="1693">
        <f>D276</f>
        <v>0</v>
      </c>
      <c r="L276" s="465"/>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83892</v>
      </c>
      <c r="E279" s="616"/>
      <c r="F279" s="616"/>
      <c r="G279" s="616"/>
      <c r="H279" s="616"/>
      <c r="I279" s="616"/>
      <c r="J279" s="616"/>
      <c r="K279" s="1698">
        <f>SUM(K238,K243,K257,K261,K270,K277,K278)</f>
        <v>83892</v>
      </c>
      <c r="L279" s="1698">
        <f>SUM(L238,L243,L257,L261,L270,L277,L278)</f>
        <v>86848</v>
      </c>
    </row>
    <row r="280" spans="1:12" ht="15.75" customHeight="1" thickTop="1" thickBot="1" x14ac:dyDescent="0.25">
      <c r="A280" s="1645" t="s">
        <v>930</v>
      </c>
      <c r="B280" s="1634">
        <v>3000</v>
      </c>
      <c r="C280" s="616"/>
      <c r="D280" s="575">
        <v>7731</v>
      </c>
      <c r="E280" s="616"/>
      <c r="F280" s="616"/>
      <c r="G280" s="616"/>
      <c r="H280" s="616"/>
      <c r="I280" s="616"/>
      <c r="J280" s="616"/>
      <c r="K280" s="1700">
        <f>D280</f>
        <v>7731</v>
      </c>
      <c r="L280" s="575">
        <v>9986</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1956</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90" t="s">
        <v>526</v>
      </c>
      <c r="B295" s="2191"/>
      <c r="C295" s="616"/>
      <c r="D295" s="1691">
        <f>SUM(D229,D279,D280,D285)</f>
        <v>200446</v>
      </c>
      <c r="E295" s="616"/>
      <c r="F295" s="616"/>
      <c r="G295" s="616"/>
      <c r="H295" s="1691">
        <f>H293</f>
        <v>0</v>
      </c>
      <c r="I295" s="616"/>
      <c r="J295" s="616"/>
      <c r="K295" s="1691">
        <f>SUM(K229,K279,K280,K285,K293,K294)</f>
        <v>200446</v>
      </c>
      <c r="L295" s="1691">
        <f>SUM(L229,L279,L280,L285,L293,L294)</f>
        <v>214711</v>
      </c>
    </row>
    <row r="296" spans="1:14" ht="13.5" thickTop="1" x14ac:dyDescent="0.2">
      <c r="A296" s="2199" t="s">
        <v>1053</v>
      </c>
      <c r="B296" s="2200"/>
      <c r="C296" s="616"/>
      <c r="D296" s="618"/>
      <c r="E296" s="616"/>
      <c r="F296" s="616"/>
      <c r="G296" s="616"/>
      <c r="H296" s="687"/>
      <c r="I296" s="616"/>
      <c r="J296" s="616"/>
      <c r="K296" s="1705">
        <f>'Revenues 9-14'!G275-'Expenditures 15-22'!K295</f>
        <v>-42524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1961</v>
      </c>
      <c r="B306" s="690" t="s">
        <v>1956</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87" t="s">
        <v>295</v>
      </c>
      <c r="B312" s="2188"/>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3" t="s">
        <v>1053</v>
      </c>
      <c r="B313" s="2184"/>
      <c r="C313" s="626"/>
      <c r="D313" s="626"/>
      <c r="E313" s="626"/>
      <c r="F313" s="626"/>
      <c r="G313" s="626"/>
      <c r="H313" s="626"/>
      <c r="I313" s="626"/>
      <c r="J313" s="626"/>
      <c r="K313" s="1706">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954</v>
      </c>
      <c r="B317" s="2197"/>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1908</v>
      </c>
      <c r="B320" s="698" t="s">
        <v>300</v>
      </c>
      <c r="C320" s="466"/>
      <c r="D320" s="466"/>
      <c r="E320" s="466"/>
      <c r="F320" s="466"/>
      <c r="G320" s="466"/>
      <c r="H320" s="466"/>
      <c r="I320" s="466"/>
      <c r="J320" s="466"/>
      <c r="K320" s="1692">
        <f t="shared" ref="K320:K327" si="24">SUM(C320:J320)</f>
        <v>0</v>
      </c>
      <c r="L320" s="466"/>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302</v>
      </c>
      <c r="C322" s="466"/>
      <c r="D322" s="466"/>
      <c r="E322" s="466"/>
      <c r="F322" s="466"/>
      <c r="G322" s="466"/>
      <c r="H322" s="466"/>
      <c r="I322" s="466"/>
      <c r="J322" s="466"/>
      <c r="K322" s="1692">
        <f t="shared" si="24"/>
        <v>0</v>
      </c>
      <c r="L322" s="466"/>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1962</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1956</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1958</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1963</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5" t="s">
        <v>1053</v>
      </c>
      <c r="B343" s="2186"/>
      <c r="C343" s="616"/>
      <c r="D343" s="616"/>
      <c r="E343" s="616"/>
      <c r="F343" s="616"/>
      <c r="G343" s="616"/>
      <c r="H343" s="616"/>
      <c r="I343" s="616"/>
      <c r="J343" s="616"/>
      <c r="K343" s="1705">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1023</v>
      </c>
      <c r="B345" s="2176"/>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1964</v>
      </c>
      <c r="B354" s="683" t="s">
        <v>1956</v>
      </c>
      <c r="C354" s="616"/>
      <c r="D354" s="616"/>
      <c r="E354" s="616"/>
      <c r="F354" s="616"/>
      <c r="G354" s="616"/>
      <c r="H354" s="473"/>
      <c r="I354" s="701"/>
      <c r="J354" s="616"/>
      <c r="K354" s="1720">
        <f>H354</f>
        <v>0</v>
      </c>
      <c r="L354" s="470"/>
    </row>
    <row r="355" spans="1:14" ht="12.75" customHeight="1" x14ac:dyDescent="0.2">
      <c r="A355" s="1534" t="s">
        <v>1965</v>
      </c>
      <c r="B355" s="690" t="s">
        <v>1958</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9" t="s">
        <v>1053</v>
      </c>
      <c r="B368" s="2200"/>
      <c r="C368" s="654"/>
      <c r="D368" s="654"/>
      <c r="E368" s="626"/>
      <c r="F368" s="626"/>
      <c r="G368" s="626"/>
      <c r="H368" s="626"/>
      <c r="I368" s="626"/>
      <c r="J368" s="623"/>
      <c r="K368" s="1692">
        <f>'Revenues 9-14'!K275-'Expenditures 15-22'!K367</f>
        <v>13</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201" t="s">
        <v>1905</v>
      </c>
      <c r="B2" s="1549" t="s">
        <v>2035</v>
      </c>
      <c r="C2" s="714" t="s">
        <v>1910</v>
      </c>
      <c r="D2" s="714" t="s">
        <v>1911</v>
      </c>
      <c r="E2" s="714" t="s">
        <v>1912</v>
      </c>
      <c r="F2" s="714" t="s">
        <v>1913</v>
      </c>
    </row>
    <row r="3" spans="1:6" ht="12" customHeight="1" x14ac:dyDescent="0.2">
      <c r="A3" s="2202"/>
      <c r="B3" s="1546"/>
      <c r="C3" s="1547"/>
      <c r="D3" s="1548" t="s">
        <v>274</v>
      </c>
      <c r="E3" s="1547"/>
      <c r="F3" s="1548" t="s">
        <v>275</v>
      </c>
    </row>
    <row r="4" spans="1:6" ht="13.7" customHeight="1" x14ac:dyDescent="0.2">
      <c r="A4" s="715" t="s">
        <v>1217</v>
      </c>
      <c r="B4" s="1770">
        <f>'Revenues 9-14'!C5</f>
        <v>3790921</v>
      </c>
      <c r="C4" s="1545"/>
      <c r="D4" s="1773">
        <f>B4-C4</f>
        <v>3790921</v>
      </c>
      <c r="E4" s="1545"/>
      <c r="F4" s="1773">
        <f>E4-C4</f>
        <v>0</v>
      </c>
    </row>
    <row r="5" spans="1:6" ht="13.7" customHeight="1" x14ac:dyDescent="0.2">
      <c r="A5" s="715" t="s">
        <v>925</v>
      </c>
      <c r="B5" s="1771">
        <f>'Revenues 9-14'!D5</f>
        <v>446632</v>
      </c>
      <c r="C5" s="584"/>
      <c r="D5" s="1774">
        <f t="shared" ref="D5:D18" si="0">B5-C5</f>
        <v>446632</v>
      </c>
      <c r="E5" s="584"/>
      <c r="F5" s="1774">
        <f>E5-C5</f>
        <v>0</v>
      </c>
    </row>
    <row r="6" spans="1:6" ht="13.7" customHeight="1" x14ac:dyDescent="0.2">
      <c r="A6" s="715" t="s">
        <v>431</v>
      </c>
      <c r="B6" s="1771">
        <f>'Revenues 9-14'!E5</f>
        <v>403224</v>
      </c>
      <c r="C6" s="584"/>
      <c r="D6" s="1774">
        <f t="shared" si="0"/>
        <v>403224</v>
      </c>
      <c r="E6" s="584"/>
      <c r="F6" s="1774">
        <f t="shared" ref="F6:F18" si="1">E6-C6</f>
        <v>0</v>
      </c>
    </row>
    <row r="7" spans="1:6" ht="13.7" customHeight="1" x14ac:dyDescent="0.2">
      <c r="A7" s="715" t="s">
        <v>157</v>
      </c>
      <c r="B7" s="1771">
        <f>'Revenues 9-14'!F5</f>
        <v>45601</v>
      </c>
      <c r="C7" s="584"/>
      <c r="D7" s="1774">
        <f t="shared" si="0"/>
        <v>45601</v>
      </c>
      <c r="E7" s="584"/>
      <c r="F7" s="1774">
        <f t="shared" si="1"/>
        <v>0</v>
      </c>
    </row>
    <row r="8" spans="1:6" ht="13.7" customHeight="1" x14ac:dyDescent="0.2">
      <c r="A8" s="715" t="s">
        <v>1241</v>
      </c>
      <c r="B8" s="1771">
        <f>'Revenues 9-14'!G5</f>
        <v>113269</v>
      </c>
      <c r="C8" s="584"/>
      <c r="D8" s="1774">
        <f t="shared" si="0"/>
        <v>113269</v>
      </c>
      <c r="E8" s="584"/>
      <c r="F8" s="1774">
        <f t="shared" si="1"/>
        <v>0</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-1551</v>
      </c>
      <c r="C10" s="584"/>
      <c r="D10" s="1774">
        <f t="shared" si="0"/>
        <v>-1551</v>
      </c>
      <c r="E10" s="584"/>
      <c r="F10" s="1774">
        <f t="shared" si="1"/>
        <v>0</v>
      </c>
    </row>
    <row r="11" spans="1:6" x14ac:dyDescent="0.2">
      <c r="A11" s="715" t="s">
        <v>429</v>
      </c>
      <c r="B11" s="1771">
        <f>'Revenues 9-14'!J5</f>
        <v>0</v>
      </c>
      <c r="C11" s="584"/>
      <c r="D11" s="1774">
        <f t="shared" si="0"/>
        <v>0</v>
      </c>
      <c r="E11" s="584"/>
      <c r="F11" s="1774">
        <f t="shared" si="1"/>
        <v>0</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411933</v>
      </c>
      <c r="C14" s="584"/>
      <c r="D14" s="1774">
        <f t="shared" si="0"/>
        <v>411933</v>
      </c>
      <c r="E14" s="584"/>
      <c r="F14" s="1774">
        <f t="shared" si="1"/>
        <v>0</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0</v>
      </c>
      <c r="C16" s="584"/>
      <c r="D16" s="1774">
        <f t="shared" si="0"/>
        <v>0</v>
      </c>
      <c r="E16" s="584"/>
      <c r="F16" s="1774">
        <f t="shared" si="1"/>
        <v>0</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5210029</v>
      </c>
      <c r="C19" s="1772">
        <f>SUM(C4:C18)</f>
        <v>0</v>
      </c>
      <c r="D19" s="1772">
        <f>SUM(D4:D18)</f>
        <v>5210029</v>
      </c>
      <c r="E19" s="1772">
        <f>SUM(E4:E18)</f>
        <v>0</v>
      </c>
      <c r="F19" s="1772">
        <f>SUM(F4:F18)</f>
        <v>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Normal="100" workbookViewId="0">
      <selection activeCell="F37" sqref="F37"/>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7" t="s">
        <v>650</v>
      </c>
      <c r="B1" s="2208"/>
      <c r="C1" s="721"/>
    </row>
    <row r="2" spans="1:7" ht="33.75" x14ac:dyDescent="0.2">
      <c r="A2" s="2216" t="s">
        <v>1905</v>
      </c>
      <c r="B2" s="2217"/>
      <c r="C2" s="1908" t="s">
        <v>2036</v>
      </c>
      <c r="D2" s="723" t="s">
        <v>2043</v>
      </c>
      <c r="E2" s="723" t="s">
        <v>2044</v>
      </c>
      <c r="F2" s="1908" t="s">
        <v>2037</v>
      </c>
    </row>
    <row r="3" spans="1:7" ht="15.75" customHeight="1" x14ac:dyDescent="0.2">
      <c r="A3" s="2220" t="s">
        <v>1176</v>
      </c>
      <c r="B3" s="2221"/>
      <c r="C3" s="2209"/>
      <c r="D3" s="2210"/>
      <c r="E3" s="2210"/>
      <c r="F3" s="2211"/>
    </row>
    <row r="4" spans="1:7" ht="12.75" customHeight="1" thickBot="1" x14ac:dyDescent="0.25">
      <c r="A4" s="2218" t="s">
        <v>651</v>
      </c>
      <c r="B4" s="2219"/>
      <c r="C4" s="580"/>
      <c r="D4" s="580"/>
      <c r="E4" s="580"/>
      <c r="F4" s="1776">
        <f>SUM(C4+D4)-E4</f>
        <v>0</v>
      </c>
    </row>
    <row r="5" spans="1:7" ht="15.75" customHeight="1" thickTop="1" x14ac:dyDescent="0.2">
      <c r="A5" s="2203" t="s">
        <v>1172</v>
      </c>
      <c r="B5" s="2204"/>
      <c r="C5" s="2212"/>
      <c r="D5" s="2213"/>
      <c r="E5" s="2213"/>
      <c r="F5" s="2214"/>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05" t="s">
        <v>652</v>
      </c>
      <c r="B15" s="2206"/>
      <c r="C15" s="1776">
        <f>SUM(C6:C14)</f>
        <v>0</v>
      </c>
      <c r="D15" s="1776">
        <f>SUM(D6:D14)</f>
        <v>0</v>
      </c>
      <c r="E15" s="1776">
        <f>SUM(E6:E14)</f>
        <v>0</v>
      </c>
      <c r="F15" s="1776">
        <f>SUM(F6:F14)</f>
        <v>0</v>
      </c>
      <c r="G15" s="551"/>
    </row>
    <row r="16" spans="1:7" s="201" customFormat="1" ht="15.75" customHeight="1" thickTop="1" x14ac:dyDescent="0.2">
      <c r="A16" s="2215" t="s">
        <v>1173</v>
      </c>
      <c r="B16" s="2204"/>
      <c r="C16" s="2212"/>
      <c r="D16" s="2213"/>
      <c r="E16" s="2213"/>
      <c r="F16" s="2214"/>
    </row>
    <row r="17" spans="1:11" ht="12.75" customHeight="1" thickBot="1" x14ac:dyDescent="0.25">
      <c r="A17" s="2228" t="s">
        <v>66</v>
      </c>
      <c r="B17" s="2229"/>
      <c r="C17" s="726"/>
      <c r="D17" s="584"/>
      <c r="E17" s="726"/>
      <c r="F17" s="1776">
        <f>SUM(C17+D17)-E17</f>
        <v>0</v>
      </c>
    </row>
    <row r="18" spans="1:11" ht="12.75" customHeight="1" thickTop="1" thickBot="1" x14ac:dyDescent="0.25">
      <c r="A18" s="2228" t="s">
        <v>6</v>
      </c>
      <c r="B18" s="2229"/>
      <c r="C18" s="726"/>
      <c r="D18" s="584"/>
      <c r="E18" s="726"/>
      <c r="F18" s="1776">
        <f>SUM(C18+D18)-E18</f>
        <v>0</v>
      </c>
    </row>
    <row r="19" spans="1:11" ht="12.75" customHeight="1" thickTop="1" thickBot="1" x14ac:dyDescent="0.25">
      <c r="A19" s="2228" t="s">
        <v>406</v>
      </c>
      <c r="B19" s="2229"/>
      <c r="C19" s="726"/>
      <c r="D19" s="584"/>
      <c r="E19" s="726"/>
      <c r="F19" s="1776">
        <f>SUM(C19+D19)-E19</f>
        <v>0</v>
      </c>
    </row>
    <row r="20" spans="1:11" ht="12.75" customHeight="1" thickTop="1" thickBot="1" x14ac:dyDescent="0.25">
      <c r="A20" s="2228" t="s">
        <v>468</v>
      </c>
      <c r="B20" s="2229"/>
      <c r="C20" s="726"/>
      <c r="D20" s="584"/>
      <c r="E20" s="726"/>
      <c r="F20" s="1776">
        <f>SUM(C20+D20)-E20</f>
        <v>0</v>
      </c>
    </row>
    <row r="21" spans="1:11" ht="14.25" thickTop="1" thickBot="1" x14ac:dyDescent="0.25">
      <c r="A21" s="2205" t="s">
        <v>653</v>
      </c>
      <c r="B21" s="2206"/>
      <c r="C21" s="1776">
        <f>SUM(C17:C20)</f>
        <v>0</v>
      </c>
      <c r="D21" s="1776">
        <f>SUM(D17:D20)</f>
        <v>0</v>
      </c>
      <c r="E21" s="1776">
        <f>SUM(E17:E20)</f>
        <v>0</v>
      </c>
      <c r="F21" s="1776">
        <f>SUM(F17:F20)</f>
        <v>0</v>
      </c>
      <c r="G21" s="551"/>
    </row>
    <row r="22" spans="1:11" ht="15.75" customHeight="1" thickTop="1" x14ac:dyDescent="0.2">
      <c r="A22" s="2230" t="s">
        <v>1174</v>
      </c>
      <c r="B22" s="2204"/>
      <c r="C22" s="2212"/>
      <c r="D22" s="2213"/>
      <c r="E22" s="2213"/>
      <c r="F22" s="2214"/>
    </row>
    <row r="23" spans="1:11" ht="13.5" thickBot="1" x14ac:dyDescent="0.25">
      <c r="A23" s="2218" t="s">
        <v>654</v>
      </c>
      <c r="B23" s="2219"/>
      <c r="C23" s="580"/>
      <c r="D23" s="580"/>
      <c r="E23" s="580"/>
      <c r="F23" s="1776">
        <f>SUM(C23+D23)-E23</f>
        <v>0</v>
      </c>
      <c r="G23" s="551"/>
    </row>
    <row r="24" spans="1:11" ht="15.75" customHeight="1" thickTop="1" x14ac:dyDescent="0.2">
      <c r="A24" s="2230" t="s">
        <v>1175</v>
      </c>
      <c r="B24" s="2204"/>
      <c r="C24" s="2212"/>
      <c r="D24" s="2213"/>
      <c r="E24" s="2213"/>
      <c r="F24" s="2214"/>
    </row>
    <row r="25" spans="1:11" ht="13.5" thickBot="1" x14ac:dyDescent="0.25">
      <c r="A25" s="2218" t="s">
        <v>655</v>
      </c>
      <c r="B25" s="2219"/>
      <c r="C25" s="580"/>
      <c r="D25" s="580"/>
      <c r="E25" s="580"/>
      <c r="F25" s="1776">
        <f>SUM(C25+D25)-E25</f>
        <v>0</v>
      </c>
      <c r="G25" s="551"/>
    </row>
    <row r="26" spans="1:11" ht="15.75" customHeight="1" thickTop="1" x14ac:dyDescent="0.2">
      <c r="A26" s="2203" t="s">
        <v>678</v>
      </c>
      <c r="B26" s="2204"/>
      <c r="C26" s="727"/>
      <c r="D26" s="727"/>
      <c r="E26" s="727"/>
      <c r="F26" s="728"/>
    </row>
    <row r="27" spans="1:11" ht="13.5" thickBot="1" x14ac:dyDescent="0.25">
      <c r="A27" s="2205" t="s">
        <v>1130</v>
      </c>
      <c r="B27" s="2206"/>
      <c r="C27" s="584"/>
      <c r="D27" s="584"/>
      <c r="E27" s="584"/>
      <c r="F27" s="1776">
        <f>SUM(C27+D27)-E27</f>
        <v>0</v>
      </c>
      <c r="G27" s="551"/>
    </row>
    <row r="28" spans="1:11" ht="7.5" customHeight="1" thickTop="1" x14ac:dyDescent="0.2">
      <c r="A28" s="593"/>
    </row>
    <row r="29" spans="1:11" ht="23.25" customHeight="1" x14ac:dyDescent="0.2">
      <c r="A29" s="2231" t="s">
        <v>603</v>
      </c>
      <c r="B29" s="2208"/>
      <c r="C29" s="729"/>
      <c r="D29" s="729"/>
      <c r="E29" s="729"/>
      <c r="F29" s="729"/>
      <c r="G29" s="729"/>
      <c r="H29" s="729"/>
      <c r="I29" s="729"/>
      <c r="J29" s="729"/>
    </row>
    <row r="30" spans="1:11" ht="33.75" x14ac:dyDescent="0.2">
      <c r="A30" s="1550" t="s">
        <v>1131</v>
      </c>
      <c r="B30" s="730" t="s">
        <v>1186</v>
      </c>
      <c r="C30" s="1909" t="s">
        <v>604</v>
      </c>
      <c r="D30" s="1909" t="s">
        <v>1772</v>
      </c>
      <c r="E30" s="1909" t="s">
        <v>2038</v>
      </c>
      <c r="F30" s="1909" t="s">
        <v>2039</v>
      </c>
      <c r="G30" s="1909" t="s">
        <v>2042</v>
      </c>
      <c r="H30" s="1909" t="s">
        <v>2040</v>
      </c>
      <c r="I30" s="1909" t="s">
        <v>2041</v>
      </c>
      <c r="J30" s="1910" t="s">
        <v>2</v>
      </c>
      <c r="K30" s="731"/>
    </row>
    <row r="31" spans="1:11" ht="12" customHeight="1" x14ac:dyDescent="0.2">
      <c r="A31" s="732" t="s">
        <v>2096</v>
      </c>
      <c r="B31" s="733">
        <v>39965</v>
      </c>
      <c r="C31" s="734">
        <v>2180000</v>
      </c>
      <c r="D31" s="735">
        <v>4</v>
      </c>
      <c r="E31" s="734">
        <v>600000</v>
      </c>
      <c r="F31" s="734"/>
      <c r="G31" s="734"/>
      <c r="H31" s="734"/>
      <c r="I31" s="1777">
        <f>((E31+F31)-H31)+G31</f>
        <v>600000</v>
      </c>
      <c r="J31" s="734">
        <v>521594</v>
      </c>
      <c r="K31" s="736"/>
    </row>
    <row r="32" spans="1:11" ht="12" customHeight="1" x14ac:dyDescent="0.2">
      <c r="A32" s="732" t="s">
        <v>2097</v>
      </c>
      <c r="B32" s="733">
        <v>41185</v>
      </c>
      <c r="C32" s="734">
        <v>925000</v>
      </c>
      <c r="D32" s="735">
        <v>1</v>
      </c>
      <c r="E32" s="734">
        <v>50000</v>
      </c>
      <c r="F32" s="734"/>
      <c r="G32" s="734"/>
      <c r="H32" s="734">
        <v>50000</v>
      </c>
      <c r="I32" s="1777">
        <f>((E32+F32)-H32)+G32</f>
        <v>0</v>
      </c>
      <c r="J32" s="734"/>
      <c r="K32" s="736"/>
    </row>
    <row r="33" spans="1:11" ht="12" customHeight="1" x14ac:dyDescent="0.2">
      <c r="A33" s="732" t="s">
        <v>2098</v>
      </c>
      <c r="B33" s="733">
        <v>41185</v>
      </c>
      <c r="C33" s="734">
        <v>1270000</v>
      </c>
      <c r="D33" s="735">
        <v>3</v>
      </c>
      <c r="E33" s="734">
        <v>755000</v>
      </c>
      <c r="F33" s="734"/>
      <c r="G33" s="734"/>
      <c r="H33" s="734">
        <v>145000</v>
      </c>
      <c r="I33" s="1777">
        <f t="shared" ref="I33:I48" si="1">((E33+F33)-H33)+G33</f>
        <v>610000</v>
      </c>
      <c r="J33" s="734">
        <v>530287</v>
      </c>
      <c r="K33" s="736"/>
    </row>
    <row r="34" spans="1:11" ht="12" customHeight="1" x14ac:dyDescent="0.2">
      <c r="A34" s="732" t="s">
        <v>2099</v>
      </c>
      <c r="B34" s="733">
        <v>41794</v>
      </c>
      <c r="C34" s="734">
        <v>2390000</v>
      </c>
      <c r="D34" s="735" t="s">
        <v>2100</v>
      </c>
      <c r="E34" s="734">
        <v>2000000</v>
      </c>
      <c r="F34" s="734"/>
      <c r="G34" s="734"/>
      <c r="H34" s="734"/>
      <c r="I34" s="1777">
        <f t="shared" si="1"/>
        <v>2000000</v>
      </c>
      <c r="J34" s="734">
        <v>1738646</v>
      </c>
      <c r="K34" s="737"/>
    </row>
    <row r="35" spans="1:11" ht="12" customHeight="1" x14ac:dyDescent="0.2">
      <c r="A35" s="732" t="s">
        <v>2101</v>
      </c>
      <c r="B35" s="733">
        <v>42852</v>
      </c>
      <c r="C35" s="738">
        <v>1850000</v>
      </c>
      <c r="D35" s="735" t="s">
        <v>2100</v>
      </c>
      <c r="E35" s="738">
        <v>1850000</v>
      </c>
      <c r="F35" s="738"/>
      <c r="G35" s="738"/>
      <c r="H35" s="738"/>
      <c r="I35" s="1777">
        <f t="shared" si="1"/>
        <v>1850000</v>
      </c>
      <c r="J35" s="738">
        <v>1608247</v>
      </c>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t="s">
        <v>2102</v>
      </c>
      <c r="B37" s="733" t="s">
        <v>2104</v>
      </c>
      <c r="C37" s="466"/>
      <c r="D37" s="740">
        <v>7</v>
      </c>
      <c r="E37" s="466">
        <v>94402</v>
      </c>
      <c r="F37" s="466">
        <v>42828</v>
      </c>
      <c r="G37" s="466"/>
      <c r="H37" s="466">
        <v>83989</v>
      </c>
      <c r="I37" s="1777">
        <f t="shared" si="1"/>
        <v>53241</v>
      </c>
      <c r="J37" s="466">
        <v>46283</v>
      </c>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t="s">
        <v>2103</v>
      </c>
      <c r="B39" s="733" t="s">
        <v>2104</v>
      </c>
      <c r="C39" s="734"/>
      <c r="D39" s="741">
        <v>8</v>
      </c>
      <c r="E39" s="742">
        <v>49845</v>
      </c>
      <c r="F39" s="742"/>
      <c r="G39" s="742"/>
      <c r="H39" s="742">
        <v>33064</v>
      </c>
      <c r="I39" s="1777">
        <f t="shared" si="1"/>
        <v>16781</v>
      </c>
      <c r="J39" s="743">
        <v>14588</v>
      </c>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8615000</v>
      </c>
      <c r="D49" s="745"/>
      <c r="E49" s="1777">
        <f t="shared" ref="E49:J49" si="2">SUM(E31:E48)</f>
        <v>5399247</v>
      </c>
      <c r="F49" s="1777">
        <f t="shared" si="2"/>
        <v>42828</v>
      </c>
      <c r="G49" s="1777">
        <f t="shared" si="2"/>
        <v>0</v>
      </c>
      <c r="H49" s="1777">
        <f t="shared" si="2"/>
        <v>312053</v>
      </c>
      <c r="I49" s="1777">
        <f t="shared" si="2"/>
        <v>5130022</v>
      </c>
      <c r="J49" s="1777">
        <f t="shared" si="2"/>
        <v>4459645</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2" t="s">
        <v>605</v>
      </c>
      <c r="C52" s="2223"/>
      <c r="D52" s="2223"/>
      <c r="E52" s="749" t="s">
        <v>900</v>
      </c>
      <c r="F52" s="2224" t="s">
        <v>2102</v>
      </c>
      <c r="G52" s="2225"/>
      <c r="H52" s="736"/>
      <c r="I52" s="736"/>
      <c r="J52" s="746"/>
    </row>
    <row r="53" spans="1:11" ht="11.25" customHeight="1" x14ac:dyDescent="0.2">
      <c r="A53" s="750" t="s">
        <v>969</v>
      </c>
      <c r="B53" s="751" t="s">
        <v>1008</v>
      </c>
      <c r="C53" s="746"/>
      <c r="D53" s="737"/>
      <c r="E53" s="749" t="s">
        <v>518</v>
      </c>
      <c r="F53" s="2226" t="s">
        <v>2103</v>
      </c>
      <c r="G53" s="2227"/>
      <c r="H53" s="736"/>
      <c r="I53" s="736"/>
      <c r="J53" s="746"/>
    </row>
    <row r="54" spans="1:11" ht="11.25" customHeight="1" x14ac:dyDescent="0.2">
      <c r="A54" s="752" t="s">
        <v>970</v>
      </c>
      <c r="B54" s="747" t="s">
        <v>1009</v>
      </c>
      <c r="C54" s="746"/>
      <c r="D54" s="737"/>
      <c r="E54" s="749" t="s">
        <v>519</v>
      </c>
      <c r="F54" s="2226"/>
      <c r="G54" s="222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7" colorId="8" zoomScale="110" zoomScaleNormal="110" workbookViewId="0">
      <selection activeCell="G39" sqref="G39"/>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6" t="s">
        <v>911</v>
      </c>
      <c r="B1" s="2257"/>
      <c r="C1" s="2257"/>
      <c r="D1" s="2257"/>
      <c r="E1" s="2257"/>
      <c r="F1" s="2257"/>
      <c r="G1" s="2258"/>
      <c r="H1" s="1551"/>
      <c r="I1" s="760"/>
      <c r="J1" s="432"/>
    </row>
    <row r="2" spans="1:11" ht="26.25" x14ac:dyDescent="0.2">
      <c r="A2" s="2235" t="s">
        <v>1776</v>
      </c>
      <c r="B2" s="2236"/>
      <c r="C2" s="2236"/>
      <c r="D2" s="2236"/>
      <c r="E2" s="2237"/>
      <c r="F2" s="761" t="s">
        <v>960</v>
      </c>
      <c r="G2" s="762" t="s">
        <v>1773</v>
      </c>
      <c r="H2" s="762" t="s">
        <v>430</v>
      </c>
      <c r="I2" s="762" t="s">
        <v>1220</v>
      </c>
      <c r="J2" s="762" t="s">
        <v>1919</v>
      </c>
      <c r="K2" s="762" t="s">
        <v>140</v>
      </c>
    </row>
    <row r="3" spans="1:11" x14ac:dyDescent="0.2">
      <c r="A3" s="2238" t="s">
        <v>1698</v>
      </c>
      <c r="B3" s="2239"/>
      <c r="C3" s="2239"/>
      <c r="D3" s="2239"/>
      <c r="E3" s="2240"/>
      <c r="F3" s="763"/>
      <c r="G3" s="764"/>
      <c r="H3" s="764"/>
      <c r="I3" s="764"/>
      <c r="J3" s="765"/>
      <c r="K3" s="765"/>
    </row>
    <row r="4" spans="1:11" x14ac:dyDescent="0.2">
      <c r="A4" s="2241" t="s">
        <v>387</v>
      </c>
      <c r="B4" s="2242"/>
      <c r="C4" s="2242"/>
      <c r="D4" s="2242"/>
      <c r="E4" s="2223"/>
      <c r="F4" s="766"/>
      <c r="G4" s="767"/>
      <c r="H4" s="768"/>
      <c r="I4" s="767"/>
      <c r="J4" s="769"/>
      <c r="K4" s="769"/>
    </row>
    <row r="5" spans="1:11" x14ac:dyDescent="0.2">
      <c r="A5" s="2259" t="s">
        <v>1129</v>
      </c>
      <c r="B5" s="2232"/>
      <c r="C5" s="2232"/>
      <c r="D5" s="2232"/>
      <c r="E5" s="2260"/>
      <c r="F5" s="770" t="s">
        <v>903</v>
      </c>
      <c r="G5" s="771"/>
      <c r="H5" s="764">
        <v>411933</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59" t="s">
        <v>1920</v>
      </c>
      <c r="B10" s="2232"/>
      <c r="C10" s="2232"/>
      <c r="D10" s="2232"/>
      <c r="E10" s="2261"/>
      <c r="F10" s="783" t="s">
        <v>917</v>
      </c>
      <c r="G10" s="782"/>
      <c r="H10" s="784"/>
      <c r="I10" s="764"/>
      <c r="J10" s="765"/>
      <c r="K10" s="765"/>
    </row>
    <row r="11" spans="1:11" x14ac:dyDescent="0.2">
      <c r="A11" s="2259" t="s">
        <v>162</v>
      </c>
      <c r="B11" s="2232"/>
      <c r="C11" s="2232"/>
      <c r="D11" s="2232"/>
      <c r="E11" s="2260"/>
      <c r="F11" s="770" t="s">
        <v>907</v>
      </c>
      <c r="G11" s="771"/>
      <c r="H11" s="764"/>
      <c r="I11" s="764"/>
      <c r="J11" s="765"/>
      <c r="K11" s="773"/>
    </row>
    <row r="12" spans="1:11" ht="13.5" thickBot="1" x14ac:dyDescent="0.25">
      <c r="A12" s="2249" t="s">
        <v>961</v>
      </c>
      <c r="B12" s="2250"/>
      <c r="C12" s="2250"/>
      <c r="D12" s="2250"/>
      <c r="E12" s="2251"/>
      <c r="F12" s="1778"/>
      <c r="G12" s="1779">
        <f>SUM(G5:G11)</f>
        <v>0</v>
      </c>
      <c r="H12" s="1779">
        <f>SUM(H5:H11)</f>
        <v>411933</v>
      </c>
      <c r="I12" s="1779">
        <f>SUM(I5:I11)</f>
        <v>0</v>
      </c>
      <c r="J12" s="1779">
        <f>SUM(J5:J11)</f>
        <v>0</v>
      </c>
      <c r="K12" s="1779">
        <f>SUM(K5:K11)</f>
        <v>0</v>
      </c>
    </row>
    <row r="13" spans="1:11" ht="13.5" thickTop="1" x14ac:dyDescent="0.2">
      <c r="A13" s="2243" t="s">
        <v>388</v>
      </c>
      <c r="B13" s="2244"/>
      <c r="C13" s="2244"/>
      <c r="D13" s="2244"/>
      <c r="E13" s="2245"/>
      <c r="F13" s="785"/>
      <c r="G13" s="786"/>
      <c r="H13" s="787"/>
      <c r="I13" s="788"/>
      <c r="J13" s="788"/>
      <c r="K13" s="788"/>
    </row>
    <row r="14" spans="1:11" x14ac:dyDescent="0.2">
      <c r="A14" s="2265" t="s">
        <v>476</v>
      </c>
      <c r="B14" s="2265"/>
      <c r="C14" s="2265"/>
      <c r="D14" s="2265"/>
      <c r="E14" s="2266"/>
      <c r="F14" s="789" t="s">
        <v>909</v>
      </c>
      <c r="G14" s="782"/>
      <c r="H14" s="764">
        <v>411933</v>
      </c>
      <c r="I14" s="771"/>
      <c r="J14" s="773"/>
      <c r="K14" s="765"/>
    </row>
    <row r="15" spans="1:11" x14ac:dyDescent="0.2">
      <c r="A15" s="2232" t="s">
        <v>4</v>
      </c>
      <c r="B15" s="2232"/>
      <c r="C15" s="2232"/>
      <c r="D15" s="2232"/>
      <c r="E15" s="2260"/>
      <c r="F15" s="789" t="s">
        <v>910</v>
      </c>
      <c r="G15" s="771"/>
      <c r="H15" s="764"/>
      <c r="I15" s="764"/>
      <c r="J15" s="765"/>
      <c r="K15" s="765"/>
    </row>
    <row r="16" spans="1:11" x14ac:dyDescent="0.2">
      <c r="A16" s="2232" t="s">
        <v>316</v>
      </c>
      <c r="B16" s="2232"/>
      <c r="C16" s="2232"/>
      <c r="D16" s="2232"/>
      <c r="E16" s="2260"/>
      <c r="F16" s="789" t="s">
        <v>980</v>
      </c>
      <c r="G16" s="772"/>
      <c r="H16" s="767"/>
      <c r="I16" s="767"/>
      <c r="J16" s="769"/>
      <c r="K16" s="769"/>
    </row>
    <row r="17" spans="1:11" x14ac:dyDescent="0.2">
      <c r="A17" s="2254" t="s">
        <v>992</v>
      </c>
      <c r="B17" s="2254"/>
      <c r="C17" s="2254"/>
      <c r="D17" s="2254"/>
      <c r="E17" s="2255"/>
      <c r="F17" s="790"/>
      <c r="G17" s="791"/>
      <c r="H17" s="792"/>
      <c r="I17" s="792"/>
      <c r="J17" s="793"/>
      <c r="K17" s="794"/>
    </row>
    <row r="18" spans="1:11" x14ac:dyDescent="0.2">
      <c r="A18" s="2246" t="s">
        <v>386</v>
      </c>
      <c r="B18" s="2247"/>
      <c r="C18" s="2247"/>
      <c r="D18" s="2247"/>
      <c r="E18" s="2248"/>
      <c r="F18" s="789" t="s">
        <v>989</v>
      </c>
      <c r="G18" s="782"/>
      <c r="H18" s="782"/>
      <c r="I18" s="782"/>
      <c r="J18" s="765"/>
      <c r="K18" s="795"/>
    </row>
    <row r="19" spans="1:11" ht="21.75" customHeight="1" x14ac:dyDescent="0.2">
      <c r="A19" s="2267" t="s">
        <v>1916</v>
      </c>
      <c r="B19" s="2267"/>
      <c r="C19" s="2267"/>
      <c r="D19" s="2267"/>
      <c r="E19" s="2268"/>
      <c r="F19" s="789" t="s">
        <v>990</v>
      </c>
      <c r="G19" s="782"/>
      <c r="H19" s="782"/>
      <c r="I19" s="782"/>
      <c r="J19" s="765"/>
      <c r="K19" s="795"/>
    </row>
    <row r="20" spans="1:11" x14ac:dyDescent="0.2">
      <c r="A20" s="2246" t="s">
        <v>1921</v>
      </c>
      <c r="B20" s="2247"/>
      <c r="C20" s="2247"/>
      <c r="D20" s="2247"/>
      <c r="E20" s="2248"/>
      <c r="F20" s="789" t="s">
        <v>991</v>
      </c>
      <c r="G20" s="782"/>
      <c r="H20" s="782"/>
      <c r="I20" s="782"/>
      <c r="J20" s="765"/>
      <c r="K20" s="795"/>
    </row>
    <row r="21" spans="1:11" ht="13.5" thickBot="1" x14ac:dyDescent="0.25">
      <c r="A21" s="2252" t="s">
        <v>659</v>
      </c>
      <c r="B21" s="2252"/>
      <c r="C21" s="2252"/>
      <c r="D21" s="2252"/>
      <c r="E21" s="2252"/>
      <c r="F21" s="1780"/>
      <c r="G21" s="792"/>
      <c r="H21" s="796"/>
      <c r="I21" s="796"/>
      <c r="J21" s="1781">
        <f>SUM(J18:J20)</f>
        <v>0</v>
      </c>
      <c r="K21" s="793"/>
    </row>
    <row r="22" spans="1:11" ht="13.5" thickTop="1" x14ac:dyDescent="0.2">
      <c r="A22" s="2232" t="s">
        <v>1922</v>
      </c>
      <c r="B22" s="2232"/>
      <c r="C22" s="2232"/>
      <c r="D22" s="2232"/>
      <c r="E22" s="2260"/>
      <c r="F22" s="789" t="s">
        <v>917</v>
      </c>
      <c r="G22" s="782"/>
      <c r="H22" s="764"/>
      <c r="I22" s="764"/>
      <c r="J22" s="797"/>
      <c r="K22" s="765"/>
    </row>
    <row r="23" spans="1:11" ht="13.5" thickBot="1" x14ac:dyDescent="0.25">
      <c r="A23" s="2253" t="s">
        <v>962</v>
      </c>
      <c r="B23" s="2252"/>
      <c r="C23" s="2252"/>
      <c r="D23" s="2252"/>
      <c r="E23" s="2252"/>
      <c r="F23" s="1782"/>
      <c r="G23" s="1779">
        <f>SUM(G14:G16,G21,G22)</f>
        <v>0</v>
      </c>
      <c r="H23" s="1779">
        <f>SUM(H14:H16,H21,H22)</f>
        <v>411933</v>
      </c>
      <c r="I23" s="1779">
        <f>SUM(I14:I16,I21,I22)</f>
        <v>0</v>
      </c>
      <c r="J23" s="1779">
        <f>SUM(J14:J16,J21,J22)</f>
        <v>0</v>
      </c>
      <c r="K23" s="1779">
        <f>SUM(K14:K16,K21,K22)</f>
        <v>0</v>
      </c>
    </row>
    <row r="24" spans="1:11" ht="14.25" thickTop="1" thickBot="1" x14ac:dyDescent="0.25">
      <c r="A24" s="2253" t="s">
        <v>2024</v>
      </c>
      <c r="B24" s="2252"/>
      <c r="C24" s="2252"/>
      <c r="D24" s="2252"/>
      <c r="E24" s="2252"/>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2034</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62"/>
      <c r="I31" s="2263"/>
      <c r="J31" s="2263"/>
      <c r="K31" s="2263"/>
    </row>
    <row r="32" spans="1:11" x14ac:dyDescent="0.2">
      <c r="A32" s="809"/>
      <c r="B32" s="236"/>
      <c r="C32" s="236"/>
      <c r="D32" s="236"/>
      <c r="E32" s="805"/>
      <c r="F32" s="811" t="s">
        <v>561</v>
      </c>
      <c r="G32" s="764"/>
      <c r="H32" s="2264"/>
      <c r="I32" s="2263"/>
      <c r="J32" s="2263"/>
      <c r="K32" s="2263"/>
    </row>
    <row r="33" spans="1:11" ht="1.5" customHeight="1" x14ac:dyDescent="0.2">
      <c r="A33" s="812" t="s">
        <v>1231</v>
      </c>
      <c r="B33" s="363"/>
      <c r="C33" s="363"/>
      <c r="D33" s="363"/>
      <c r="E33" s="363"/>
      <c r="F33" s="363"/>
      <c r="G33" s="813"/>
      <c r="H33" s="2264"/>
      <c r="I33" s="2263"/>
      <c r="J33" s="2263"/>
      <c r="K33" s="2263"/>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v>34790</v>
      </c>
    </row>
    <row r="37" spans="1:11" x14ac:dyDescent="0.2">
      <c r="A37" s="820" t="s">
        <v>952</v>
      </c>
      <c r="B37" s="818"/>
      <c r="C37" s="818"/>
      <c r="D37" s="818"/>
      <c r="E37" s="818"/>
      <c r="F37" s="819"/>
      <c r="G37" s="765"/>
    </row>
    <row r="38" spans="1:11" x14ac:dyDescent="0.2">
      <c r="A38" s="820" t="s">
        <v>1050</v>
      </c>
      <c r="B38" s="818"/>
      <c r="C38" s="818"/>
      <c r="D38" s="818"/>
      <c r="E38" s="818"/>
      <c r="F38" s="819"/>
      <c r="G38" s="765">
        <v>38903</v>
      </c>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2" t="s">
        <v>562</v>
      </c>
      <c r="B41" s="2233"/>
      <c r="C41" s="2233"/>
      <c r="D41" s="2233"/>
      <c r="E41" s="2233"/>
      <c r="F41" s="2234"/>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24" sqref="F24"/>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1" t="s">
        <v>2033</v>
      </c>
      <c r="B1" s="2272"/>
      <c r="C1" s="2273"/>
      <c r="D1" s="826"/>
      <c r="E1" s="827"/>
      <c r="F1" s="827"/>
      <c r="G1" s="828"/>
      <c r="H1" s="829"/>
      <c r="I1" s="830"/>
      <c r="J1" s="2269"/>
      <c r="K1" s="2270"/>
      <c r="L1" s="2270"/>
    </row>
    <row r="2" spans="1:14" ht="69.75" customHeight="1" x14ac:dyDescent="0.2">
      <c r="A2" s="831" t="s">
        <v>1777</v>
      </c>
      <c r="B2" s="832" t="s">
        <v>396</v>
      </c>
      <c r="C2" s="833" t="s">
        <v>2028</v>
      </c>
      <c r="D2" s="833" t="s">
        <v>2025</v>
      </c>
      <c r="E2" s="833" t="s">
        <v>2026</v>
      </c>
      <c r="F2" s="833" t="s">
        <v>2027</v>
      </c>
      <c r="G2" s="833" t="s">
        <v>626</v>
      </c>
      <c r="H2" s="833" t="s">
        <v>2029</v>
      </c>
      <c r="I2" s="833" t="s">
        <v>2030</v>
      </c>
      <c r="J2" s="833" t="s">
        <v>2045</v>
      </c>
      <c r="K2" s="833" t="s">
        <v>2031</v>
      </c>
      <c r="L2" s="833" t="s">
        <v>2032</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264189</v>
      </c>
      <c r="D5" s="841"/>
      <c r="E5" s="841"/>
      <c r="F5" s="1781">
        <f>(C5+D5)-E5</f>
        <v>264189</v>
      </c>
      <c r="G5" s="837"/>
      <c r="H5" s="842"/>
      <c r="I5" s="842"/>
      <c r="J5" s="842"/>
      <c r="K5" s="793"/>
      <c r="L5" s="1790">
        <f>F5-K5</f>
        <v>264189</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3437843</v>
      </c>
      <c r="D8" s="844"/>
      <c r="E8" s="844"/>
      <c r="F8" s="1781">
        <f>(C8+D8)-E8</f>
        <v>3437843</v>
      </c>
      <c r="G8" s="843">
        <v>50</v>
      </c>
      <c r="H8" s="765">
        <v>1753609</v>
      </c>
      <c r="I8" s="765">
        <v>77422</v>
      </c>
      <c r="J8" s="765"/>
      <c r="K8" s="1790">
        <f>(H8+I8)-J8</f>
        <v>1831031</v>
      </c>
      <c r="L8" s="1790">
        <f>F8-K8</f>
        <v>1606812</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94743</v>
      </c>
      <c r="D10" s="846"/>
      <c r="E10" s="846"/>
      <c r="F10" s="1785">
        <f>(C10+D10)-E10</f>
        <v>94743</v>
      </c>
      <c r="G10" s="843">
        <v>20</v>
      </c>
      <c r="H10" s="847">
        <v>93075</v>
      </c>
      <c r="I10" s="847">
        <v>182</v>
      </c>
      <c r="J10" s="847"/>
      <c r="K10" s="1790">
        <f>(H10+I10)-J10</f>
        <v>93257</v>
      </c>
      <c r="L10" s="1790">
        <f>F10-K10</f>
        <v>1486</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c r="D12" s="844"/>
      <c r="E12" s="844"/>
      <c r="F12" s="1781">
        <f>(C12+D12)-E12</f>
        <v>0</v>
      </c>
      <c r="G12" s="843">
        <v>10</v>
      </c>
      <c r="H12" s="765"/>
      <c r="I12" s="765"/>
      <c r="J12" s="765"/>
      <c r="K12" s="1790">
        <f>(H12+I12)-J12</f>
        <v>0</v>
      </c>
      <c r="L12" s="1790">
        <f>F12-K12</f>
        <v>0</v>
      </c>
    </row>
    <row r="13" spans="1:14" ht="14.25" thickTop="1" thickBot="1" x14ac:dyDescent="0.25">
      <c r="A13" s="848" t="s">
        <v>1184</v>
      </c>
      <c r="B13" s="840">
        <v>252</v>
      </c>
      <c r="C13" s="844">
        <v>1736259</v>
      </c>
      <c r="D13" s="844">
        <v>88334</v>
      </c>
      <c r="E13" s="844">
        <v>79026</v>
      </c>
      <c r="F13" s="1781">
        <f>(C13+D13)-E13</f>
        <v>1745567</v>
      </c>
      <c r="G13" s="843">
        <v>5</v>
      </c>
      <c r="H13" s="765">
        <v>956941</v>
      </c>
      <c r="I13" s="765">
        <v>179748</v>
      </c>
      <c r="J13" s="765">
        <v>20572</v>
      </c>
      <c r="K13" s="1790">
        <f>(H13+I13)-J13</f>
        <v>1116117</v>
      </c>
      <c r="L13" s="1790">
        <f>F13-K13</f>
        <v>629450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5533034</v>
      </c>
      <c r="D16" s="1781">
        <f>SUM(D3,D5:D6,D8:D10,D12:D15)</f>
        <v>88334</v>
      </c>
      <c r="E16" s="1781">
        <f>SUM(E3,E5:E6,E8:E10,E12:E15)</f>
        <v>79026</v>
      </c>
      <c r="F16" s="1781">
        <f>SUM(F3,F5:F6,F8:F10,F12:F15)</f>
        <v>5542342</v>
      </c>
      <c r="G16" s="843"/>
      <c r="H16" s="1781">
        <f>SUM(H3,H6,H8:H10,H12:H14,)</f>
        <v>2803625</v>
      </c>
      <c r="I16" s="1781">
        <f>SUM(I3,I6,I8:I10,I12:I14,)</f>
        <v>257352</v>
      </c>
      <c r="J16" s="1781">
        <f>SUM(J3,J6,J8:J10,J12:J14,)</f>
        <v>20572</v>
      </c>
      <c r="K16" s="1781">
        <f>(H16+I16)-J16</f>
        <v>3040405</v>
      </c>
      <c r="L16" s="1781">
        <f>F16-K16</f>
        <v>2501937</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7756</v>
      </c>
      <c r="G17" s="837">
        <v>10</v>
      </c>
      <c r="H17" s="769"/>
      <c r="I17" s="1790">
        <f>F17/G17</f>
        <v>775.6</v>
      </c>
      <c r="J17" s="769"/>
      <c r="K17" s="795"/>
      <c r="L17" s="795"/>
    </row>
    <row r="18" spans="1:12" ht="14.25" thickTop="1" thickBot="1" x14ac:dyDescent="0.25">
      <c r="A18" s="1788" t="s">
        <v>706</v>
      </c>
      <c r="B18" s="1789"/>
      <c r="C18" s="771"/>
      <c r="D18" s="771"/>
      <c r="E18" s="771"/>
      <c r="F18" s="850"/>
      <c r="G18" s="851"/>
      <c r="H18" s="773"/>
      <c r="I18" s="1781">
        <f>SUM(I16,I17)</f>
        <v>258127.6</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5" activePane="bottomLeft" state="frozen"/>
      <selection activeCell="A47" sqref="A47"/>
      <selection pane="bottomLeft" activeCell="F72" sqref="F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7" t="s">
        <v>1699</v>
      </c>
      <c r="B1" s="2278"/>
      <c r="C1" s="2278"/>
      <c r="D1" s="2278"/>
      <c r="E1" s="2278"/>
      <c r="F1" s="2279"/>
      <c r="G1" s="855"/>
    </row>
    <row r="2" spans="1:7" ht="15" customHeight="1" thickBot="1" x14ac:dyDescent="0.25">
      <c r="A2" s="2280" t="s">
        <v>498</v>
      </c>
      <c r="B2" s="2281"/>
      <c r="C2" s="2281"/>
      <c r="D2" s="2281"/>
      <c r="E2" s="2281"/>
      <c r="F2" s="2282"/>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6094598</v>
      </c>
      <c r="G8" s="865"/>
    </row>
    <row r="9" spans="1:7" x14ac:dyDescent="0.2">
      <c r="A9" s="869" t="s">
        <v>480</v>
      </c>
      <c r="B9" s="870" t="s">
        <v>1988</v>
      </c>
      <c r="C9" s="871"/>
      <c r="D9" s="869" t="s">
        <v>522</v>
      </c>
      <c r="E9" s="868"/>
      <c r="F9" s="1934">
        <f>'Expenditures 15-22'!K151</f>
        <v>567300</v>
      </c>
      <c r="G9" s="872"/>
    </row>
    <row r="10" spans="1:7" x14ac:dyDescent="0.2">
      <c r="A10" s="869" t="s">
        <v>520</v>
      </c>
      <c r="B10" s="870" t="s">
        <v>1989</v>
      </c>
      <c r="C10" s="871"/>
      <c r="D10" s="869" t="s">
        <v>522</v>
      </c>
      <c r="E10" s="868"/>
      <c r="F10" s="1934">
        <f>'Expenditures 15-22'!K174</f>
        <v>540644</v>
      </c>
      <c r="G10" s="872"/>
    </row>
    <row r="11" spans="1:7" x14ac:dyDescent="0.2">
      <c r="A11" s="869" t="s">
        <v>481</v>
      </c>
      <c r="B11" s="870" t="s">
        <v>1990</v>
      </c>
      <c r="C11" s="871"/>
      <c r="D11" s="869" t="s">
        <v>522</v>
      </c>
      <c r="E11" s="868"/>
      <c r="F11" s="1934">
        <f>'Expenditures 15-22'!K210</f>
        <v>115138</v>
      </c>
      <c r="G11" s="872"/>
    </row>
    <row r="12" spans="1:7" x14ac:dyDescent="0.2">
      <c r="A12" s="869" t="s">
        <v>482</v>
      </c>
      <c r="B12" s="870" t="s">
        <v>1991</v>
      </c>
      <c r="C12" s="871"/>
      <c r="D12" s="869" t="s">
        <v>522</v>
      </c>
      <c r="E12" s="868"/>
      <c r="F12" s="1934">
        <f>'Expenditures 15-22'!K295</f>
        <v>200446</v>
      </c>
      <c r="G12" s="872"/>
    </row>
    <row r="13" spans="1:7" x14ac:dyDescent="0.2">
      <c r="A13" s="869" t="s">
        <v>108</v>
      </c>
      <c r="B13" s="870" t="s">
        <v>1992</v>
      </c>
      <c r="C13" s="871"/>
      <c r="D13" s="869" t="s">
        <v>522</v>
      </c>
      <c r="E13" s="868"/>
      <c r="F13" s="1934">
        <f>'Expenditures 15-22'!K342</f>
        <v>0</v>
      </c>
      <c r="G13" s="873"/>
    </row>
    <row r="14" spans="1:7" ht="12" customHeight="1" thickBot="1" x14ac:dyDescent="0.25">
      <c r="A14" s="1791"/>
      <c r="B14" s="1792"/>
      <c r="C14" s="1793"/>
      <c r="D14" s="1794" t="s">
        <v>522</v>
      </c>
      <c r="E14" s="1795" t="s">
        <v>1015</v>
      </c>
      <c r="F14" s="1796">
        <f>SUM(F8:F13)</f>
        <v>7518126</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133157</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14383</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46959</v>
      </c>
      <c r="G52" s="865"/>
    </row>
    <row r="53" spans="1:7" x14ac:dyDescent="0.2">
      <c r="A53" s="869" t="s">
        <v>479</v>
      </c>
      <c r="B53" s="869" t="s">
        <v>1551</v>
      </c>
      <c r="C53" s="889">
        <f>'Expenditures 15-22'!B102</f>
        <v>4000</v>
      </c>
      <c r="D53" s="888" t="str">
        <f>'Expenditures 15-22'!A102</f>
        <v>Total Payments to Other Govt Units</v>
      </c>
      <c r="E53" s="868"/>
      <c r="F53" s="1938">
        <f>'Expenditures 15-22'!K102</f>
        <v>519802</v>
      </c>
      <c r="G53" s="865"/>
    </row>
    <row r="54" spans="1:7" x14ac:dyDescent="0.2">
      <c r="A54" s="869" t="s">
        <v>479</v>
      </c>
      <c r="B54" s="869" t="s">
        <v>1552</v>
      </c>
      <c r="C54" s="889" t="s">
        <v>1039</v>
      </c>
      <c r="D54" s="885" t="s">
        <v>1157</v>
      </c>
      <c r="E54" s="868"/>
      <c r="F54" s="1938">
        <f>'Expenditures 15-22'!G114</f>
        <v>80099</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1993</v>
      </c>
      <c r="C57" s="889">
        <f>'Expenditures 15-22'!B139</f>
        <v>4000</v>
      </c>
      <c r="D57" s="887" t="str">
        <f>'Expenditures 15-22'!A139</f>
        <v>Total Payments to Other Govt Units</v>
      </c>
      <c r="E57" s="868"/>
      <c r="F57" s="1938">
        <f>'Expenditures 15-22'!K139</f>
        <v>0</v>
      </c>
      <c r="G57" s="865"/>
    </row>
    <row r="58" spans="1:7" x14ac:dyDescent="0.2">
      <c r="A58" s="869" t="s">
        <v>480</v>
      </c>
      <c r="B58" s="869" t="s">
        <v>1994</v>
      </c>
      <c r="C58" s="886" t="s">
        <v>1039</v>
      </c>
      <c r="D58" s="885" t="s">
        <v>1157</v>
      </c>
      <c r="E58" s="868"/>
      <c r="F58" s="1940">
        <f>'Expenditures 15-22'!G151</f>
        <v>8235</v>
      </c>
      <c r="G58" s="865"/>
    </row>
    <row r="59" spans="1:7" x14ac:dyDescent="0.2">
      <c r="A59" s="893" t="s">
        <v>480</v>
      </c>
      <c r="B59" s="856" t="s">
        <v>1995</v>
      </c>
      <c r="C59" s="894" t="s">
        <v>1039</v>
      </c>
      <c r="D59" s="856" t="s">
        <v>309</v>
      </c>
      <c r="F59" s="1941">
        <f>'Expenditures 15-22'!I151</f>
        <v>7756</v>
      </c>
      <c r="G59" s="865"/>
    </row>
    <row r="60" spans="1:7" x14ac:dyDescent="0.2">
      <c r="A60" s="893" t="s">
        <v>520</v>
      </c>
      <c r="B60" s="856" t="s">
        <v>1996</v>
      </c>
      <c r="C60" s="894">
        <v>4000</v>
      </c>
      <c r="D60" s="856" t="s">
        <v>330</v>
      </c>
      <c r="F60" s="1939">
        <f>'Expenditures 15-22'!K160</f>
        <v>0</v>
      </c>
      <c r="G60" s="865"/>
    </row>
    <row r="61" spans="1:7" x14ac:dyDescent="0.2">
      <c r="A61" s="895" t="s">
        <v>520</v>
      </c>
      <c r="B61" s="895" t="s">
        <v>1997</v>
      </c>
      <c r="C61" s="896" t="str">
        <f>'Expenditures 15-22'!B170</f>
        <v>5300</v>
      </c>
      <c r="D61" s="897" t="s">
        <v>329</v>
      </c>
      <c r="E61" s="879"/>
      <c r="F61" s="1938">
        <f>'Expenditures 15-22'!K170</f>
        <v>312053</v>
      </c>
      <c r="G61" s="865"/>
    </row>
    <row r="62" spans="1:7" x14ac:dyDescent="0.2">
      <c r="A62" s="869" t="s">
        <v>481</v>
      </c>
      <c r="B62" s="869" t="s">
        <v>1998</v>
      </c>
      <c r="C62" s="886">
        <f>'Expenditures 15-22'!B185</f>
        <v>3000</v>
      </c>
      <c r="D62" s="876" t="s">
        <v>469</v>
      </c>
      <c r="E62" s="868"/>
      <c r="F62" s="1938">
        <f>'Expenditures 15-22'!K185-SUM('Expenditures 15-22'!G185,'Expenditures 15-22'!I185)</f>
        <v>0</v>
      </c>
      <c r="G62" s="865"/>
    </row>
    <row r="63" spans="1:7" x14ac:dyDescent="0.2">
      <c r="A63" s="869" t="s">
        <v>481</v>
      </c>
      <c r="B63" s="869" t="s">
        <v>1999</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2000</v>
      </c>
      <c r="C64" s="896" t="str">
        <f>'Expenditures 15-22'!B206</f>
        <v>5300</v>
      </c>
      <c r="D64" s="892" t="s">
        <v>329</v>
      </c>
      <c r="E64" s="868"/>
      <c r="F64" s="1938">
        <f>'Expenditures 15-22'!K206</f>
        <v>0</v>
      </c>
      <c r="G64" s="865"/>
    </row>
    <row r="65" spans="1:8" x14ac:dyDescent="0.2">
      <c r="A65" s="869" t="s">
        <v>481</v>
      </c>
      <c r="B65" s="869" t="s">
        <v>2001</v>
      </c>
      <c r="C65" s="886" t="s">
        <v>1039</v>
      </c>
      <c r="D65" s="885" t="s">
        <v>1157</v>
      </c>
      <c r="E65" s="868"/>
      <c r="F65" s="1938">
        <f>'Expenditures 15-22'!G210</f>
        <v>0</v>
      </c>
      <c r="G65" s="865"/>
    </row>
    <row r="66" spans="1:8" x14ac:dyDescent="0.2">
      <c r="A66" s="869" t="s">
        <v>481</v>
      </c>
      <c r="B66" s="869" t="s">
        <v>2002</v>
      </c>
      <c r="C66" s="886" t="s">
        <v>1039</v>
      </c>
      <c r="D66" s="885" t="s">
        <v>309</v>
      </c>
      <c r="E66" s="868"/>
      <c r="F66" s="1938">
        <f>'Expenditures 15-22'!I210</f>
        <v>0</v>
      </c>
      <c r="G66" s="865"/>
    </row>
    <row r="67" spans="1:8" x14ac:dyDescent="0.2">
      <c r="A67" s="869" t="s">
        <v>482</v>
      </c>
      <c r="B67" s="869" t="s">
        <v>2003</v>
      </c>
      <c r="C67" s="886" t="str">
        <f>'Expenditures 15-22'!B216</f>
        <v>1125</v>
      </c>
      <c r="D67" s="892" t="str">
        <f>'Expenditures 15-22'!A216</f>
        <v>Pre-K Programs</v>
      </c>
      <c r="E67" s="868"/>
      <c r="F67" s="1938">
        <f>'Expenditures 15-22'!K216</f>
        <v>6428</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2004</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2005</v>
      </c>
      <c r="C70" s="886">
        <f>'Expenditures 15-22'!B221</f>
        <v>1300</v>
      </c>
      <c r="D70" s="887" t="str">
        <f>'Expenditures 15-22'!A221</f>
        <v>Adult/Continuing Education Programs</v>
      </c>
      <c r="E70" s="868"/>
      <c r="F70" s="1938">
        <f>'Expenditures 15-22'!K221</f>
        <v>0</v>
      </c>
      <c r="G70" s="865"/>
    </row>
    <row r="71" spans="1:8" x14ac:dyDescent="0.2">
      <c r="A71" s="869" t="s">
        <v>482</v>
      </c>
      <c r="B71" s="869" t="s">
        <v>2006</v>
      </c>
      <c r="C71" s="886">
        <f>'Expenditures 15-22'!B224</f>
        <v>1600</v>
      </c>
      <c r="D71" s="887" t="str">
        <f>'Expenditures 15-22'!A224</f>
        <v>Summer School Programs</v>
      </c>
      <c r="E71" s="868"/>
      <c r="F71" s="1938">
        <f>'Expenditures 15-22'!K224</f>
        <v>197</v>
      </c>
      <c r="G71" s="865"/>
    </row>
    <row r="72" spans="1:8" x14ac:dyDescent="0.2">
      <c r="A72" s="869" t="s">
        <v>482</v>
      </c>
      <c r="B72" s="869" t="s">
        <v>2007</v>
      </c>
      <c r="C72" s="886">
        <f>'Expenditures 15-22'!B280</f>
        <v>3000</v>
      </c>
      <c r="D72" s="876" t="s">
        <v>469</v>
      </c>
      <c r="E72" s="868"/>
      <c r="F72" s="1938">
        <f>'Expenditures 15-22'!K280</f>
        <v>7731</v>
      </c>
      <c r="G72" s="865"/>
    </row>
    <row r="73" spans="1:8" x14ac:dyDescent="0.2">
      <c r="A73" s="869" t="s">
        <v>482</v>
      </c>
      <c r="B73" s="869" t="s">
        <v>2008</v>
      </c>
      <c r="C73" s="886" t="str">
        <f>'Expenditures 15-22'!B285</f>
        <v>4000</v>
      </c>
      <c r="D73" s="887" t="str">
        <f>'Expenditures 15-22'!A285</f>
        <v>Total Payments to Other Govt Units</v>
      </c>
      <c r="E73" s="868"/>
      <c r="F73" s="1938">
        <f>'Expenditures 15-22'!K285</f>
        <v>0</v>
      </c>
      <c r="G73" s="865"/>
    </row>
    <row r="74" spans="1:8" x14ac:dyDescent="0.2">
      <c r="A74" s="869" t="s">
        <v>456</v>
      </c>
      <c r="B74" s="869" t="s">
        <v>2009</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2010</v>
      </c>
      <c r="E76" s="1795" t="s">
        <v>1015</v>
      </c>
      <c r="F76" s="1799">
        <f>SUM(F18:F74)</f>
        <v>1136800</v>
      </c>
      <c r="G76" s="865"/>
    </row>
    <row r="77" spans="1:8" s="893" customFormat="1" ht="12" customHeight="1" thickTop="1" thickBot="1" x14ac:dyDescent="0.25">
      <c r="A77" s="1800"/>
      <c r="B77" s="1797"/>
      <c r="C77" s="1793"/>
      <c r="D77" s="1798" t="s">
        <v>2011</v>
      </c>
      <c r="E77" s="1795"/>
      <c r="F77" s="1801">
        <f>(F14-F76)</f>
        <v>6381326</v>
      </c>
      <c r="G77" s="869"/>
    </row>
    <row r="78" spans="1:8" s="893" customFormat="1" ht="12" customHeight="1" thickTop="1" x14ac:dyDescent="0.2">
      <c r="A78" s="1802"/>
      <c r="B78" s="1797"/>
      <c r="C78" s="1793"/>
      <c r="D78" s="1798" t="s">
        <v>2057</v>
      </c>
      <c r="E78" s="1795"/>
      <c r="F78" s="898">
        <v>520.05999999999995</v>
      </c>
      <c r="G78" s="899"/>
      <c r="H78" s="869"/>
    </row>
    <row r="79" spans="1:8" s="893" customFormat="1" ht="12" customHeight="1" thickBot="1" x14ac:dyDescent="0.25">
      <c r="A79" s="1803"/>
      <c r="B79" s="1797"/>
      <c r="C79" s="1793"/>
      <c r="D79" s="1798" t="s">
        <v>2012</v>
      </c>
      <c r="E79" s="1795" t="s">
        <v>1015</v>
      </c>
      <c r="F79" s="1804">
        <f>IF(F78&gt;0,F77/F78," Complete Line 78")</f>
        <v>12270.364957889475</v>
      </c>
      <c r="G79" s="869"/>
    </row>
    <row r="80" spans="1:8" s="893" customFormat="1" ht="8.25" customHeight="1" thickTop="1" x14ac:dyDescent="0.2">
      <c r="A80" s="900"/>
      <c r="B80" s="869"/>
      <c r="C80" s="871"/>
      <c r="D80" s="901"/>
      <c r="E80" s="868"/>
      <c r="F80" s="902"/>
      <c r="G80" s="869"/>
    </row>
    <row r="81" spans="1:7" s="893" customFormat="1" ht="12" thickBot="1" x14ac:dyDescent="0.25">
      <c r="A81" s="2274" t="s">
        <v>1167</v>
      </c>
      <c r="B81" s="2275"/>
      <c r="C81" s="2275"/>
      <c r="D81" s="2275"/>
      <c r="E81" s="2275"/>
      <c r="F81" s="2276"/>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54758</v>
      </c>
      <c r="G94" s="912"/>
    </row>
    <row r="95" spans="1:7" x14ac:dyDescent="0.2">
      <c r="A95" s="908" t="s">
        <v>142</v>
      </c>
      <c r="B95" s="908" t="s">
        <v>177</v>
      </c>
      <c r="C95" s="910">
        <v>1700</v>
      </c>
      <c r="D95" s="918" t="str">
        <f>'Revenues 9-14'!A82</f>
        <v>Total District/School Activity Income</v>
      </c>
      <c r="E95" s="906"/>
      <c r="F95" s="1810">
        <f>SUM('Revenues 9-14'!C82,'Revenues 9-14'!D82)</f>
        <v>11880</v>
      </c>
      <c r="G95" s="912"/>
    </row>
    <row r="96" spans="1:7" x14ac:dyDescent="0.2">
      <c r="A96" s="908" t="s">
        <v>479</v>
      </c>
      <c r="B96" s="908" t="s">
        <v>178</v>
      </c>
      <c r="C96" s="910">
        <f>'Revenues 9-14'!B84</f>
        <v>1811</v>
      </c>
      <c r="D96" s="911" t="str">
        <f>'Revenues 9-14'!A84</f>
        <v>Rentals - Regular Textbooks</v>
      </c>
      <c r="E96" s="906"/>
      <c r="F96" s="1810">
        <f>'Revenues 9-14'!C84</f>
        <v>38073</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15238</v>
      </c>
      <c r="G100" s="912"/>
    </row>
    <row r="101" spans="1:7" x14ac:dyDescent="0.2">
      <c r="A101" s="908" t="s">
        <v>142</v>
      </c>
      <c r="B101" s="908" t="s">
        <v>183</v>
      </c>
      <c r="C101" s="910">
        <f>'Revenues 9-14'!B95</f>
        <v>1910</v>
      </c>
      <c r="D101" s="911" t="str">
        <f>'Revenues 9-14'!A95</f>
        <v>Rentals</v>
      </c>
      <c r="E101" s="906"/>
      <c r="F101" s="1810">
        <f>SUM('Revenues 9-14'!C95:D95)</f>
        <v>2899</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25697</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15135</v>
      </c>
      <c r="G107" s="912"/>
    </row>
    <row r="108" spans="1:7" x14ac:dyDescent="0.2">
      <c r="A108" s="908" t="s">
        <v>479</v>
      </c>
      <c r="B108" s="908" t="s">
        <v>844</v>
      </c>
      <c r="C108" s="920">
        <f>'Revenues 9-14'!B145</f>
        <v>3360</v>
      </c>
      <c r="D108" s="911" t="str">
        <f>'Revenues 9-14'!A145</f>
        <v>State Free Lunch &amp; Breakfast</v>
      </c>
      <c r="E108" s="906"/>
      <c r="F108" s="1810">
        <f>'Revenues 9-14'!C145</f>
        <v>1335</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40200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99294</v>
      </c>
      <c r="G129" s="930"/>
    </row>
    <row r="130" spans="1:7" x14ac:dyDescent="0.2">
      <c r="A130" s="927" t="s">
        <v>689</v>
      </c>
      <c r="B130" s="927" t="s">
        <v>804</v>
      </c>
      <c r="C130" s="932">
        <v>4300</v>
      </c>
      <c r="D130" s="933" t="str">
        <f>'Revenues 9-14'!A211</f>
        <v>Total Title I</v>
      </c>
      <c r="E130" s="906"/>
      <c r="F130" s="1810">
        <f>SUM('Revenues 9-14'!C211,'Revenues 9-14'!D211,'Revenues 9-14'!F211,'Revenues 9-14'!G211)</f>
        <v>101965</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46420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19938</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14711</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9398</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6577</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2056</v>
      </c>
      <c r="C175" s="1945">
        <v>3100</v>
      </c>
      <c r="D175" s="1946" t="s">
        <v>2059</v>
      </c>
      <c r="E175" s="906"/>
      <c r="F175" s="1930"/>
      <c r="G175" s="927"/>
    </row>
    <row r="176" spans="1:7" x14ac:dyDescent="0.2">
      <c r="A176" s="1943" t="s">
        <v>685</v>
      </c>
      <c r="B176" s="1944" t="s">
        <v>2056</v>
      </c>
      <c r="C176" s="1945">
        <v>3300</v>
      </c>
      <c r="D176" s="1946" t="s">
        <v>2060</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2013</v>
      </c>
      <c r="E178" s="1808" t="s">
        <v>1015</v>
      </c>
      <c r="F178" s="1809">
        <f>SUM(F84:F136,F161:F176)</f>
        <v>503518</v>
      </c>
    </row>
    <row r="179" spans="1:7" ht="12" customHeight="1" x14ac:dyDescent="0.2">
      <c r="A179" s="1791"/>
      <c r="B179" s="1805"/>
      <c r="C179" s="1806"/>
      <c r="D179" s="1807" t="s">
        <v>2014</v>
      </c>
      <c r="E179" s="1808"/>
      <c r="F179" s="1810">
        <f>'PCTC-OEPP 27-28'!F77-F178</f>
        <v>5877808</v>
      </c>
    </row>
    <row r="180" spans="1:7" ht="12" customHeight="1" x14ac:dyDescent="0.2">
      <c r="A180" s="1791"/>
      <c r="B180" s="1805"/>
      <c r="C180" s="1806"/>
      <c r="D180" s="1807" t="s">
        <v>1924</v>
      </c>
      <c r="E180" s="1808"/>
      <c r="F180" s="1810">
        <f>'Cap Outlay Deprec 26'!I18</f>
        <v>258127.6</v>
      </c>
    </row>
    <row r="181" spans="1:7" ht="12" customHeight="1" x14ac:dyDescent="0.2">
      <c r="A181" s="1791"/>
      <c r="B181" s="1805"/>
      <c r="C181" s="1806"/>
      <c r="D181" s="1807" t="s">
        <v>2015</v>
      </c>
      <c r="E181" s="1808"/>
      <c r="F181" s="1810">
        <f>F179+F180</f>
        <v>6135935.5999999996</v>
      </c>
    </row>
    <row r="182" spans="1:7" ht="12" customHeight="1" x14ac:dyDescent="0.2">
      <c r="A182" s="1791"/>
      <c r="B182" s="1811"/>
      <c r="C182" s="1806"/>
      <c r="D182" s="1807" t="str">
        <f>D78</f>
        <v>9 Month ADA from District Average Daily Attendance/Prior General State Aid Inquiry 2017-2018</v>
      </c>
      <c r="E182" s="1808"/>
      <c r="F182" s="1812">
        <f>'PCTC-OEPP 27-28'!F78</f>
        <v>520.05999999999995</v>
      </c>
      <c r="G182" s="930"/>
    </row>
    <row r="183" spans="1:7" ht="12" customHeight="1" thickBot="1" x14ac:dyDescent="0.25">
      <c r="A183" s="1791"/>
      <c r="B183" s="1811"/>
      <c r="C183" s="1806"/>
      <c r="D183" s="1807" t="s">
        <v>2016</v>
      </c>
      <c r="E183" s="1808" t="s">
        <v>1626</v>
      </c>
      <c r="F183" s="1813">
        <f>F181/F182</f>
        <v>11798.514786755375</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49"/>
      <c r="D188" s="930"/>
      <c r="E188" s="949"/>
      <c r="F188" s="930"/>
      <c r="G188" s="930"/>
    </row>
    <row r="189" spans="1:7" x14ac:dyDescent="0.2">
      <c r="A189" s="1951" t="s">
        <v>2062</v>
      </c>
      <c r="B189" s="1952"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17" sqref="D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5" t="s">
        <v>1926</v>
      </c>
      <c r="B6" s="1556"/>
      <c r="C6" s="1556"/>
      <c r="D6" s="1556"/>
      <c r="E6" s="1556"/>
      <c r="F6" s="1556"/>
      <c r="G6" s="1557"/>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8" t="s">
        <v>1927</v>
      </c>
      <c r="B10" s="1559"/>
      <c r="C10" s="1559"/>
      <c r="D10" s="1559"/>
      <c r="E10" s="1559"/>
      <c r="F10" s="1559"/>
      <c r="G10" s="1560"/>
    </row>
    <row r="11" spans="1:7" ht="17.25" customHeight="1" x14ac:dyDescent="0.25">
      <c r="A11" s="2294" t="s">
        <v>2075</v>
      </c>
      <c r="B11" s="2295"/>
      <c r="C11" s="2295"/>
      <c r="D11" s="2295"/>
      <c r="E11" s="2295"/>
      <c r="F11" s="2295"/>
      <c r="G11" s="2296"/>
    </row>
    <row r="12" spans="1:7" ht="15" customHeight="1" x14ac:dyDescent="0.25">
      <c r="A12" s="1558" t="s">
        <v>1932</v>
      </c>
      <c r="B12" s="1559"/>
      <c r="C12" s="1559"/>
      <c r="D12" s="1559"/>
      <c r="E12" s="1559"/>
      <c r="F12" s="1559"/>
      <c r="G12" s="1560"/>
    </row>
    <row r="13" spans="1:7" ht="32.25" customHeight="1" x14ac:dyDescent="0.25">
      <c r="A13" s="2285" t="s">
        <v>1933</v>
      </c>
      <c r="B13" s="2286"/>
      <c r="C13" s="2286"/>
      <c r="D13" s="2286"/>
      <c r="E13" s="2286"/>
      <c r="F13" s="2286"/>
      <c r="G13" s="2287"/>
    </row>
    <row r="14" spans="1:7" x14ac:dyDescent="0.25">
      <c r="A14" s="1682" t="s">
        <v>1941</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1942</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6" t="s">
        <v>2106</v>
      </c>
      <c r="B17" s="1957" t="s">
        <v>2105</v>
      </c>
      <c r="C17" s="1958" t="s">
        <v>2107</v>
      </c>
      <c r="D17" s="1866">
        <v>62000</v>
      </c>
      <c r="E17" s="1561">
        <f t="shared" ref="E17:E141" si="1">IF(D17&lt;=25000,D17,IF(D17&gt;25000,25000,0))</f>
        <v>25000</v>
      </c>
      <c r="F17" s="1814">
        <f t="shared" si="0"/>
        <v>25000</v>
      </c>
      <c r="G17" s="1815">
        <f>IF(F17=0,0,D17-F17)</f>
        <v>37000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62000</v>
      </c>
      <c r="E141" s="1562">
        <f t="shared" si="1"/>
        <v>25000</v>
      </c>
      <c r="F141" s="1816">
        <f>SUM(F17:F140)</f>
        <v>25000</v>
      </c>
      <c r="G141" s="1817">
        <f>SUM(G17:G140)</f>
        <v>37000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0" t="s">
        <v>1778</v>
      </c>
      <c r="B5" s="2301"/>
      <c r="C5" s="2301"/>
      <c r="D5" s="2301"/>
      <c r="E5" s="2301"/>
      <c r="F5" s="2301"/>
      <c r="G5" s="2302"/>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2074</v>
      </c>
      <c r="B10" s="971"/>
      <c r="C10" s="976"/>
      <c r="D10" s="972"/>
      <c r="E10" s="973">
        <v>152423</v>
      </c>
      <c r="F10" s="974"/>
      <c r="G10" s="975"/>
      <c r="H10" s="161"/>
      <c r="I10" s="161"/>
    </row>
    <row r="11" spans="1:9" s="668" customFormat="1" ht="22.5" customHeight="1" x14ac:dyDescent="0.2">
      <c r="A11" s="2305" t="s">
        <v>1944</v>
      </c>
      <c r="B11" s="2306"/>
      <c r="C11" s="2306"/>
      <c r="D11" s="2307"/>
      <c r="E11" s="977">
        <v>14856</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4128972</v>
      </c>
      <c r="F19" s="1821"/>
      <c r="G19" s="1823">
        <f>'Expenditures 15-22'!K33-SUM('Expenditures 15-22'!G33,'Expenditures 15-22'!I33)+'Expenditures 15-22'!D229</f>
        <v>4128972</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233294</v>
      </c>
      <c r="F21" s="1824"/>
      <c r="G21" s="1827">
        <f>'Expenditures 15-22'!K42-SUM('Expenditures 15-22'!G42,'Expenditures 15-22'!I42)+'Expenditures 15-22'!K120-SUM('Expenditures 15-22'!G120,'Expenditures 15-22'!I120)+'Expenditures 15-22'!K180-SUM('Expenditures 15-22'!G180,'Expenditures 15-22'!I180)+'Expenditures 15-22'!D238</f>
        <v>233294</v>
      </c>
      <c r="H21" s="987"/>
      <c r="I21" s="161"/>
    </row>
    <row r="22" spans="1:9" s="668" customFormat="1" ht="12" customHeight="1" x14ac:dyDescent="0.2">
      <c r="A22" s="994" t="s">
        <v>585</v>
      </c>
      <c r="B22" s="995"/>
      <c r="C22" s="993">
        <v>2200</v>
      </c>
      <c r="D22" s="1824"/>
      <c r="E22" s="1826">
        <f>'Expenditures 15-22'!K47-SUM('Expenditures 15-22'!G47,'Expenditures 15-22'!I47)+'Expenditures 15-22'!D243</f>
        <v>294780</v>
      </c>
      <c r="F22" s="1824"/>
      <c r="G22" s="1827">
        <f>'Expenditures 15-22'!K47-SUM('Expenditures 15-22'!G47,'Expenditures 15-22'!I47)+'Expenditures 15-22'!D243</f>
        <v>294780</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342470</v>
      </c>
      <c r="F23" s="1824"/>
      <c r="G23" s="1826">
        <f>'Expenditures 15-22'!K53-SUM('Expenditures 15-22'!G53,'Expenditures 15-22'!I53)+'Expenditures 15-22'!D257+'Expenditures 15-22'!K330-SUM('Expenditures 15-22'!G330,'Expenditures 15-22'!I330)</f>
        <v>342470</v>
      </c>
      <c r="H23" s="987"/>
      <c r="I23" s="161"/>
    </row>
    <row r="24" spans="1:9" s="668" customFormat="1" ht="12" customHeight="1" x14ac:dyDescent="0.2">
      <c r="A24" s="994" t="s">
        <v>587</v>
      </c>
      <c r="B24" s="995"/>
      <c r="C24" s="993">
        <v>2400</v>
      </c>
      <c r="D24" s="1824"/>
      <c r="E24" s="1826">
        <f>'Expenditures 15-22'!K57-SUM('Expenditures 15-22'!G57,'Expenditures 15-22'!I57)+'Expenditures 15-22'!D261</f>
        <v>293182</v>
      </c>
      <c r="F24" s="1824"/>
      <c r="G24" s="1827">
        <f>'Expenditures 15-22'!K57-SUM('Expenditures 15-22'!G57,'Expenditures 15-22'!I57)+'Expenditures 15-22'!D261</f>
        <v>293182</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102373</v>
      </c>
      <c r="E27" s="1826">
        <f>E8</f>
        <v>0</v>
      </c>
      <c r="F27" s="1826">
        <f>'Expenditures 15-22'!K60-SUM('Expenditures 15-22'!G60,'Expenditures 15-22'!I60)+'Expenditures 15-22'!D264-E8</f>
        <v>102373</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588072</v>
      </c>
      <c r="F28" s="1828">
        <f>'Expenditures 15-22'!K61-SUM('Expenditures 15-22'!G61,'Expenditures 15-22'!I61)+'Expenditures 15-22'!K124-SUM('Expenditures 15-22'!G124,'Expenditures 15-22'!I124)+'Expenditures 15-22'!D266-E9</f>
        <v>588072</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115138</v>
      </c>
      <c r="F29" s="1824"/>
      <c r="G29" s="1827">
        <f>'Expenditures 15-22'!K62-SUM('Expenditures 15-22'!G62,'Expenditures 15-22'!I62)+'Expenditures 15-22'!K125-SUM('Expenditures 15-22'!G125,'Expenditures 15-22'!I125)+'Expenditures 15-22'!K182-SUM('Expenditures 15-22'!G182,'Expenditures 15-22'!I182)+'Expenditures 15-22'!D267</f>
        <v>115138</v>
      </c>
      <c r="H29" s="985"/>
    </row>
    <row r="30" spans="1:9" ht="12" customHeight="1" x14ac:dyDescent="0.2">
      <c r="A30" s="994" t="s">
        <v>102</v>
      </c>
      <c r="B30" s="997"/>
      <c r="C30" s="993">
        <v>2560</v>
      </c>
      <c r="D30" s="1824"/>
      <c r="E30" s="1826">
        <f>'Expenditures 15-22'!K63-SUM('Expenditures 15-22'!G63,'Expenditures 15-22'!I63)+'Expenditures 15-22'!D268-E10</f>
        <v>53946</v>
      </c>
      <c r="F30" s="1824"/>
      <c r="G30" s="1826">
        <f>'Expenditures 15-22'!K63-SUM('Expenditures 15-22'!G63,'Expenditures 15-22'!I63)+'Expenditures 15-22'!D268-E10</f>
        <v>53946</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54690</v>
      </c>
      <c r="F39" s="1824"/>
      <c r="G39" s="1826">
        <f>'Expenditures 15-22'!K75-SUM('Expenditures 15-22'!G75,'Expenditures 15-22'!I75)+'Expenditures 15-22'!K130-SUM('Expenditures 15-22'!G130,'Expenditures 15-22'!I130)+'Expenditures 15-22'!K185-SUM('Expenditures 15-22'!G185,'Expenditures 15-22'!I185)+'Expenditures 15-22'!D280</f>
        <v>54690</v>
      </c>
    </row>
    <row r="40" spans="1:7" ht="12" customHeight="1" x14ac:dyDescent="0.2">
      <c r="A40" s="990" t="s">
        <v>1930</v>
      </c>
      <c r="B40" s="991"/>
      <c r="C40" s="993"/>
      <c r="D40" s="1824"/>
      <c r="E40" s="1828">
        <f>-'Contracts Paid in CY 29'!G141</f>
        <v>-37000</v>
      </c>
      <c r="F40" s="1824"/>
      <c r="G40" s="1828">
        <f>-'Contracts Paid in CY 29'!G141</f>
        <v>-37000</v>
      </c>
    </row>
    <row r="41" spans="1:7" ht="12" customHeight="1" x14ac:dyDescent="0.2">
      <c r="A41" s="998" t="s">
        <v>158</v>
      </c>
      <c r="B41" s="999"/>
      <c r="C41" s="1000"/>
      <c r="D41" s="1828">
        <f>SUM(D19:D39)</f>
        <v>102373</v>
      </c>
      <c r="E41" s="1828">
        <f>SUM(E19:E40)</f>
        <v>6067544</v>
      </c>
      <c r="F41" s="1828">
        <f>SUM(F19:F39)</f>
        <v>690445</v>
      </c>
      <c r="G41" s="1828">
        <f>SUM(G19:G40)</f>
        <v>5479472</v>
      </c>
    </row>
    <row r="42" spans="1:7" x14ac:dyDescent="0.2">
      <c r="A42" s="987"/>
      <c r="B42" s="161"/>
      <c r="C42" s="1001"/>
      <c r="D42" s="2303" t="s">
        <v>543</v>
      </c>
      <c r="E42" s="2304"/>
      <c r="F42" s="1002" t="s">
        <v>544</v>
      </c>
      <c r="G42" s="1003"/>
    </row>
    <row r="43" spans="1:7" ht="12" customHeight="1" x14ac:dyDescent="0.2">
      <c r="A43" s="987"/>
      <c r="B43" s="161"/>
      <c r="C43" s="1001"/>
      <c r="D43" s="1829" t="s">
        <v>493</v>
      </c>
      <c r="E43" s="1830">
        <f>D41</f>
        <v>102373</v>
      </c>
      <c r="F43" s="1829" t="s">
        <v>495</v>
      </c>
      <c r="G43" s="1830">
        <f>F41</f>
        <v>690445</v>
      </c>
    </row>
    <row r="44" spans="1:7" ht="12" customHeight="1" x14ac:dyDescent="0.2">
      <c r="A44" s="987"/>
      <c r="B44" s="161"/>
      <c r="C44" s="1001"/>
      <c r="D44" s="1829" t="s">
        <v>494</v>
      </c>
      <c r="E44" s="1830">
        <f>E41</f>
        <v>6067544</v>
      </c>
      <c r="F44" s="1829" t="s">
        <v>494</v>
      </c>
      <c r="G44" s="1830">
        <f>G41</f>
        <v>5479472</v>
      </c>
    </row>
    <row r="45" spans="1:7" ht="12" customHeight="1" x14ac:dyDescent="0.2">
      <c r="A45" s="987"/>
      <c r="B45" s="161"/>
      <c r="C45" s="161"/>
      <c r="D45" s="1831" t="s">
        <v>1063</v>
      </c>
      <c r="E45" s="1832">
        <f>(E43/E44)</f>
        <v>1.6872230345589583E-2</v>
      </c>
      <c r="F45" s="1831" t="s">
        <v>1063</v>
      </c>
      <c r="G45" s="1832">
        <f>(G43/G44)</f>
        <v>0.12600575383905602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1" t="s">
        <v>1446</v>
      </c>
      <c r="B1" s="2311"/>
      <c r="C1" s="2311"/>
      <c r="D1" s="2311"/>
      <c r="E1" s="2311"/>
      <c r="F1" s="2311"/>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2" t="s">
        <v>1627</v>
      </c>
      <c r="B5" s="2313"/>
      <c r="C5" s="2314"/>
      <c r="D5" s="2314"/>
      <c r="E5" s="2314"/>
      <c r="F5" s="2314"/>
    </row>
    <row r="6" spans="1:10" ht="12" customHeight="1" x14ac:dyDescent="0.25">
      <c r="A6" s="1874"/>
      <c r="B6" s="1875"/>
      <c r="C6" s="2315" t="str">
        <f>COVER!A17</f>
        <v>Komarek SD 94</v>
      </c>
      <c r="D6" s="2315"/>
      <c r="E6" s="2315"/>
      <c r="F6" s="1876"/>
    </row>
    <row r="7" spans="1:10" ht="11.25" customHeight="1" thickBot="1" x14ac:dyDescent="0.3">
      <c r="A7" s="1874"/>
      <c r="B7" s="1875"/>
      <c r="C7" s="2316">
        <f>COVER!A13</f>
        <v>6016094002</v>
      </c>
      <c r="D7" s="2316"/>
      <c r="E7" s="2316"/>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2077</v>
      </c>
      <c r="D19" s="1889" t="s">
        <v>2077</v>
      </c>
      <c r="E19" s="1892" t="s">
        <v>2077</v>
      </c>
      <c r="F19" s="1955" t="s">
        <v>2095</v>
      </c>
      <c r="H19" s="1902">
        <f t="shared" si="0"/>
        <v>5</v>
      </c>
      <c r="I19" s="1902">
        <f t="shared" si="1"/>
        <v>5</v>
      </c>
      <c r="J19" s="1902">
        <f t="shared" si="2"/>
        <v>5</v>
      </c>
    </row>
    <row r="20" spans="1:12" ht="12" customHeight="1" x14ac:dyDescent="0.2">
      <c r="A20" s="1887" t="s">
        <v>1609</v>
      </c>
      <c r="B20" s="1888"/>
      <c r="C20" s="1889" t="s">
        <v>2077</v>
      </c>
      <c r="D20" s="1889" t="s">
        <v>2077</v>
      </c>
      <c r="E20" s="1892" t="s">
        <v>2077</v>
      </c>
      <c r="F20" s="1891" t="s">
        <v>2093</v>
      </c>
      <c r="H20" s="1902">
        <f t="shared" si="0"/>
        <v>5</v>
      </c>
      <c r="I20" s="1902">
        <f t="shared" si="1"/>
        <v>5</v>
      </c>
      <c r="J20" s="1902">
        <f t="shared" si="2"/>
        <v>5</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t="s">
        <v>2077</v>
      </c>
      <c r="D32" s="1889" t="s">
        <v>2077</v>
      </c>
      <c r="E32" s="1892" t="s">
        <v>2077</v>
      </c>
      <c r="F32" s="1891" t="s">
        <v>2094</v>
      </c>
      <c r="H32" s="1902">
        <f t="shared" si="0"/>
        <v>5</v>
      </c>
      <c r="I32" s="1902">
        <f t="shared" si="1"/>
        <v>5</v>
      </c>
      <c r="J32" s="1902">
        <f t="shared" si="2"/>
        <v>5</v>
      </c>
    </row>
    <row r="33" spans="1:11" ht="12" customHeight="1" x14ac:dyDescent="0.2">
      <c r="A33" s="1887" t="s">
        <v>1622</v>
      </c>
      <c r="B33" s="1888"/>
      <c r="C33" s="1889" t="s">
        <v>2077</v>
      </c>
      <c r="D33" s="1889" t="s">
        <v>2077</v>
      </c>
      <c r="E33" s="1892" t="s">
        <v>2077</v>
      </c>
      <c r="F33" s="1891" t="s">
        <v>2093</v>
      </c>
      <c r="H33" s="1902">
        <f t="shared" si="0"/>
        <v>5</v>
      </c>
      <c r="I33" s="1902">
        <f t="shared" si="1"/>
        <v>5</v>
      </c>
      <c r="J33" s="1902">
        <f t="shared" si="2"/>
        <v>5</v>
      </c>
    </row>
    <row r="34" spans="1:11" ht="12" customHeight="1" x14ac:dyDescent="0.25">
      <c r="A34" s="1894"/>
      <c r="B34" s="1894"/>
      <c r="C34" s="1894"/>
      <c r="D34" s="1894"/>
      <c r="E34" s="1894"/>
      <c r="F34" s="1894"/>
      <c r="H34" s="1902">
        <f>SUM(H11:H32)</f>
        <v>15</v>
      </c>
      <c r="I34" s="1902">
        <f>SUM(I11:I32)</f>
        <v>15</v>
      </c>
      <c r="J34" s="1902">
        <f>SUM(J11:J32)</f>
        <v>15</v>
      </c>
      <c r="K34" s="1902">
        <f>SUM(H34:J34)</f>
        <v>45</v>
      </c>
    </row>
    <row r="35" spans="1:11" ht="12" customHeight="1" x14ac:dyDescent="0.2">
      <c r="A35" s="1895" t="s">
        <v>1459</v>
      </c>
      <c r="B35" s="1896"/>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7"/>
      <c r="B39" s="1897"/>
      <c r="C39" s="1897"/>
      <c r="D39" s="1897"/>
      <c r="E39" s="1897"/>
      <c r="F39" s="1897"/>
    </row>
    <row r="40" spans="1:11" s="1894" customFormat="1" ht="12" customHeight="1" x14ac:dyDescent="0.25">
      <c r="A40" s="1898" t="s">
        <v>1458</v>
      </c>
      <c r="B40" s="1899"/>
      <c r="C40" s="2325"/>
      <c r="D40" s="2325"/>
      <c r="E40" s="2325"/>
      <c r="F40" s="2326"/>
      <c r="H40" s="1903"/>
      <c r="I40" s="1903"/>
      <c r="J40" s="1903"/>
      <c r="K40" s="1903"/>
    </row>
    <row r="41" spans="1:11" s="1894" customFormat="1" ht="12" customHeight="1" x14ac:dyDescent="0.25">
      <c r="A41" s="2327"/>
      <c r="B41" s="2328"/>
      <c r="C41" s="2328"/>
      <c r="D41" s="2328"/>
      <c r="E41" s="2328"/>
      <c r="F41" s="2329"/>
      <c r="H41" s="1903"/>
      <c r="I41" s="1903"/>
      <c r="J41" s="1903"/>
      <c r="K41" s="1903"/>
    </row>
    <row r="42" spans="1:11" s="1894" customFormat="1" ht="12" customHeight="1" x14ac:dyDescent="0.25">
      <c r="A42" s="2327"/>
      <c r="B42" s="2328"/>
      <c r="C42" s="2328"/>
      <c r="D42" s="2328"/>
      <c r="E42" s="2328"/>
      <c r="F42" s="2329"/>
      <c r="H42" s="1903"/>
      <c r="I42" s="1903"/>
      <c r="J42" s="1903"/>
      <c r="K42" s="1903"/>
    </row>
    <row r="43" spans="1:11" s="1894" customFormat="1" ht="15" x14ac:dyDescent="0.25">
      <c r="A43" s="2319"/>
      <c r="B43" s="2320"/>
      <c r="C43" s="2320"/>
      <c r="D43" s="2320"/>
      <c r="E43" s="2320"/>
      <c r="F43" s="2321"/>
      <c r="H43" s="1903"/>
      <c r="I43" s="1903"/>
      <c r="J43" s="1903"/>
      <c r="K43" s="1903"/>
    </row>
    <row r="44" spans="1:11" s="1894" customFormat="1" ht="12" hidden="1" customHeight="1" x14ac:dyDescent="0.25">
      <c r="A44" s="2319"/>
      <c r="B44" s="2320"/>
      <c r="C44" s="2320"/>
      <c r="D44" s="2320"/>
      <c r="E44" s="2320"/>
      <c r="F44" s="232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8" sqref="I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5" t="str">
        <f>COVER!A17</f>
        <v>Komarek SD 94</v>
      </c>
      <c r="J6" s="2336"/>
      <c r="Q6" s="1685"/>
    </row>
    <row r="7" spans="1:17" x14ac:dyDescent="0.2">
      <c r="A7" s="2337" t="s">
        <v>924</v>
      </c>
      <c r="B7" s="2338"/>
      <c r="C7" s="2338"/>
      <c r="D7" s="2338"/>
      <c r="E7" s="2339"/>
      <c r="F7" s="1017"/>
      <c r="G7" s="1009"/>
      <c r="H7" s="1016" t="s">
        <v>390</v>
      </c>
      <c r="I7" s="2340">
        <f>COVER!A13</f>
        <v>6016094002</v>
      </c>
      <c r="J7" s="2340"/>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1" t="s">
        <v>502</v>
      </c>
      <c r="B11" s="2342"/>
      <c r="C11" s="2343"/>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202303</v>
      </c>
      <c r="F12" s="1039"/>
      <c r="G12" s="1833">
        <f t="shared" ref="G12:G18" si="0">SUM(E12:F12)</f>
        <v>202303</v>
      </c>
      <c r="H12" s="1040">
        <v>203500</v>
      </c>
      <c r="I12" s="1039"/>
      <c r="J12" s="1833">
        <f t="shared" ref="J12:J18" si="1">SUM(H12:I12)</f>
        <v>203500</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4" t="s">
        <v>7</v>
      </c>
      <c r="C18" s="2345"/>
      <c r="D18" s="2346"/>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202303</v>
      </c>
      <c r="F19" s="1835">
        <f t="shared" si="2"/>
        <v>0</v>
      </c>
      <c r="G19" s="1835">
        <f t="shared" si="2"/>
        <v>202303</v>
      </c>
      <c r="H19" s="1835">
        <f t="shared" si="2"/>
        <v>203500</v>
      </c>
      <c r="I19" s="1835">
        <f t="shared" si="2"/>
        <v>0</v>
      </c>
      <c r="J19" s="1835">
        <f t="shared" si="2"/>
        <v>203500</v>
      </c>
    </row>
    <row r="20" spans="1:10" ht="13.5" thickTop="1" x14ac:dyDescent="0.2">
      <c r="A20" s="1035">
        <v>9</v>
      </c>
      <c r="B20" s="2347" t="s">
        <v>1703</v>
      </c>
      <c r="C20" s="2347"/>
      <c r="D20" s="2348"/>
      <c r="E20" s="1046"/>
      <c r="F20" s="1046"/>
      <c r="G20" s="1046"/>
      <c r="H20" s="1046"/>
      <c r="I20" s="1046"/>
      <c r="J20" s="1836">
        <f>IF(AND(G19&gt;0,J19&gt;0),(((J19-G19)/G19)),"Enter Budget Data")</f>
        <v>5.9168672733474047E-3</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3"/>
      <c r="D26" s="2353"/>
      <c r="E26" s="1050"/>
      <c r="F26" s="2352"/>
      <c r="G26" s="2352"/>
    </row>
    <row r="27" spans="1:10" x14ac:dyDescent="0.2">
      <c r="B27" s="1047"/>
      <c r="C27" s="1051" t="s">
        <v>1093</v>
      </c>
      <c r="D27" s="1052"/>
      <c r="E27" s="1053"/>
      <c r="F27" s="2349" t="s">
        <v>1589</v>
      </c>
      <c r="G27" s="2349"/>
    </row>
    <row r="28" spans="1:10" ht="28.5" customHeight="1" x14ac:dyDescent="0.2">
      <c r="B28" s="1047"/>
      <c r="C28" s="2351"/>
      <c r="D28" s="2351"/>
      <c r="E28" s="1054"/>
      <c r="F28" s="2351"/>
      <c r="G28" s="2351"/>
    </row>
    <row r="29" spans="1:10" x14ac:dyDescent="0.2">
      <c r="B29" s="1047"/>
      <c r="C29" s="1055" t="s">
        <v>1642</v>
      </c>
      <c r="E29" s="1056"/>
      <c r="F29" s="2350" t="s">
        <v>1590</v>
      </c>
      <c r="G29" s="2350"/>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1943</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c r="C39" s="2330" t="s">
        <v>937</v>
      </c>
      <c r="D39" s="2331"/>
      <c r="E39" s="2331"/>
      <c r="F39" s="2331"/>
      <c r="G39" s="2331"/>
      <c r="H39" s="2331"/>
      <c r="I39" s="2331"/>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Komarek SD 94</v>
      </c>
    </row>
    <row r="65" spans="2:2" x14ac:dyDescent="0.2">
      <c r="B65" s="1070">
        <f>COVER!A13</f>
        <v>6016094002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3048000</xdr:colOff>
                <xdr:row>4</xdr:row>
                <xdr:rowOff>57150</xdr:rowOff>
              </from>
              <to>
                <xdr:col>1</xdr:col>
                <xdr:colOff>3962400</xdr:colOff>
                <xdr:row>8</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200025</xdr:colOff>
                <xdr:row>4</xdr:row>
                <xdr:rowOff>38100</xdr:rowOff>
              </from>
              <to>
                <xdr:col>3</xdr:col>
                <xdr:colOff>504825</xdr:colOff>
                <xdr:row>8</xdr:row>
                <xdr:rowOff>76200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3"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4"/>
      <c r="H2" s="1074"/>
    </row>
    <row r="3" spans="1:8" ht="57" customHeight="1" x14ac:dyDescent="0.2">
      <c r="A3" s="2368" t="s">
        <v>1786</v>
      </c>
      <c r="B3" s="2369"/>
      <c r="C3" s="2369"/>
      <c r="D3" s="2369"/>
      <c r="E3" s="2369"/>
      <c r="F3" s="2370"/>
      <c r="G3" s="1074"/>
      <c r="H3" s="1074"/>
    </row>
    <row r="4" spans="1:8" ht="14.25" customHeight="1" x14ac:dyDescent="0.2">
      <c r="A4" s="2374" t="s">
        <v>2054</v>
      </c>
      <c r="B4" s="2375"/>
      <c r="C4" s="2375"/>
      <c r="D4" s="2375"/>
      <c r="E4" s="2375"/>
      <c r="F4" s="2376"/>
      <c r="G4" s="1074"/>
      <c r="H4" s="1074"/>
    </row>
    <row r="5" spans="1:8" ht="14.25" customHeight="1" x14ac:dyDescent="0.2">
      <c r="A5" s="2377" t="s">
        <v>2055</v>
      </c>
      <c r="B5" s="2378"/>
      <c r="C5" s="2378"/>
      <c r="D5" s="2378"/>
      <c r="E5" s="2378"/>
      <c r="F5" s="2379"/>
      <c r="G5" s="1074"/>
      <c r="H5" s="1074"/>
    </row>
    <row r="6" spans="1:8" s="1075" customFormat="1" ht="41.25" customHeight="1" x14ac:dyDescent="0.2">
      <c r="A6" s="2371" t="s">
        <v>1792</v>
      </c>
      <c r="B6" s="2372"/>
      <c r="C6" s="2372"/>
      <c r="D6" s="2372"/>
      <c r="E6" s="2372"/>
      <c r="F6" s="237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6250322</v>
      </c>
      <c r="C8" s="1837">
        <f>'Acct Summary 7-8'!D8</f>
        <v>638652</v>
      </c>
      <c r="D8" s="1837">
        <f>'Acct Summary 7-8'!F8</f>
        <v>93424</v>
      </c>
      <c r="E8" s="1837">
        <f>'Acct Summary 7-8'!I8</f>
        <v>6038</v>
      </c>
      <c r="F8" s="1837">
        <f>SUM(B8:E8)</f>
        <v>6988436</v>
      </c>
    </row>
    <row r="9" spans="1:8" s="1079" customFormat="1" ht="14.25" customHeight="1" thickBot="1" x14ac:dyDescent="0.25">
      <c r="A9" s="1078" t="s">
        <v>1436</v>
      </c>
      <c r="B9" s="1838">
        <f>'Acct Summary 7-8'!C17</f>
        <v>6094598</v>
      </c>
      <c r="C9" s="1838">
        <f>'Acct Summary 7-8'!D17</f>
        <v>567300</v>
      </c>
      <c r="D9" s="1838">
        <f>'Acct Summary 7-8'!F17</f>
        <v>115138</v>
      </c>
      <c r="E9" s="1837"/>
      <c r="F9" s="1837">
        <f>SUM(B9:E9)</f>
        <v>6777036</v>
      </c>
    </row>
    <row r="10" spans="1:8" s="1079" customFormat="1" ht="14.25" thickTop="1" thickBot="1" x14ac:dyDescent="0.25">
      <c r="A10" s="1080" t="s">
        <v>1437</v>
      </c>
      <c r="B10" s="1839">
        <f>(B8-B9)</f>
        <v>155724</v>
      </c>
      <c r="C10" s="1839">
        <f>(C8-C9)</f>
        <v>71352</v>
      </c>
      <c r="D10" s="1839">
        <f>(D8-D9)</f>
        <v>-21714</v>
      </c>
      <c r="E10" s="1838">
        <f>(E8-E9)</f>
        <v>6038</v>
      </c>
      <c r="F10" s="1840">
        <f>SUM(F8-F9)</f>
        <v>211400</v>
      </c>
    </row>
    <row r="11" spans="1:8" s="1079" customFormat="1" ht="14.25" thickTop="1" thickBot="1" x14ac:dyDescent="0.25">
      <c r="A11" s="1081" t="s">
        <v>1785</v>
      </c>
      <c r="B11" s="1841">
        <f>'Acct Summary 7-8'!C81</f>
        <v>1890408</v>
      </c>
      <c r="C11" s="1841">
        <f>'Acct Summary 7-8'!D81</f>
        <v>895979</v>
      </c>
      <c r="D11" s="1841">
        <f>'Acct Summary 7-8'!F81</f>
        <v>207551</v>
      </c>
      <c r="E11" s="1841">
        <f>'Acct Summary 7-8'!I81</f>
        <v>627416</v>
      </c>
      <c r="F11" s="1842">
        <f>SUM(B11:E11)</f>
        <v>3621354</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09" customFormat="1" ht="51.75" hidden="1" customHeight="1" x14ac:dyDescent="0.2">
      <c r="A16" s="2358" t="s">
        <v>1787</v>
      </c>
      <c r="B16" s="2358"/>
      <c r="C16" s="2358"/>
      <c r="D16" s="2358"/>
      <c r="E16" s="2358"/>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0" t="s">
        <v>686</v>
      </c>
      <c r="B3" s="2381"/>
      <c r="C3" s="2381"/>
      <c r="D3" s="2382"/>
    </row>
    <row r="4" spans="1:4" x14ac:dyDescent="0.2">
      <c r="A4" s="1152" t="s">
        <v>1793</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1" t="s">
        <v>1584</v>
      </c>
      <c r="D7" s="2392"/>
    </row>
    <row r="8" spans="1:4" s="668" customFormat="1" ht="12.75" x14ac:dyDescent="0.2">
      <c r="A8" s="1138"/>
      <c r="B8" s="1093"/>
      <c r="C8" s="1096" t="s">
        <v>1583</v>
      </c>
      <c r="D8" s="1097"/>
    </row>
    <row r="9" spans="1:4" s="668" customFormat="1" ht="14.25" customHeight="1" x14ac:dyDescent="0.2">
      <c r="A9" s="1138"/>
      <c r="B9" s="1093">
        <f>B7+1</f>
        <v>4</v>
      </c>
      <c r="C9" s="1094" t="s">
        <v>2047</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3" t="s">
        <v>1065</v>
      </c>
      <c r="B15" s="2384"/>
      <c r="C15" s="2384"/>
      <c r="D15" s="2385"/>
    </row>
    <row r="16" spans="1:4" s="668" customFormat="1" ht="24" customHeight="1" x14ac:dyDescent="0.2">
      <c r="A16" s="2386" t="s">
        <v>684</v>
      </c>
      <c r="B16" s="2387"/>
      <c r="C16" s="2387"/>
      <c r="D16" s="2388"/>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5" t="s">
        <v>332</v>
      </c>
      <c r="D21" s="2396"/>
    </row>
    <row r="22" spans="1:10" ht="12.75" x14ac:dyDescent="0.2">
      <c r="A22" s="1139"/>
      <c r="B22" s="1140">
        <v>2</v>
      </c>
      <c r="C22" s="2393" t="s">
        <v>1605</v>
      </c>
      <c r="D22" s="2394"/>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1079</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OK</v>
      </c>
    </row>
    <row r="70" spans="1:4" x14ac:dyDescent="0.2">
      <c r="A70" s="1098"/>
      <c r="B70" s="1120">
        <f>B66+1</f>
        <v>9</v>
      </c>
      <c r="C70" s="2389" t="s">
        <v>1797</v>
      </c>
      <c r="D70" s="239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2052</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6016094002</v>
      </c>
    </row>
    <row r="3" spans="1:2" x14ac:dyDescent="0.2">
      <c r="A3" t="s">
        <v>1013</v>
      </c>
      <c r="B3" s="137" t="str">
        <f>COVER!A15</f>
        <v>Cook</v>
      </c>
    </row>
    <row r="4" spans="1:2" x14ac:dyDescent="0.2">
      <c r="A4" t="s">
        <v>1064</v>
      </c>
      <c r="B4" s="137" t="str">
        <f>COVER!A17</f>
        <v>Komarek SD 94</v>
      </c>
    </row>
    <row r="5" spans="1:2" x14ac:dyDescent="0.2">
      <c r="A5" t="s">
        <v>728</v>
      </c>
      <c r="B5" s="137">
        <f>COVER!A38</f>
        <v>0</v>
      </c>
    </row>
    <row r="6" spans="1:2" x14ac:dyDescent="0.2">
      <c r="A6" t="s">
        <v>733</v>
      </c>
      <c r="B6" s="137">
        <f>COVER!P35</f>
        <v>0</v>
      </c>
    </row>
    <row r="7" spans="1:2" x14ac:dyDescent="0.2">
      <c r="A7" t="s">
        <v>729</v>
      </c>
      <c r="B7" s="137" t="str">
        <f>COVER!I38</f>
        <v>Daniel Coglianese</v>
      </c>
    </row>
    <row r="8" spans="1:2" x14ac:dyDescent="0.2">
      <c r="A8" t="s">
        <v>730</v>
      </c>
      <c r="B8" s="137">
        <f>COVER!T38</f>
        <v>0</v>
      </c>
    </row>
    <row r="9" spans="1:2" x14ac:dyDescent="0.2">
      <c r="A9" s="3" t="s">
        <v>1014</v>
      </c>
      <c r="B9" s="157" t="str">
        <f>AUDITCHECK!D23</f>
        <v xml:space="preserve">ACCRUAL </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060-003973</v>
      </c>
    </row>
    <row r="16" spans="1:2" x14ac:dyDescent="0.2">
      <c r="A16" t="s">
        <v>442</v>
      </c>
      <c r="B16" s="137" t="str">
        <f>COVER!T13</f>
        <v>Evans, Marshall and Pease, P.C.</v>
      </c>
    </row>
    <row r="17" spans="1:2" x14ac:dyDescent="0.2">
      <c r="A17" t="s">
        <v>939</v>
      </c>
      <c r="B17" s="137" t="str">
        <f>COVER!T15</f>
        <v>Jeffery M. Rollefson, CPA</v>
      </c>
    </row>
    <row r="18" spans="1:2" x14ac:dyDescent="0.2">
      <c r="A18" t="s">
        <v>1212</v>
      </c>
      <c r="B18" s="137" t="str">
        <f>COVER!T17</f>
        <v>1875 Hicks Road</v>
      </c>
    </row>
    <row r="19" spans="1:2" x14ac:dyDescent="0.2">
      <c r="A19" t="s">
        <v>941</v>
      </c>
      <c r="B19" s="137" t="str">
        <f>COVER!T25</f>
        <v>Jeff@empcpa.com</v>
      </c>
    </row>
    <row r="20" spans="1:2" x14ac:dyDescent="0.2">
      <c r="A20" t="s">
        <v>942</v>
      </c>
      <c r="B20" s="137" t="str">
        <f>COVER!T19</f>
        <v>Rolling Meadows</v>
      </c>
    </row>
    <row r="21" spans="1:2" x14ac:dyDescent="0.2">
      <c r="A21" t="s">
        <v>500</v>
      </c>
      <c r="B21" s="137" t="str">
        <f>COVER!X19</f>
        <v>IL</v>
      </c>
    </row>
    <row r="22" spans="1:2" x14ac:dyDescent="0.2">
      <c r="A22" t="s">
        <v>943</v>
      </c>
      <c r="B22" s="137">
        <f>COVER!Z19</f>
        <v>60008</v>
      </c>
    </row>
    <row r="23" spans="1:2" x14ac:dyDescent="0.2">
      <c r="A23" t="s">
        <v>1214</v>
      </c>
      <c r="B23" s="137" t="str">
        <f>COVER!T21</f>
        <v>847-221-5700</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33512</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1999538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2983927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119701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1093519</v>
      </c>
      <c r="C91" s="2" t="s">
        <v>594</v>
      </c>
      <c r="D91" s="2" t="str">
        <f t="shared" si="0"/>
        <v>Error?</v>
      </c>
    </row>
    <row r="92" spans="1:4" x14ac:dyDescent="0.2">
      <c r="A92" s="5">
        <v>31</v>
      </c>
      <c r="B92" s="137">
        <f>'Assets-Liab 5-6'!C39</f>
        <v>1890408</v>
      </c>
      <c r="D92" s="2" t="str">
        <f t="shared" si="0"/>
        <v>Error?</v>
      </c>
    </row>
    <row r="93" spans="1:4" x14ac:dyDescent="0.2">
      <c r="A93" s="5">
        <v>32</v>
      </c>
      <c r="B93" s="137">
        <f>'Assets-Liab 5-6'!C41</f>
        <v>2983927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212557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935149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12495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39170</v>
      </c>
      <c r="C122" s="2" t="s">
        <v>594</v>
      </c>
      <c r="D122" s="2" t="str">
        <f t="shared" si="0"/>
        <v>Error?</v>
      </c>
    </row>
    <row r="123" spans="1:4" x14ac:dyDescent="0.2">
      <c r="A123" s="5">
        <v>62</v>
      </c>
      <c r="B123" s="137">
        <f>'Assets-Liab 5-6'!D39</f>
        <v>895979</v>
      </c>
      <c r="D123" s="2" t="str">
        <f t="shared" si="0"/>
        <v>Error?</v>
      </c>
    </row>
    <row r="124" spans="1:4" x14ac:dyDescent="0.2">
      <c r="A124" s="5">
        <v>63</v>
      </c>
      <c r="B124" s="137">
        <f>'Assets-Liab 5-6'!D41</f>
        <v>935149</v>
      </c>
      <c r="C124" s="2" t="s">
        <v>594</v>
      </c>
      <c r="D124" s="2" t="str">
        <f t="shared" si="0"/>
        <v>Error?</v>
      </c>
    </row>
    <row r="125" spans="1:4" x14ac:dyDescent="0.2">
      <c r="A125" s="10">
        <v>64</v>
      </c>
      <c r="D125" s="2" t="str">
        <f t="shared" si="0"/>
        <v>OK</v>
      </c>
    </row>
    <row r="126" spans="1:4" x14ac:dyDescent="0.2">
      <c r="A126" s="5">
        <v>65</v>
      </c>
      <c r="B126" s="137">
        <f>'Assets-Liab 5-6'!E6</f>
        <v>191814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670376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11338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11338</v>
      </c>
      <c r="C139" s="2" t="s">
        <v>594</v>
      </c>
      <c r="D139" s="2" t="str">
        <f t="shared" si="1"/>
        <v>Error?</v>
      </c>
    </row>
    <row r="140" spans="1:4" x14ac:dyDescent="0.2">
      <c r="A140" s="5">
        <v>79</v>
      </c>
      <c r="B140" s="137">
        <f>'Assets-Liab 5-6'!E39</f>
        <v>659038</v>
      </c>
      <c r="D140" s="2" t="str">
        <f t="shared" si="1"/>
        <v>Error?</v>
      </c>
    </row>
    <row r="141" spans="1:4" x14ac:dyDescent="0.2">
      <c r="A141" s="5">
        <v>80</v>
      </c>
      <c r="B141" s="137">
        <f>'Assets-Liab 5-6'!E41</f>
        <v>670376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21920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210319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1168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2768</v>
      </c>
      <c r="C169" s="2" t="s">
        <v>594</v>
      </c>
      <c r="D169" s="2" t="str">
        <f t="shared" si="1"/>
        <v>Error?</v>
      </c>
    </row>
    <row r="170" spans="1:4" x14ac:dyDescent="0.2">
      <c r="A170" s="5">
        <v>109</v>
      </c>
      <c r="B170" s="137">
        <f>'Assets-Liab 5-6'!F39</f>
        <v>207551</v>
      </c>
      <c r="D170" s="2" t="str">
        <f t="shared" si="1"/>
        <v>Error?</v>
      </c>
    </row>
    <row r="171" spans="1:4" x14ac:dyDescent="0.2">
      <c r="A171" s="5">
        <v>110</v>
      </c>
      <c r="B171" s="137">
        <f>'Assets-Liab 5-6'!F41</f>
        <v>210319</v>
      </c>
      <c r="C171" s="2" t="s">
        <v>594</v>
      </c>
      <c r="D171" s="2" t="str">
        <f t="shared" si="1"/>
        <v>Error?</v>
      </c>
    </row>
    <row r="172" spans="1:4" x14ac:dyDescent="0.2">
      <c r="A172" s="10">
        <v>111</v>
      </c>
      <c r="D172" s="2" t="str">
        <f t="shared" si="1"/>
        <v>OK</v>
      </c>
    </row>
    <row r="173" spans="1:4" x14ac:dyDescent="0.2">
      <c r="A173" s="5">
        <v>112</v>
      </c>
      <c r="B173" s="137">
        <f>'Assets-Liab 5-6'!G6</f>
        <v>53740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131140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3142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24439</v>
      </c>
      <c r="C188" s="2" t="s">
        <v>594</v>
      </c>
      <c r="D188" s="2" t="str">
        <f t="shared" si="1"/>
        <v>Error?</v>
      </c>
    </row>
    <row r="189" spans="1:4" x14ac:dyDescent="0.2">
      <c r="A189" s="5">
        <v>128</v>
      </c>
      <c r="B189" s="137">
        <f>'Assets-Liab 5-6'!G39</f>
        <v>106701</v>
      </c>
      <c r="D189" s="2" t="str">
        <f t="shared" si="1"/>
        <v>Error?</v>
      </c>
    </row>
    <row r="190" spans="1:4" x14ac:dyDescent="0.2">
      <c r="A190" s="5">
        <v>129</v>
      </c>
      <c r="B190" s="137">
        <f>'Assets-Liab 5-6'!G41</f>
        <v>131140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264189</v>
      </c>
      <c r="D273" s="2" t="str">
        <f t="shared" si="3"/>
        <v>Error?</v>
      </c>
    </row>
    <row r="274" spans="1:4" x14ac:dyDescent="0.2">
      <c r="A274" s="5">
        <v>213</v>
      </c>
      <c r="B274" s="137">
        <f>'Assets-Liab 5-6'!M17</f>
        <v>3437843</v>
      </c>
      <c r="D274" s="2" t="str">
        <f t="shared" si="3"/>
        <v>Error?</v>
      </c>
    </row>
    <row r="275" spans="1:4" x14ac:dyDescent="0.2">
      <c r="A275" s="5">
        <v>214</v>
      </c>
      <c r="B275" s="137">
        <f>'Assets-Liab 5-6'!M18</f>
        <v>94743</v>
      </c>
      <c r="D275" s="2" t="str">
        <f t="shared" si="3"/>
        <v>Error?</v>
      </c>
    </row>
    <row r="276" spans="1:4" x14ac:dyDescent="0.2">
      <c r="A276" s="5">
        <v>215</v>
      </c>
      <c r="B276" s="137">
        <f>'Assets-Liab 5-6'!M19</f>
        <v>1745567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5542342</v>
      </c>
      <c r="C279" s="2" t="s">
        <v>594</v>
      </c>
      <c r="D279" s="2" t="str">
        <f t="shared" si="3"/>
        <v>Error?</v>
      </c>
    </row>
    <row r="280" spans="1:4" x14ac:dyDescent="0.2">
      <c r="A280" s="5">
        <v>219</v>
      </c>
      <c r="B280" s="137">
        <f>'Assets-Liab 5-6'!M40</f>
        <v>5542342</v>
      </c>
      <c r="D280" s="2" t="str">
        <f t="shared" si="3"/>
        <v>Error?</v>
      </c>
    </row>
    <row r="281" spans="1:4" x14ac:dyDescent="0.2">
      <c r="A281" s="5">
        <v>220</v>
      </c>
      <c r="B281" s="137">
        <f>'Assets-Liab 5-6'!M41</f>
        <v>5542342</v>
      </c>
      <c r="C281" s="2" t="s">
        <v>594</v>
      </c>
      <c r="D281" s="2" t="str">
        <f t="shared" si="3"/>
        <v>Error?</v>
      </c>
    </row>
    <row r="282" spans="1:4" x14ac:dyDescent="0.2">
      <c r="A282" s="5">
        <v>221</v>
      </c>
      <c r="B282" s="137">
        <f>'Assets-Liab 5-6'!N21</f>
        <v>670377</v>
      </c>
      <c r="D282" s="2" t="str">
        <f t="shared" si="3"/>
        <v>Error?</v>
      </c>
    </row>
    <row r="283" spans="1:4" x14ac:dyDescent="0.2">
      <c r="A283" s="5">
        <v>222</v>
      </c>
      <c r="B283" s="137">
        <f>'Assets-Liab 5-6'!N22</f>
        <v>4459645</v>
      </c>
      <c r="D283" s="2" t="str">
        <f t="shared" si="3"/>
        <v>Error?</v>
      </c>
    </row>
    <row r="284" spans="1:4" x14ac:dyDescent="0.2">
      <c r="A284" s="5">
        <v>223</v>
      </c>
      <c r="B284" s="137">
        <f>'Assets-Liab 5-6'!N23</f>
        <v>5130022</v>
      </c>
      <c r="C284" s="2" t="s">
        <v>594</v>
      </c>
      <c r="D284" s="2" t="str">
        <f t="shared" si="3"/>
        <v>Error?</v>
      </c>
    </row>
    <row r="285" spans="1:4" x14ac:dyDescent="0.2">
      <c r="A285" s="5">
        <v>224</v>
      </c>
      <c r="B285" s="137">
        <f>'Assets-Liab 5-6'!N36</f>
        <v>5130022</v>
      </c>
      <c r="D285" s="2" t="str">
        <f t="shared" si="3"/>
        <v>Error?</v>
      </c>
    </row>
    <row r="286" spans="1:4" x14ac:dyDescent="0.2">
      <c r="A286" s="10">
        <v>225</v>
      </c>
      <c r="D286" s="2" t="str">
        <f t="shared" si="3"/>
        <v>OK</v>
      </c>
    </row>
    <row r="287" spans="1:4" x14ac:dyDescent="0.2">
      <c r="A287" s="5">
        <v>226</v>
      </c>
      <c r="B287" s="137">
        <f>'Assets-Liab 5-6'!N37</f>
        <v>5130022</v>
      </c>
      <c r="C287" s="2" t="s">
        <v>594</v>
      </c>
      <c r="D287" s="2" t="str">
        <f t="shared" si="3"/>
        <v>Error?</v>
      </c>
    </row>
    <row r="288" spans="1:4" x14ac:dyDescent="0.2">
      <c r="A288" s="5">
        <v>227</v>
      </c>
      <c r="B288" s="137">
        <f>'Assets-Liab 5-6'!N41</f>
        <v>5130022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400000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42828</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1979292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95153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200067</v>
      </c>
      <c r="D718" s="2" t="str">
        <f t="shared" si="10"/>
        <v>Error?</v>
      </c>
    </row>
    <row r="719" spans="1:4" x14ac:dyDescent="0.2">
      <c r="A719" s="5">
        <v>658</v>
      </c>
      <c r="B719" s="137">
        <f>'Expenditures 15-22'!C15</f>
        <v>13606</v>
      </c>
      <c r="D719" s="2" t="str">
        <f t="shared" si="10"/>
        <v>Error?</v>
      </c>
    </row>
    <row r="720" spans="1:4" x14ac:dyDescent="0.2">
      <c r="A720" s="5">
        <v>659</v>
      </c>
      <c r="B720" s="137">
        <f>'Expenditures 15-22'!C33</f>
        <v>3140865</v>
      </c>
      <c r="C720" s="2" t="s">
        <v>594</v>
      </c>
      <c r="D720" s="2" t="str">
        <f t="shared" si="10"/>
        <v>Error?</v>
      </c>
    </row>
    <row r="721" spans="1:4" x14ac:dyDescent="0.2">
      <c r="A721" s="5">
        <v>660</v>
      </c>
      <c r="B721" s="137">
        <f>'Expenditures 15-22'!C36</f>
        <v>52926</v>
      </c>
      <c r="D721" s="2" t="str">
        <f t="shared" si="10"/>
        <v>Error?</v>
      </c>
    </row>
    <row r="722" spans="1:4" x14ac:dyDescent="0.2">
      <c r="A722" s="5">
        <v>661</v>
      </c>
      <c r="B722" s="137">
        <f>'Expenditures 15-22'!C37</f>
        <v>0</v>
      </c>
      <c r="D722" s="2" t="str">
        <f t="shared" si="10"/>
        <v>Error?</v>
      </c>
    </row>
    <row r="723" spans="1:4" x14ac:dyDescent="0.2">
      <c r="A723" s="5">
        <v>662</v>
      </c>
      <c r="B723" s="137">
        <f>'Expenditures 15-22'!C38</f>
        <v>36735</v>
      </c>
      <c r="D723" s="2" t="str">
        <f t="shared" si="10"/>
        <v>Error?</v>
      </c>
    </row>
    <row r="724" spans="1:4" x14ac:dyDescent="0.2">
      <c r="A724" s="5">
        <v>663</v>
      </c>
      <c r="B724" s="137">
        <f>'Expenditures 15-22'!C39</f>
        <v>0</v>
      </c>
      <c r="D724" s="2" t="str">
        <f t="shared" si="10"/>
        <v>Error?</v>
      </c>
    </row>
    <row r="725" spans="1:4" x14ac:dyDescent="0.2">
      <c r="A725" s="5">
        <v>664</v>
      </c>
      <c r="B725" s="137">
        <f>'Expenditures 15-22'!C40</f>
        <v>92268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181929</v>
      </c>
      <c r="C727" s="2" t="s">
        <v>594</v>
      </c>
      <c r="D727" s="2" t="str">
        <f t="shared" si="10"/>
        <v>Error?</v>
      </c>
    </row>
    <row r="728" spans="1:4" x14ac:dyDescent="0.2">
      <c r="A728" s="5">
        <v>667</v>
      </c>
      <c r="B728" s="137">
        <f>'Expenditures 15-22'!C44</f>
        <v>0</v>
      </c>
      <c r="D728" s="2" t="str">
        <f t="shared" si="10"/>
        <v>Error?</v>
      </c>
    </row>
    <row r="729" spans="1:4" x14ac:dyDescent="0.2">
      <c r="A729" s="5">
        <v>668</v>
      </c>
      <c r="B729" s="137">
        <f>'Expenditures 15-22'!C45</f>
        <v>99698</v>
      </c>
      <c r="D729" s="2" t="str">
        <f t="shared" si="10"/>
        <v>Error?</v>
      </c>
    </row>
    <row r="730" spans="1:4" x14ac:dyDescent="0.2">
      <c r="A730" s="5">
        <v>669</v>
      </c>
      <c r="B730" s="137">
        <f>'Expenditures 15-22'!C46</f>
        <v>0</v>
      </c>
      <c r="D730" s="2" t="str">
        <f t="shared" si="10"/>
        <v>Error?</v>
      </c>
    </row>
    <row r="731" spans="1:4" x14ac:dyDescent="0.2">
      <c r="A731" s="5">
        <v>670</v>
      </c>
      <c r="B731" s="137">
        <f>'Expenditures 15-22'!C47</f>
        <v>99698</v>
      </c>
      <c r="C731" s="2" t="s">
        <v>594</v>
      </c>
      <c r="D731" s="2" t="str">
        <f t="shared" si="10"/>
        <v>Error?</v>
      </c>
    </row>
    <row r="732" spans="1:4" x14ac:dyDescent="0.2">
      <c r="A732" s="5">
        <v>671</v>
      </c>
      <c r="B732" s="137">
        <f>'Expenditures 15-22'!C49</f>
        <v>58739</v>
      </c>
      <c r="D732" s="2" t="str">
        <f t="shared" si="10"/>
        <v>Error?</v>
      </c>
    </row>
    <row r="733" spans="1:4" x14ac:dyDescent="0.2">
      <c r="A733" s="5">
        <v>672</v>
      </c>
      <c r="B733" s="137">
        <f>'Expenditures 15-22'!C50</f>
        <v>149000</v>
      </c>
      <c r="D733" s="2" t="str">
        <f t="shared" si="10"/>
        <v>Error?</v>
      </c>
    </row>
    <row r="734" spans="1:4" x14ac:dyDescent="0.2">
      <c r="A734" s="5">
        <v>673</v>
      </c>
      <c r="B734" s="137">
        <f>'Expenditures 15-22'!C53</f>
        <v>207739</v>
      </c>
      <c r="C734" s="2" t="s">
        <v>594</v>
      </c>
      <c r="D734" s="2" t="str">
        <f t="shared" si="10"/>
        <v>Error?</v>
      </c>
    </row>
    <row r="735" spans="1:4" x14ac:dyDescent="0.2">
      <c r="A735" s="5">
        <v>674</v>
      </c>
      <c r="B735" s="137">
        <f>'Expenditures 15-22'!C55</f>
        <v>210733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210733</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64098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53397</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117495</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817594</v>
      </c>
      <c r="C755" s="2" t="s">
        <v>594</v>
      </c>
      <c r="D755" s="2" t="str">
        <f t="shared" si="10"/>
        <v>Error?</v>
      </c>
    </row>
    <row r="756" spans="1:4" x14ac:dyDescent="0.2">
      <c r="A756" s="5">
        <v>695</v>
      </c>
      <c r="B756" s="137">
        <f>'Expenditures 15-22'!C75</f>
        <v>45652</v>
      </c>
      <c r="D756" s="2" t="str">
        <f t="shared" si="10"/>
        <v>Error?</v>
      </c>
    </row>
    <row r="757" spans="1:4" x14ac:dyDescent="0.2">
      <c r="A757" s="5">
        <v>696</v>
      </c>
      <c r="B757" s="137">
        <f>'Expenditures 15-22'!C114</f>
        <v>4004111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386661</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11741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12834</v>
      </c>
      <c r="D776" s="2" t="str">
        <f t="shared" si="11"/>
        <v>Error?</v>
      </c>
    </row>
    <row r="777" spans="1:4" x14ac:dyDescent="0.2">
      <c r="A777" s="5">
        <v>716</v>
      </c>
      <c r="B777" s="137">
        <f>'Expenditures 15-22'!D15</f>
        <v>79</v>
      </c>
      <c r="D777" s="2" t="str">
        <f t="shared" si="11"/>
        <v>Error?</v>
      </c>
    </row>
    <row r="778" spans="1:4" x14ac:dyDescent="0.2">
      <c r="A778" s="5">
        <v>717</v>
      </c>
      <c r="B778" s="137">
        <f>'Expenditures 15-22'!D33</f>
        <v>568515</v>
      </c>
      <c r="C778" s="2" t="s">
        <v>594</v>
      </c>
      <c r="D778" s="2" t="str">
        <f t="shared" si="11"/>
        <v>Error?</v>
      </c>
    </row>
    <row r="779" spans="1:4" x14ac:dyDescent="0.2">
      <c r="A779" s="5">
        <v>718</v>
      </c>
      <c r="B779" s="137">
        <f>'Expenditures 15-22'!D36</f>
        <v>11016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10709</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10434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32159</v>
      </c>
      <c r="C785" s="2" t="s">
        <v>594</v>
      </c>
      <c r="D785" s="2" t="str">
        <f t="shared" si="11"/>
        <v>Error?</v>
      </c>
    </row>
    <row r="786" spans="1:4" x14ac:dyDescent="0.2">
      <c r="A786" s="5">
        <v>725</v>
      </c>
      <c r="B786" s="137">
        <f>'Expenditures 15-22'!D44</f>
        <v>3450</v>
      </c>
      <c r="D786" s="2" t="str">
        <f t="shared" si="11"/>
        <v>Error?</v>
      </c>
    </row>
    <row r="787" spans="1:4" x14ac:dyDescent="0.2">
      <c r="A787" s="5">
        <v>726</v>
      </c>
      <c r="B787" s="137">
        <f>'Expenditures 15-22'!D45</f>
        <v>9071</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12521</v>
      </c>
      <c r="C789" s="2" t="s">
        <v>594</v>
      </c>
      <c r="D789" s="2" t="str">
        <f t="shared" si="11"/>
        <v>Error?</v>
      </c>
    </row>
    <row r="790" spans="1:4" x14ac:dyDescent="0.2">
      <c r="A790" s="5">
        <v>729</v>
      </c>
      <c r="B790" s="137">
        <f>'Expenditures 15-22'!D49</f>
        <v>19373</v>
      </c>
      <c r="D790" s="2" t="str">
        <f t="shared" si="11"/>
        <v>Error?</v>
      </c>
    </row>
    <row r="791" spans="1:4" x14ac:dyDescent="0.2">
      <c r="A791" s="5">
        <v>730</v>
      </c>
      <c r="B791" s="137">
        <f>'Expenditures 15-22'!D50</f>
        <v>49207</v>
      </c>
      <c r="D791" s="2" t="str">
        <f t="shared" si="11"/>
        <v>Error?</v>
      </c>
    </row>
    <row r="792" spans="1:4" x14ac:dyDescent="0.2">
      <c r="A792" s="5">
        <v>731</v>
      </c>
      <c r="B792" s="137">
        <f>'Expenditures 15-22'!D53</f>
        <v>68580</v>
      </c>
      <c r="C792" s="2" t="s">
        <v>594</v>
      </c>
      <c r="D792" s="2" t="str">
        <f t="shared" si="11"/>
        <v>Error?</v>
      </c>
    </row>
    <row r="793" spans="1:4" x14ac:dyDescent="0.2">
      <c r="A793" s="5">
        <v>732</v>
      </c>
      <c r="B793" s="137">
        <f>'Expenditures 15-22'!D55</f>
        <v>72786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72786</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8734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8734</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194780</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763295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166760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694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3056</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174759</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10323</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10323</v>
      </c>
      <c r="C843" s="2" t="s">
        <v>594</v>
      </c>
      <c r="D843" s="2" t="str">
        <f t="shared" si="12"/>
        <v>Error?</v>
      </c>
    </row>
    <row r="844" spans="1:4" x14ac:dyDescent="0.2">
      <c r="A844" s="5">
        <v>783</v>
      </c>
      <c r="B844" s="137">
        <f>'Expenditures 15-22'!E44</f>
        <v>28497</v>
      </c>
      <c r="D844" s="2" t="str">
        <f t="shared" si="12"/>
        <v>Error?</v>
      </c>
    </row>
    <row r="845" spans="1:4" x14ac:dyDescent="0.2">
      <c r="A845" s="5">
        <v>784</v>
      </c>
      <c r="B845" s="137">
        <f>'Expenditures 15-22'!E45</f>
        <v>52932</v>
      </c>
      <c r="D845" s="2" t="str">
        <f t="shared" si="12"/>
        <v>Error?</v>
      </c>
    </row>
    <row r="846" spans="1:4" x14ac:dyDescent="0.2">
      <c r="A846" s="5">
        <v>785</v>
      </c>
      <c r="B846" s="137">
        <f>'Expenditures 15-22'!E46</f>
        <v>0</v>
      </c>
      <c r="D846" s="2" t="str">
        <f t="shared" si="12"/>
        <v>Error?</v>
      </c>
    </row>
    <row r="847" spans="1:4" x14ac:dyDescent="0.2">
      <c r="A847" s="5">
        <v>786</v>
      </c>
      <c r="B847" s="137">
        <f>'Expenditures 15-22'!E47</f>
        <v>81429</v>
      </c>
      <c r="C847" s="2" t="s">
        <v>594</v>
      </c>
      <c r="D847" s="2" t="str">
        <f t="shared" si="12"/>
        <v>Error?</v>
      </c>
    </row>
    <row r="848" spans="1:4" x14ac:dyDescent="0.2">
      <c r="A848" s="5">
        <v>787</v>
      </c>
      <c r="B848" s="137">
        <f>'Expenditures 15-22'!E49</f>
        <v>44741</v>
      </c>
      <c r="D848" s="2" t="str">
        <f t="shared" si="12"/>
        <v>Error?</v>
      </c>
    </row>
    <row r="849" spans="1:4" x14ac:dyDescent="0.2">
      <c r="A849" s="5">
        <v>788</v>
      </c>
      <c r="B849" s="137">
        <f>'Expenditures 15-22'!E50</f>
        <v>2004</v>
      </c>
      <c r="D849" s="2" t="str">
        <f t="shared" si="12"/>
        <v>Error?</v>
      </c>
    </row>
    <row r="850" spans="1:4" x14ac:dyDescent="0.2">
      <c r="A850" s="5">
        <v>789</v>
      </c>
      <c r="B850" s="137">
        <f>'Expenditures 15-22'!E53</f>
        <v>46745</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18364</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549</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18913</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157410</v>
      </c>
      <c r="C871" s="2" t="s">
        <v>594</v>
      </c>
      <c r="D871" s="2" t="str">
        <f t="shared" si="12"/>
        <v>Error?</v>
      </c>
    </row>
    <row r="872" spans="1:4" x14ac:dyDescent="0.2">
      <c r="A872" s="5">
        <v>811</v>
      </c>
      <c r="B872" s="137">
        <f>'Expenditures 15-22'!E75</f>
        <v>575</v>
      </c>
      <c r="D872" s="2" t="str">
        <f t="shared" si="12"/>
        <v>Error?</v>
      </c>
    </row>
    <row r="873" spans="1:4" x14ac:dyDescent="0.2">
      <c r="A873" s="5">
        <v>812</v>
      </c>
      <c r="B873" s="137">
        <f>'Expenditures 15-22'!E114</f>
        <v>673580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71406</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12963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2788</v>
      </c>
      <c r="D892" s="2" t="str">
        <f t="shared" si="12"/>
        <v>Error?</v>
      </c>
    </row>
    <row r="893" spans="1:4" x14ac:dyDescent="0.2">
      <c r="A893" s="5">
        <v>832</v>
      </c>
      <c r="B893" s="137">
        <f>'Expenditures 15-22'!F15</f>
        <v>698</v>
      </c>
      <c r="D893" s="2" t="str">
        <f t="shared" si="12"/>
        <v>Error?</v>
      </c>
    </row>
    <row r="894" spans="1:4" x14ac:dyDescent="0.2">
      <c r="A894" s="5">
        <v>833</v>
      </c>
      <c r="B894" s="137">
        <f>'Expenditures 15-22'!F33</f>
        <v>99709</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571</v>
      </c>
      <c r="D897" s="2" t="str">
        <f t="shared" si="13"/>
        <v>Error?</v>
      </c>
    </row>
    <row r="898" spans="1:4" x14ac:dyDescent="0.2">
      <c r="A898" s="5">
        <v>837</v>
      </c>
      <c r="B898" s="137">
        <f>'Expenditures 15-22'!F39</f>
        <v>0</v>
      </c>
      <c r="D898" s="2" t="str">
        <f t="shared" si="13"/>
        <v>Error?</v>
      </c>
    </row>
    <row r="899" spans="1:4" x14ac:dyDescent="0.2">
      <c r="A899" s="5">
        <v>838</v>
      </c>
      <c r="B899" s="137">
        <f>'Expenditures 15-22'!F40</f>
        <v>1319</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1890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83844</v>
      </c>
      <c r="D903" s="2" t="str">
        <f t="shared" si="13"/>
        <v>Error?</v>
      </c>
    </row>
    <row r="904" spans="1:4" x14ac:dyDescent="0.2">
      <c r="A904" s="5">
        <v>843</v>
      </c>
      <c r="B904" s="137">
        <f>'Expenditures 15-22'!F46</f>
        <v>9368</v>
      </c>
      <c r="D904" s="2" t="str">
        <f t="shared" si="13"/>
        <v>Error?</v>
      </c>
    </row>
    <row r="905" spans="1:4" x14ac:dyDescent="0.2">
      <c r="A905" s="5">
        <v>844</v>
      </c>
      <c r="B905" s="137">
        <f>'Expenditures 15-22'!F47</f>
        <v>93212</v>
      </c>
      <c r="C905" s="2" t="s">
        <v>594</v>
      </c>
      <c r="D905" s="2" t="str">
        <f t="shared" si="13"/>
        <v>Error?</v>
      </c>
    </row>
    <row r="906" spans="1:4" x14ac:dyDescent="0.2">
      <c r="A906" s="5">
        <v>845</v>
      </c>
      <c r="B906" s="137">
        <f>'Expenditures 15-22'!F49</f>
        <v>1128</v>
      </c>
      <c r="D906" s="2" t="str">
        <f t="shared" si="13"/>
        <v>Error?</v>
      </c>
    </row>
    <row r="907" spans="1:4" x14ac:dyDescent="0.2">
      <c r="A907" s="5">
        <v>846</v>
      </c>
      <c r="B907" s="137">
        <f>'Expenditures 15-22'!F50</f>
        <v>0</v>
      </c>
      <c r="D907" s="2" t="str">
        <f t="shared" si="13"/>
        <v>Error?</v>
      </c>
    </row>
    <row r="908" spans="1:4" x14ac:dyDescent="0.2">
      <c r="A908" s="5">
        <v>847</v>
      </c>
      <c r="B908" s="137">
        <f>'Expenditures 15-22'!F53</f>
        <v>1128</v>
      </c>
      <c r="C908" s="2" t="s">
        <v>594</v>
      </c>
      <c r="D908" s="2" t="str">
        <f t="shared" si="13"/>
        <v>Error?</v>
      </c>
    </row>
    <row r="909" spans="1:4" x14ac:dyDescent="0.2">
      <c r="A909" s="5">
        <v>848</v>
      </c>
      <c r="B909" s="137">
        <f>'Expenditures 15-22'!F55</f>
        <v>1534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1534</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158</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152423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152581</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250345</v>
      </c>
      <c r="C929" s="2" t="s">
        <v>594</v>
      </c>
      <c r="D929" s="2" t="str">
        <f t="shared" si="13"/>
        <v>Error?</v>
      </c>
    </row>
    <row r="930" spans="1:4" x14ac:dyDescent="0.2">
      <c r="A930" s="5">
        <v>869</v>
      </c>
      <c r="B930" s="137">
        <f>'Expenditures 15-22'!F75</f>
        <v>732</v>
      </c>
      <c r="D930" s="2" t="str">
        <f t="shared" si="13"/>
        <v>Error?</v>
      </c>
    </row>
    <row r="931" spans="1:4" x14ac:dyDescent="0.2">
      <c r="A931" s="5">
        <v>870</v>
      </c>
      <c r="B931" s="137">
        <f>'Expenditures 15-22'!F114</f>
        <v>350786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6589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14035</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66064</v>
      </c>
      <c r="D961" s="2" t="str">
        <f t="shared" si="14"/>
        <v>Error?</v>
      </c>
    </row>
    <row r="962" spans="1:4" x14ac:dyDescent="0.2">
      <c r="A962" s="5">
        <v>901</v>
      </c>
      <c r="B962" s="137">
        <f>'Expenditures 15-22'!G46</f>
        <v>0</v>
      </c>
      <c r="D962" s="2" t="str">
        <f t="shared" si="14"/>
        <v>Error?</v>
      </c>
    </row>
    <row r="963" spans="1:4" x14ac:dyDescent="0.2">
      <c r="A963" s="5">
        <v>902</v>
      </c>
      <c r="B963" s="137">
        <f>'Expenditures 15-22'!G47</f>
        <v>66064</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66064</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80099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36301</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36301</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4644</v>
      </c>
      <c r="D1022" s="2" t="str">
        <f t="shared" si="14"/>
        <v>Error?</v>
      </c>
    </row>
    <row r="1023" spans="1:4" x14ac:dyDescent="0.2">
      <c r="A1023" s="5">
        <v>962</v>
      </c>
      <c r="B1023" s="137">
        <f>'Expenditures 15-22'!H50</f>
        <v>2092</v>
      </c>
      <c r="D1023" s="2" t="str">
        <f t="shared" ref="D1023:D1086" si="15">IF(ISBLANK(B1023),"OK",IF(A1023-B1023=0,"OK","Error?"))</f>
        <v>Error?</v>
      </c>
    </row>
    <row r="1024" spans="1:4" x14ac:dyDescent="0.2">
      <c r="A1024" s="5">
        <v>963</v>
      </c>
      <c r="B1024" s="137">
        <f>'Expenditures 15-22'!H53</f>
        <v>6736</v>
      </c>
      <c r="C1024" s="2" t="s">
        <v>594</v>
      </c>
      <c r="D1024" s="2" t="str">
        <f t="shared" si="15"/>
        <v>Error?</v>
      </c>
    </row>
    <row r="1025" spans="1:4" x14ac:dyDescent="0.2">
      <c r="A1025" s="5">
        <v>964</v>
      </c>
      <c r="B1025" s="137">
        <f>'Expenditures 15-22'!H55</f>
        <v>384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384</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340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340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7460</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178966</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222727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2647009</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120551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218745</v>
      </c>
      <c r="C1106" s="2" t="s">
        <v>594</v>
      </c>
      <c r="D1106" s="2" t="str">
        <f t="shared" si="16"/>
        <v>Error?</v>
      </c>
    </row>
    <row r="1107" spans="1:4" x14ac:dyDescent="0.2">
      <c r="A1107" s="5">
        <v>1046</v>
      </c>
      <c r="B1107" s="137">
        <f>'Expenditures 15-22'!K15</f>
        <v>14383</v>
      </c>
      <c r="C1107" s="2" t="s">
        <v>594</v>
      </c>
      <c r="D1107" s="2" t="str">
        <f t="shared" si="16"/>
        <v>Error?</v>
      </c>
    </row>
    <row r="1108" spans="1:4" x14ac:dyDescent="0.2">
      <c r="A1108" s="5">
        <v>1047</v>
      </c>
      <c r="B1108" s="137">
        <f>'Expenditures 15-22'!K33</f>
        <v>4034184</v>
      </c>
      <c r="C1108" s="2" t="s">
        <v>594</v>
      </c>
      <c r="D1108" s="2" t="str">
        <f t="shared" si="16"/>
        <v>Error?</v>
      </c>
    </row>
    <row r="1109" spans="1:4" x14ac:dyDescent="0.2">
      <c r="A1109" s="5">
        <v>1048</v>
      </c>
      <c r="B1109" s="137">
        <f>'Expenditures 15-22'!K36</f>
        <v>63942</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58338</v>
      </c>
      <c r="C1111" s="2" t="s">
        <v>594</v>
      </c>
      <c r="D1111" s="2" t="str">
        <f t="shared" si="16"/>
        <v>Error?</v>
      </c>
    </row>
    <row r="1112" spans="1:4" x14ac:dyDescent="0.2">
      <c r="A1112" s="5">
        <v>1051</v>
      </c>
      <c r="B1112" s="137">
        <f>'Expenditures 15-22'!K39</f>
        <v>0</v>
      </c>
      <c r="C1112" s="2" t="s">
        <v>594</v>
      </c>
      <c r="D1112" s="2" t="str">
        <f t="shared" si="16"/>
        <v>Error?</v>
      </c>
    </row>
    <row r="1113" spans="1:4" x14ac:dyDescent="0.2">
      <c r="A1113" s="5">
        <v>1052</v>
      </c>
      <c r="B1113" s="137">
        <f>'Expenditures 15-22'!K40</f>
        <v>104021</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226301</v>
      </c>
      <c r="C1115" s="2" t="s">
        <v>594</v>
      </c>
      <c r="D1115" s="2" t="str">
        <f t="shared" si="16"/>
        <v>Error?</v>
      </c>
    </row>
    <row r="1116" spans="1:4" x14ac:dyDescent="0.2">
      <c r="A1116" s="5">
        <v>1055</v>
      </c>
      <c r="B1116" s="137">
        <f>'Expenditures 15-22'!K44</f>
        <v>31947</v>
      </c>
      <c r="C1116" s="2" t="s">
        <v>594</v>
      </c>
      <c r="D1116" s="2" t="str">
        <f t="shared" si="16"/>
        <v>Error?</v>
      </c>
    </row>
    <row r="1117" spans="1:4" x14ac:dyDescent="0.2">
      <c r="A1117" s="5">
        <v>1056</v>
      </c>
      <c r="B1117" s="137">
        <f>'Expenditures 15-22'!K45</f>
        <v>311609</v>
      </c>
      <c r="C1117" s="2" t="s">
        <v>594</v>
      </c>
      <c r="D1117" s="2" t="str">
        <f t="shared" si="16"/>
        <v>Error?</v>
      </c>
    </row>
    <row r="1118" spans="1:4" x14ac:dyDescent="0.2">
      <c r="A1118" s="5">
        <v>1057</v>
      </c>
      <c r="B1118" s="137">
        <f>'Expenditures 15-22'!K46</f>
        <v>9368</v>
      </c>
      <c r="C1118" s="2" t="s">
        <v>594</v>
      </c>
      <c r="D1118" s="2" t="str">
        <f t="shared" si="16"/>
        <v>Error?</v>
      </c>
    </row>
    <row r="1119" spans="1:4" x14ac:dyDescent="0.2">
      <c r="A1119" s="5">
        <v>1058</v>
      </c>
      <c r="B1119" s="137">
        <f>'Expenditures 15-22'!K47</f>
        <v>352924</v>
      </c>
      <c r="C1119" s="2" t="s">
        <v>594</v>
      </c>
      <c r="D1119" s="2" t="str">
        <f t="shared" si="16"/>
        <v>Error?</v>
      </c>
    </row>
    <row r="1120" spans="1:4" x14ac:dyDescent="0.2">
      <c r="A1120" s="5">
        <v>1059</v>
      </c>
      <c r="B1120" s="137">
        <f>'Expenditures 15-22'!K49</f>
        <v>128625</v>
      </c>
      <c r="C1120" s="2" t="s">
        <v>594</v>
      </c>
      <c r="D1120" s="2" t="str">
        <f t="shared" si="16"/>
        <v>Error?</v>
      </c>
    </row>
    <row r="1121" spans="1:4" x14ac:dyDescent="0.2">
      <c r="A1121" s="5">
        <v>1060</v>
      </c>
      <c r="B1121" s="137">
        <f>'Expenditures 15-22'!K50</f>
        <v>202303</v>
      </c>
      <c r="C1121" s="2" t="s">
        <v>594</v>
      </c>
      <c r="D1121" s="2" t="str">
        <f t="shared" si="16"/>
        <v>Error?</v>
      </c>
    </row>
    <row r="1122" spans="1:4" x14ac:dyDescent="0.2">
      <c r="A1122" s="5">
        <v>1061</v>
      </c>
      <c r="B1122" s="137">
        <f>'Expenditures 15-22'!K53</f>
        <v>330928</v>
      </c>
      <c r="C1122" s="2" t="s">
        <v>594</v>
      </c>
      <c r="D1122" s="2" t="str">
        <f t="shared" si="16"/>
        <v>Error?</v>
      </c>
    </row>
    <row r="1123" spans="1:4" x14ac:dyDescent="0.2">
      <c r="A1123" s="5">
        <v>1062</v>
      </c>
      <c r="B1123" s="137">
        <f>'Expenditures 15-22'!K55</f>
        <v>285437</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285437</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91694</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206369</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298063</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1493653</v>
      </c>
      <c r="C1143" s="2" t="s">
        <v>594</v>
      </c>
      <c r="D1143" s="2" t="str">
        <f t="shared" si="16"/>
        <v>Error?</v>
      </c>
    </row>
    <row r="1144" spans="1:4" x14ac:dyDescent="0.2">
      <c r="A1144" s="5">
        <v>1083</v>
      </c>
      <c r="B1144" s="137">
        <f>'Expenditures 15-22'!K75</f>
        <v>46959</v>
      </c>
      <c r="C1144" s="2" t="s">
        <v>594</v>
      </c>
      <c r="D1144" s="2" t="str">
        <f t="shared" si="16"/>
        <v>Error?</v>
      </c>
    </row>
    <row r="1145" spans="1:4" x14ac:dyDescent="0.2">
      <c r="A1145" s="5">
        <v>1084</v>
      </c>
      <c r="B1145" s="137">
        <f>'Expenditures 15-22'!K102</f>
        <v>519802</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6094598</v>
      </c>
      <c r="C1152" s="2" t="s">
        <v>594</v>
      </c>
      <c r="D1152" s="2" t="str">
        <f t="shared" si="17"/>
        <v>Error?</v>
      </c>
    </row>
    <row r="1153" spans="1:4" x14ac:dyDescent="0.2">
      <c r="A1153" s="5">
        <v>1092</v>
      </c>
      <c r="B1153" s="137">
        <f>'Expenditures 15-22'!K115</f>
        <v>155724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237479</v>
      </c>
      <c r="D1221" s="2" t="str">
        <f t="shared" si="18"/>
        <v>Error?</v>
      </c>
    </row>
    <row r="1222" spans="1:4" x14ac:dyDescent="0.2">
      <c r="A1222" s="10">
        <v>1161</v>
      </c>
      <c r="D1222" s="2" t="str">
        <f t="shared" si="18"/>
        <v>OK</v>
      </c>
    </row>
    <row r="1223" spans="1:4" x14ac:dyDescent="0.2">
      <c r="A1223" s="5">
        <v>1162</v>
      </c>
      <c r="B1223" s="137">
        <f>'Expenditures 15-22'!C127</f>
        <v>237479</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237479</v>
      </c>
      <c r="C1225" s="2" t="s">
        <v>594</v>
      </c>
      <c r="D1225" s="2" t="str">
        <f t="shared" si="18"/>
        <v>Error?</v>
      </c>
    </row>
    <row r="1226" spans="1:4" x14ac:dyDescent="0.2">
      <c r="A1226" s="5">
        <v>1165</v>
      </c>
      <c r="B1226" s="137">
        <f>'Expenditures 15-22'!C151</f>
        <v>237479</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31652</v>
      </c>
      <c r="D1229" s="2" t="str">
        <f t="shared" si="18"/>
        <v>Error?</v>
      </c>
    </row>
    <row r="1230" spans="1:4" x14ac:dyDescent="0.2">
      <c r="A1230" s="10">
        <v>1169</v>
      </c>
      <c r="D1230" s="2" t="str">
        <f t="shared" si="18"/>
        <v>OK</v>
      </c>
    </row>
    <row r="1231" spans="1:4" x14ac:dyDescent="0.2">
      <c r="A1231" s="5">
        <v>1170</v>
      </c>
      <c r="B1231" s="137">
        <f>'Expenditures 15-22'!D127</f>
        <v>31652</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31652</v>
      </c>
      <c r="C1233" s="2" t="s">
        <v>594</v>
      </c>
      <c r="D1233" s="2" t="str">
        <f t="shared" si="18"/>
        <v>Error?</v>
      </c>
    </row>
    <row r="1234" spans="1:4" x14ac:dyDescent="0.2">
      <c r="A1234" s="5">
        <v>1173</v>
      </c>
      <c r="B1234" s="137">
        <f>'Expenditures 15-22'!D151</f>
        <v>31652</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2250</v>
      </c>
      <c r="D1236" s="2" t="str">
        <f t="shared" si="18"/>
        <v>Error?</v>
      </c>
    </row>
    <row r="1237" spans="1:4" x14ac:dyDescent="0.2">
      <c r="A1237" s="5">
        <v>1176</v>
      </c>
      <c r="B1237" s="137">
        <f>'Expenditures 15-22'!E124</f>
        <v>162339</v>
      </c>
      <c r="D1237" s="2" t="str">
        <f t="shared" si="18"/>
        <v>Error?</v>
      </c>
    </row>
    <row r="1238" spans="1:4" x14ac:dyDescent="0.2">
      <c r="A1238" s="10">
        <v>1177</v>
      </c>
      <c r="D1238" s="2" t="str">
        <f t="shared" si="18"/>
        <v>OK</v>
      </c>
    </row>
    <row r="1239" spans="1:4" x14ac:dyDescent="0.2">
      <c r="A1239" s="5">
        <v>1178</v>
      </c>
      <c r="B1239" s="137">
        <f>'Expenditures 15-22'!E127</f>
        <v>164589</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164589</v>
      </c>
      <c r="C1241" s="2" t="s">
        <v>594</v>
      </c>
      <c r="D1241" s="2" t="str">
        <f t="shared" si="18"/>
        <v>Error?</v>
      </c>
    </row>
    <row r="1242" spans="1:4" x14ac:dyDescent="0.2">
      <c r="A1242" s="5">
        <v>1181</v>
      </c>
      <c r="B1242" s="137">
        <f>'Expenditures 15-22'!E151</f>
        <v>164589</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111828</v>
      </c>
      <c r="D1245" s="2" t="str">
        <f t="shared" si="18"/>
        <v>Error?</v>
      </c>
    </row>
    <row r="1246" spans="1:4" x14ac:dyDescent="0.2">
      <c r="A1246" s="10">
        <v>1185</v>
      </c>
      <c r="D1246" s="2" t="str">
        <f t="shared" si="18"/>
        <v>OK</v>
      </c>
    </row>
    <row r="1247" spans="1:4" x14ac:dyDescent="0.2">
      <c r="A1247" s="5">
        <v>1186</v>
      </c>
      <c r="B1247" s="137">
        <f>'Expenditures 15-22'!F127</f>
        <v>111828</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111828</v>
      </c>
      <c r="C1249" s="2" t="s">
        <v>594</v>
      </c>
      <c r="D1249" s="2" t="str">
        <f t="shared" si="18"/>
        <v>Error?</v>
      </c>
    </row>
    <row r="1250" spans="1:4" x14ac:dyDescent="0.2">
      <c r="A1250" s="5">
        <v>1189</v>
      </c>
      <c r="B1250" s="137">
        <f>'Expenditures 15-22'!F151</f>
        <v>111828</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8235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8235</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8235</v>
      </c>
      <c r="C1258" s="2" t="s">
        <v>594</v>
      </c>
      <c r="D1258" s="2" t="str">
        <f t="shared" si="18"/>
        <v>Error?</v>
      </c>
    </row>
    <row r="1259" spans="1:4" x14ac:dyDescent="0.2">
      <c r="A1259" s="5">
        <v>1198</v>
      </c>
      <c r="B1259" s="137">
        <f>'Expenditures 15-22'!G151</f>
        <v>8235</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5761</v>
      </c>
      <c r="D1262" s="2" t="str">
        <f t="shared" si="18"/>
        <v>Error?</v>
      </c>
    </row>
    <row r="1263" spans="1:4" x14ac:dyDescent="0.2">
      <c r="A1263" s="10">
        <v>1202</v>
      </c>
      <c r="D1263" s="2" t="str">
        <f t="shared" si="18"/>
        <v>OK</v>
      </c>
    </row>
    <row r="1264" spans="1:4" x14ac:dyDescent="0.2">
      <c r="A1264" s="5">
        <v>1203</v>
      </c>
      <c r="B1264" s="137">
        <f>'Expenditures 15-22'!H127</f>
        <v>5761</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5761</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5761</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2250</v>
      </c>
      <c r="C1275" s="2" t="s">
        <v>594</v>
      </c>
      <c r="D1275" s="2" t="str">
        <f t="shared" si="18"/>
        <v>Error?</v>
      </c>
    </row>
    <row r="1276" spans="1:4" x14ac:dyDescent="0.2">
      <c r="A1276" s="5">
        <v>1215</v>
      </c>
      <c r="B1276" s="137">
        <f>'Expenditures 15-22'!K124</f>
        <v>565050</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567300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567300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567300</v>
      </c>
      <c r="C1288" s="2" t="s">
        <v>594</v>
      </c>
      <c r="D1288" s="2" t="str">
        <f t="shared" si="19"/>
        <v>Error?</v>
      </c>
    </row>
    <row r="1289" spans="1:4" x14ac:dyDescent="0.2">
      <c r="A1289" s="5">
        <v>1228</v>
      </c>
      <c r="B1289" s="137">
        <f>'Expenditures 15-22'!K152</f>
        <v>71352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226291</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312053</v>
      </c>
      <c r="D1315" s="2" t="str">
        <f t="shared" si="19"/>
        <v>Error?</v>
      </c>
    </row>
    <row r="1316" spans="1:4" x14ac:dyDescent="0.2">
      <c r="A1316" s="5">
        <v>1255</v>
      </c>
      <c r="B1316" s="137">
        <f>'Expenditures 15-22'!H171</f>
        <v>2300</v>
      </c>
      <c r="D1316" s="2" t="str">
        <f t="shared" si="19"/>
        <v>Error?</v>
      </c>
    </row>
    <row r="1317" spans="1:4" x14ac:dyDescent="0.2">
      <c r="A1317" s="5">
        <v>1256</v>
      </c>
      <c r="B1317" s="137">
        <f>'Expenditures 15-22'!H172</f>
        <v>540644</v>
      </c>
      <c r="C1317" s="2" t="s">
        <v>594</v>
      </c>
      <c r="D1317" s="2" t="str">
        <f t="shared" si="19"/>
        <v>Error?</v>
      </c>
    </row>
    <row r="1318" spans="1:4" x14ac:dyDescent="0.2">
      <c r="A1318" s="5">
        <v>1257</v>
      </c>
      <c r="B1318" s="137">
        <f>'Expenditures 15-22'!H174</f>
        <v>540644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226291</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312053</v>
      </c>
      <c r="C1329" s="2" t="s">
        <v>594</v>
      </c>
      <c r="D1329" s="2" t="str">
        <f t="shared" si="19"/>
        <v>Error?</v>
      </c>
    </row>
    <row r="1330" spans="1:4" x14ac:dyDescent="0.2">
      <c r="A1330" s="5">
        <v>1269</v>
      </c>
      <c r="B1330" s="137">
        <f>'Expenditures 15-22'!K171</f>
        <v>2300</v>
      </c>
      <c r="C1330" s="2" t="s">
        <v>594</v>
      </c>
      <c r="D1330" s="2" t="str">
        <f t="shared" si="19"/>
        <v>Error?</v>
      </c>
    </row>
    <row r="1331" spans="1:4" x14ac:dyDescent="0.2">
      <c r="A1331" s="5">
        <v>1270</v>
      </c>
      <c r="B1331" s="137">
        <f>'Expenditures 15-22'!K172</f>
        <v>540644</v>
      </c>
      <c r="C1331" s="2" t="s">
        <v>594</v>
      </c>
      <c r="D1331" s="2" t="str">
        <f t="shared" si="19"/>
        <v>Error?</v>
      </c>
    </row>
    <row r="1332" spans="1:4" x14ac:dyDescent="0.2">
      <c r="A1332" s="5">
        <v>1271</v>
      </c>
      <c r="B1332" s="137">
        <f>'Expenditures 15-22'!K174</f>
        <v>540644</v>
      </c>
      <c r="C1332" s="2" t="s">
        <v>594</v>
      </c>
      <c r="D1332" s="2" t="str">
        <f t="shared" si="19"/>
        <v>Error?</v>
      </c>
    </row>
    <row r="1333" spans="1:4" x14ac:dyDescent="0.2">
      <c r="A1333" s="5">
        <v>1272</v>
      </c>
      <c r="B1333" s="137">
        <f>'Expenditures 15-22'!K175</f>
        <v>-81882</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115138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115138</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115138</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115138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115138</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115138</v>
      </c>
      <c r="C1388" s="2" t="s">
        <v>594</v>
      </c>
      <c r="D1388" s="2" t="str">
        <f t="shared" si="20"/>
        <v>Error?</v>
      </c>
    </row>
    <row r="1389" spans="1:4" x14ac:dyDescent="0.2">
      <c r="A1389" s="5">
        <v>1328</v>
      </c>
      <c r="B1389" s="137">
        <f>'Expenditures 15-22'!K211</f>
        <v>-21714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197</v>
      </c>
      <c r="D1409" s="2" t="str">
        <f t="shared" si="21"/>
        <v>Error?</v>
      </c>
    </row>
    <row r="1410" spans="1:4" x14ac:dyDescent="0.2">
      <c r="A1410" s="5">
        <v>1349</v>
      </c>
      <c r="B1410" s="137">
        <f>'Expenditures 15-22'!D229</f>
        <v>108823</v>
      </c>
      <c r="C1410" s="2" t="s">
        <v>594</v>
      </c>
      <c r="D1410" s="2" t="str">
        <f t="shared" si="21"/>
        <v>Error?</v>
      </c>
    </row>
    <row r="1411" spans="1:4" x14ac:dyDescent="0.2">
      <c r="A1411" s="5">
        <v>1350</v>
      </c>
      <c r="B1411" s="137">
        <f>'Expenditures 15-22'!D232</f>
        <v>743</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6250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6993</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7920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7920</v>
      </c>
      <c r="C1421" s="2" t="s">
        <v>594</v>
      </c>
      <c r="D1421" s="2" t="str">
        <f t="shared" si="21"/>
        <v>Error?</v>
      </c>
    </row>
    <row r="1422" spans="1:4" x14ac:dyDescent="0.2">
      <c r="A1422" s="5">
        <v>1361</v>
      </c>
      <c r="B1422" s="137">
        <f>'Expenditures 15-22'!D245</f>
        <v>98</v>
      </c>
      <c r="D1422" s="2" t="str">
        <f t="shared" si="21"/>
        <v>Error?</v>
      </c>
    </row>
    <row r="1423" spans="1:4" x14ac:dyDescent="0.2">
      <c r="A1423" s="5">
        <v>1362</v>
      </c>
      <c r="B1423" s="137">
        <f>'Expenditures 15-22'!D246</f>
        <v>11444</v>
      </c>
      <c r="D1423" s="2" t="str">
        <f t="shared" si="21"/>
        <v>Error?</v>
      </c>
    </row>
    <row r="1424" spans="1:4" x14ac:dyDescent="0.2">
      <c r="A1424" s="5">
        <v>1363</v>
      </c>
      <c r="B1424" s="137">
        <f>'Expenditures 15-22'!D257</f>
        <v>11542</v>
      </c>
      <c r="C1424" s="2" t="s">
        <v>594</v>
      </c>
      <c r="D1424" s="2" t="str">
        <f t="shared" si="21"/>
        <v>Error?</v>
      </c>
    </row>
    <row r="1425" spans="1:4" x14ac:dyDescent="0.2">
      <c r="A1425" s="5">
        <v>1364</v>
      </c>
      <c r="B1425" s="137">
        <f>'Expenditures 15-22'!D259</f>
        <v>7745</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7745</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10679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39013</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49692</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83892</v>
      </c>
      <c r="C1446" s="2" t="s">
        <v>594</v>
      </c>
      <c r="D1446" s="2" t="str">
        <f t="shared" si="21"/>
        <v>Error?</v>
      </c>
    </row>
    <row r="1447" spans="1:4" x14ac:dyDescent="0.2">
      <c r="A1447" s="5">
        <v>1386</v>
      </c>
      <c r="B1447" s="137">
        <f>'Expenditures 15-22'!D280</f>
        <v>7731</v>
      </c>
      <c r="D1447" s="2" t="str">
        <f t="shared" si="21"/>
        <v>Error?</v>
      </c>
    </row>
    <row r="1448" spans="1:4" x14ac:dyDescent="0.2">
      <c r="A1448" s="5">
        <v>1387</v>
      </c>
      <c r="B1448" s="137">
        <f>'Expenditures 15-22'!D295</f>
        <v>200446</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197</v>
      </c>
      <c r="C1473" s="2" t="s">
        <v>594</v>
      </c>
      <c r="D1473" s="2" t="str">
        <f t="shared" si="22"/>
        <v>Error?</v>
      </c>
    </row>
    <row r="1474" spans="1:4" x14ac:dyDescent="0.2">
      <c r="A1474" s="5">
        <v>1413</v>
      </c>
      <c r="B1474" s="137">
        <f>'Expenditures 15-22'!K229</f>
        <v>108823</v>
      </c>
      <c r="C1474" s="2" t="s">
        <v>594</v>
      </c>
      <c r="D1474" s="2" t="str">
        <f t="shared" si="22"/>
        <v>Error?</v>
      </c>
    </row>
    <row r="1475" spans="1:4" x14ac:dyDescent="0.2">
      <c r="A1475" s="5">
        <v>1414</v>
      </c>
      <c r="B1475" s="137">
        <f>'Expenditures 15-22'!K232</f>
        <v>743</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6250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6993</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7920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7920</v>
      </c>
      <c r="C1485" s="2" t="s">
        <v>594</v>
      </c>
      <c r="D1485" s="2" t="str">
        <f t="shared" si="22"/>
        <v>Error?</v>
      </c>
    </row>
    <row r="1486" spans="1:4" x14ac:dyDescent="0.2">
      <c r="A1486" s="5">
        <v>1425</v>
      </c>
      <c r="B1486" s="137">
        <f>'Expenditures 15-22'!K245</f>
        <v>98</v>
      </c>
      <c r="C1486" s="2" t="s">
        <v>594</v>
      </c>
      <c r="D1486" s="2" t="str">
        <f t="shared" si="22"/>
        <v>Error?</v>
      </c>
    </row>
    <row r="1487" spans="1:4" x14ac:dyDescent="0.2">
      <c r="A1487" s="5">
        <v>1426</v>
      </c>
      <c r="B1487" s="137">
        <f>'Expenditures 15-22'!K246</f>
        <v>11444</v>
      </c>
      <c r="C1487" s="2" t="s">
        <v>594</v>
      </c>
      <c r="D1487" s="2" t="str">
        <f t="shared" si="22"/>
        <v>Error?</v>
      </c>
    </row>
    <row r="1488" spans="1:4" x14ac:dyDescent="0.2">
      <c r="A1488" s="5">
        <v>1427</v>
      </c>
      <c r="B1488" s="137">
        <f>'Expenditures 15-22'!K257</f>
        <v>11542</v>
      </c>
      <c r="C1488" s="2" t="s">
        <v>594</v>
      </c>
      <c r="D1488" s="2" t="str">
        <f t="shared" si="22"/>
        <v>Error?</v>
      </c>
    </row>
    <row r="1489" spans="1:4" x14ac:dyDescent="0.2">
      <c r="A1489" s="5">
        <v>1428</v>
      </c>
      <c r="B1489" s="137">
        <f>'Expenditures 15-22'!K259</f>
        <v>7745</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7745</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10679</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39013</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49692</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83892</v>
      </c>
      <c r="C1510" s="2" t="s">
        <v>594</v>
      </c>
      <c r="D1510" s="2" t="str">
        <f t="shared" si="22"/>
        <v>Error?</v>
      </c>
    </row>
    <row r="1511" spans="1:4" x14ac:dyDescent="0.2">
      <c r="A1511" s="5">
        <v>1450</v>
      </c>
      <c r="B1511" s="137">
        <f>'Expenditures 15-22'!K280</f>
        <v>7731</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200446</v>
      </c>
      <c r="C1517" s="2" t="s">
        <v>594</v>
      </c>
      <c r="D1517" s="2" t="str">
        <f t="shared" si="22"/>
        <v>Error?</v>
      </c>
    </row>
    <row r="1518" spans="1:4" x14ac:dyDescent="0.2">
      <c r="A1518" s="5">
        <v>1457</v>
      </c>
      <c r="B1518" s="137">
        <f>'Expenditures 15-22'!K296</f>
        <v>-42524</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1414209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1890408</v>
      </c>
      <c r="C1630" s="2" t="s">
        <v>594</v>
      </c>
      <c r="D1630" s="2" t="str">
        <f t="shared" si="24"/>
        <v>Error?</v>
      </c>
    </row>
    <row r="1631" spans="1:4" x14ac:dyDescent="0.2">
      <c r="A1631" s="5">
        <v>1570</v>
      </c>
      <c r="B1631" s="137">
        <f>'Acct Summary 7-8'!D79</f>
        <v>824627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895979</v>
      </c>
      <c r="C1644" s="2" t="s">
        <v>594</v>
      </c>
      <c r="D1644" s="2" t="str">
        <f t="shared" si="24"/>
        <v>Error?</v>
      </c>
    </row>
    <row r="1645" spans="1:4" x14ac:dyDescent="0.2">
      <c r="A1645" s="5">
        <v>1584</v>
      </c>
      <c r="B1645" s="137">
        <f>'Acct Summary 7-8'!E79</f>
        <v>618567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659038</v>
      </c>
      <c r="C1658" s="2" t="s">
        <v>594</v>
      </c>
      <c r="D1658" s="2" t="str">
        <f t="shared" si="24"/>
        <v>Error?</v>
      </c>
    </row>
    <row r="1659" spans="1:4" x14ac:dyDescent="0.2">
      <c r="A1659" s="5">
        <v>1598</v>
      </c>
      <c r="B1659" s="137">
        <f>'Acct Summary 7-8'!F79</f>
        <v>229265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207551</v>
      </c>
      <c r="C1672" s="2" t="s">
        <v>594</v>
      </c>
      <c r="D1672" s="2" t="str">
        <f t="shared" si="25"/>
        <v>Error?</v>
      </c>
    </row>
    <row r="1673" spans="1:4" x14ac:dyDescent="0.2">
      <c r="A1673" s="5">
        <v>1612</v>
      </c>
      <c r="B1673" s="137">
        <f>'Acct Summary 7-8'!G79</f>
        <v>149225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106701</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3790921</v>
      </c>
      <c r="C1744" s="2" t="s">
        <v>594</v>
      </c>
      <c r="D1744" s="2" t="str">
        <f t="shared" si="26"/>
        <v>Error?</v>
      </c>
    </row>
    <row r="1745" spans="1:5" x14ac:dyDescent="0.2">
      <c r="A1745" s="5">
        <v>1684</v>
      </c>
      <c r="B1745" s="137">
        <f>'Tax Sched 23'!B5</f>
        <v>446632</v>
      </c>
      <c r="C1745" s="2" t="s">
        <v>594</v>
      </c>
      <c r="D1745" s="2" t="str">
        <f t="shared" si="26"/>
        <v>Error?</v>
      </c>
    </row>
    <row r="1746" spans="1:5" x14ac:dyDescent="0.2">
      <c r="A1746" s="5">
        <v>1685</v>
      </c>
      <c r="B1746" s="137">
        <f>'Tax Sched 23'!B6</f>
        <v>403224</v>
      </c>
      <c r="C1746" s="2" t="s">
        <v>594</v>
      </c>
      <c r="D1746" s="2" t="str">
        <f t="shared" si="26"/>
        <v>Error?</v>
      </c>
    </row>
    <row r="1747" spans="1:5" x14ac:dyDescent="0.2">
      <c r="A1747" s="5">
        <v>1686</v>
      </c>
      <c r="B1747" s="137">
        <f>'Tax Sched 23'!B7</f>
        <v>45601</v>
      </c>
      <c r="C1747" s="2" t="s">
        <v>594</v>
      </c>
      <c r="D1747" s="2" t="str">
        <f t="shared" si="26"/>
        <v>Error?</v>
      </c>
    </row>
    <row r="1748" spans="1:5" x14ac:dyDescent="0.2">
      <c r="A1748" s="5">
        <v>1687</v>
      </c>
      <c r="B1748" s="137">
        <f>'Tax Sched 23'!B8</f>
        <v>113269</v>
      </c>
      <c r="C1748" s="2" t="s">
        <v>594</v>
      </c>
      <c r="D1748" s="2" t="str">
        <f t="shared" si="26"/>
        <v>Error?</v>
      </c>
    </row>
    <row r="1749" spans="1:5" x14ac:dyDescent="0.2">
      <c r="A1749" s="5">
        <v>1688</v>
      </c>
      <c r="B1749" s="137">
        <f>'Tax Sched 23'!B10</f>
        <v>-1551</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411933</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5210029</v>
      </c>
      <c r="C1759" s="2" t="s">
        <v>594</v>
      </c>
      <c r="D1759" s="2" t="str">
        <f t="shared" si="26"/>
        <v>Error?</v>
      </c>
    </row>
    <row r="1760" spans="1:5" x14ac:dyDescent="0.2">
      <c r="A1760" s="5">
        <v>1699</v>
      </c>
      <c r="B1760" s="137">
        <f>'Tax Sched 23'!D4</f>
        <v>3790921</v>
      </c>
      <c r="C1760" s="2" t="s">
        <v>594</v>
      </c>
      <c r="D1760" s="2" t="str">
        <f t="shared" si="26"/>
        <v>Error?</v>
      </c>
    </row>
    <row r="1761" spans="1:5" x14ac:dyDescent="0.2">
      <c r="A1761" s="5">
        <v>1700</v>
      </c>
      <c r="B1761" s="137">
        <f>'Tax Sched 23'!D5</f>
        <v>446632</v>
      </c>
      <c r="C1761" s="2" t="s">
        <v>594</v>
      </c>
      <c r="D1761" s="2" t="str">
        <f t="shared" si="26"/>
        <v>Error?</v>
      </c>
    </row>
    <row r="1762" spans="1:5" s="8" customFormat="1" x14ac:dyDescent="0.2">
      <c r="A1762" s="5">
        <v>1701</v>
      </c>
      <c r="B1762" s="137">
        <f>'Tax Sched 23'!D6</f>
        <v>403224</v>
      </c>
      <c r="C1762" s="2" t="s">
        <v>594</v>
      </c>
      <c r="D1762" s="2" t="str">
        <f t="shared" si="26"/>
        <v>Error?</v>
      </c>
      <c r="E1762" s="9"/>
    </row>
    <row r="1763" spans="1:5" x14ac:dyDescent="0.2">
      <c r="A1763" s="5">
        <v>1702</v>
      </c>
      <c r="B1763" s="137">
        <f>'Tax Sched 23'!D7</f>
        <v>45601</v>
      </c>
      <c r="C1763" s="2" t="s">
        <v>594</v>
      </c>
      <c r="D1763" s="2" t="str">
        <f t="shared" si="26"/>
        <v>Error?</v>
      </c>
    </row>
    <row r="1764" spans="1:5" x14ac:dyDescent="0.2">
      <c r="A1764" s="5">
        <v>1703</v>
      </c>
      <c r="B1764" s="137">
        <f>'Tax Sched 23'!D8</f>
        <v>113269</v>
      </c>
      <c r="C1764" s="2" t="s">
        <v>594</v>
      </c>
      <c r="D1764" s="2" t="str">
        <f t="shared" si="26"/>
        <v>Error?</v>
      </c>
    </row>
    <row r="1765" spans="1:5" x14ac:dyDescent="0.2">
      <c r="A1765" s="5">
        <v>1704</v>
      </c>
      <c r="B1765" s="137">
        <f>'Tax Sched 23'!D10</f>
        <v>-1551</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411933</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5210029</v>
      </c>
      <c r="C1775" s="2" t="s">
        <v>594</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594</v>
      </c>
      <c r="D1791" s="2" t="str">
        <f t="shared" ref="D1791:D1854" si="27">IF(ISBLANK(B1791),"OK",IF(A1791-B1791=0,"OK","Error?"))</f>
        <v>Error?</v>
      </c>
    </row>
    <row r="1792" spans="1:4" x14ac:dyDescent="0.2">
      <c r="A1792" s="5">
        <v>1731</v>
      </c>
      <c r="B1792" s="137">
        <f>'Tax Sched 23'!F4</f>
        <v>0</v>
      </c>
      <c r="C1792" s="2" t="s">
        <v>594</v>
      </c>
      <c r="D1792" s="2" t="str">
        <f t="shared" si="27"/>
        <v>Error?</v>
      </c>
    </row>
    <row r="1793" spans="1:4" x14ac:dyDescent="0.2">
      <c r="A1793" s="5">
        <v>1732</v>
      </c>
      <c r="B1793" s="137">
        <f>'Tax Sched 23'!F5</f>
        <v>0</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0</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0</v>
      </c>
      <c r="C1807" s="2" t="s">
        <v>594</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5399247</v>
      </c>
      <c r="C1939" s="2" t="s">
        <v>594</v>
      </c>
      <c r="D1939" s="2" t="str">
        <f t="shared" si="29"/>
        <v>Error?</v>
      </c>
    </row>
    <row r="1940" spans="1:5" x14ac:dyDescent="0.2">
      <c r="A1940" s="5">
        <v>1879</v>
      </c>
      <c r="B1940" s="137">
        <f>'Short-Term Long-Term Debt 24'!F49</f>
        <v>42828</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411933</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411933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411933</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264189</v>
      </c>
      <c r="D2008" s="2" t="str">
        <f t="shared" si="30"/>
        <v>Error?</v>
      </c>
    </row>
    <row r="2009" spans="1:4" x14ac:dyDescent="0.2">
      <c r="A2009" s="5">
        <v>1948</v>
      </c>
      <c r="B2009" s="137">
        <f>'Cap Outlay Deprec 26'!C8</f>
        <v>3437843</v>
      </c>
      <c r="D2009" s="2" t="str">
        <f t="shared" si="30"/>
        <v>Error?</v>
      </c>
    </row>
    <row r="2010" spans="1:4" x14ac:dyDescent="0.2">
      <c r="A2010" s="5">
        <v>1949</v>
      </c>
      <c r="B2010" s="137">
        <f>'Cap Outlay Deprec 26'!C10</f>
        <v>94743</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1736259</v>
      </c>
      <c r="D2012" s="2" t="str">
        <f t="shared" si="30"/>
        <v>Error?</v>
      </c>
    </row>
    <row r="2013" spans="1:4" x14ac:dyDescent="0.2">
      <c r="A2013" s="5">
        <v>1952</v>
      </c>
      <c r="B2013" s="137">
        <f>'Cap Outlay Deprec 26'!C16</f>
        <v>5533034</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88334</v>
      </c>
      <c r="D2018" s="2" t="str">
        <f t="shared" si="30"/>
        <v>Error?</v>
      </c>
    </row>
    <row r="2019" spans="1:4" x14ac:dyDescent="0.2">
      <c r="A2019" s="5">
        <v>1958</v>
      </c>
      <c r="B2019" s="137">
        <f>'Cap Outlay Deprec 26'!D16</f>
        <v>88334</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79026</v>
      </c>
      <c r="D2024" s="2" t="str">
        <f t="shared" si="30"/>
        <v>Error?</v>
      </c>
    </row>
    <row r="2025" spans="1:4" x14ac:dyDescent="0.2">
      <c r="A2025" s="5">
        <v>1964</v>
      </c>
      <c r="B2025" s="137">
        <f>'Cap Outlay Deprec 26'!E16</f>
        <v>79026</v>
      </c>
      <c r="C2025" s="2" t="s">
        <v>594</v>
      </c>
      <c r="D2025" s="2" t="str">
        <f t="shared" si="30"/>
        <v>Error?</v>
      </c>
    </row>
    <row r="2026" spans="1:4" x14ac:dyDescent="0.2">
      <c r="A2026" s="5">
        <v>1965</v>
      </c>
      <c r="B2026" s="137">
        <f>'Cap Outlay Deprec 26'!F5</f>
        <v>264189</v>
      </c>
      <c r="C2026" s="2" t="s">
        <v>594</v>
      </c>
      <c r="D2026" s="2" t="str">
        <f t="shared" si="30"/>
        <v>Error?</v>
      </c>
    </row>
    <row r="2027" spans="1:4" x14ac:dyDescent="0.2">
      <c r="A2027" s="5">
        <v>1966</v>
      </c>
      <c r="B2027" s="137">
        <f>'Cap Outlay Deprec 26'!F8</f>
        <v>3437843</v>
      </c>
      <c r="C2027" s="2" t="s">
        <v>594</v>
      </c>
      <c r="D2027" s="2" t="str">
        <f t="shared" si="30"/>
        <v>Error?</v>
      </c>
    </row>
    <row r="2028" spans="1:4" x14ac:dyDescent="0.2">
      <c r="A2028" s="5">
        <v>1967</v>
      </c>
      <c r="B2028" s="137">
        <f>'Cap Outlay Deprec 26'!F10</f>
        <v>94743</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1745567</v>
      </c>
      <c r="C2030" s="2" t="s">
        <v>594</v>
      </c>
      <c r="D2030" s="2" t="str">
        <f t="shared" si="30"/>
        <v>Error?</v>
      </c>
    </row>
    <row r="2031" spans="1:4" x14ac:dyDescent="0.2">
      <c r="A2031" s="5">
        <v>1970</v>
      </c>
      <c r="B2031" s="137">
        <f>'Cap Outlay Deprec 26'!F16</f>
        <v>5542342</v>
      </c>
      <c r="C2031" s="2" t="s">
        <v>594</v>
      </c>
      <c r="D2031" s="2" t="str">
        <f t="shared" si="30"/>
        <v>Error?</v>
      </c>
    </row>
    <row r="2032" spans="1:4" x14ac:dyDescent="0.2">
      <c r="A2032" s="10">
        <v>1971</v>
      </c>
      <c r="D2032" s="2" t="str">
        <f t="shared" si="30"/>
        <v>OK</v>
      </c>
    </row>
    <row r="2033" spans="1:4" x14ac:dyDescent="0.2">
      <c r="A2033" s="5">
        <v>1972</v>
      </c>
      <c r="B2033" s="137">
        <f>'Cap Outlay Deprec 26'!H8</f>
        <v>1753609</v>
      </c>
      <c r="D2033" s="2" t="str">
        <f t="shared" si="30"/>
        <v>Error?</v>
      </c>
    </row>
    <row r="2034" spans="1:4" x14ac:dyDescent="0.2">
      <c r="A2034" s="5">
        <v>1973</v>
      </c>
      <c r="B2034" s="137">
        <f>'Cap Outlay Deprec 26'!H10</f>
        <v>93075</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956941</v>
      </c>
      <c r="D2036" s="2" t="str">
        <f t="shared" si="30"/>
        <v>Error?</v>
      </c>
    </row>
    <row r="2037" spans="1:4" x14ac:dyDescent="0.2">
      <c r="A2037" s="5">
        <v>1976</v>
      </c>
      <c r="B2037" s="137">
        <f>'Cap Outlay Deprec 26'!H16</f>
        <v>2803625</v>
      </c>
      <c r="C2037" s="2" t="s">
        <v>594</v>
      </c>
      <c r="D2037" s="2" t="str">
        <f t="shared" si="30"/>
        <v>Error?</v>
      </c>
    </row>
    <row r="2038" spans="1:4" x14ac:dyDescent="0.2">
      <c r="A2038" s="10">
        <v>1977</v>
      </c>
      <c r="D2038" s="2" t="str">
        <f t="shared" si="30"/>
        <v>OK</v>
      </c>
    </row>
    <row r="2039" spans="1:4" x14ac:dyDescent="0.2">
      <c r="A2039" s="5">
        <v>1978</v>
      </c>
      <c r="B2039" s="137">
        <f>'Cap Outlay Deprec 26'!I8</f>
        <v>77422</v>
      </c>
      <c r="D2039" s="2" t="str">
        <f t="shared" si="30"/>
        <v>Error?</v>
      </c>
    </row>
    <row r="2040" spans="1:4" x14ac:dyDescent="0.2">
      <c r="A2040" s="5">
        <v>1979</v>
      </c>
      <c r="B2040" s="137">
        <f>'Cap Outlay Deprec 26'!I10</f>
        <v>182</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179748</v>
      </c>
      <c r="D2042" s="2" t="str">
        <f t="shared" si="30"/>
        <v>Error?</v>
      </c>
    </row>
    <row r="2043" spans="1:4" x14ac:dyDescent="0.2">
      <c r="A2043" s="5">
        <v>1982</v>
      </c>
      <c r="B2043" s="137">
        <f>'Cap Outlay Deprec 26'!I16</f>
        <v>257352</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20572</v>
      </c>
      <c r="D2048" s="2" t="str">
        <f t="shared" si="31"/>
        <v>Error?</v>
      </c>
    </row>
    <row r="2049" spans="1:4" x14ac:dyDescent="0.2">
      <c r="A2049" s="5">
        <v>1988</v>
      </c>
      <c r="B2049" s="137">
        <f>'Cap Outlay Deprec 26'!J16</f>
        <v>20572</v>
      </c>
      <c r="C2049" s="2" t="s">
        <v>594</v>
      </c>
      <c r="D2049" s="2" t="str">
        <f t="shared" si="31"/>
        <v>Error?</v>
      </c>
    </row>
    <row r="2050" spans="1:4" x14ac:dyDescent="0.2">
      <c r="A2050" s="10">
        <v>1989</v>
      </c>
      <c r="D2050" s="2" t="str">
        <f t="shared" si="31"/>
        <v>OK</v>
      </c>
    </row>
    <row r="2051" spans="1:4" x14ac:dyDescent="0.2">
      <c r="A2051" s="5">
        <v>1990</v>
      </c>
      <c r="B2051" s="137">
        <f>'Cap Outlay Deprec 26'!K8</f>
        <v>1831031</v>
      </c>
      <c r="C2051" s="2" t="s">
        <v>594</v>
      </c>
      <c r="D2051" s="2" t="str">
        <f t="shared" si="31"/>
        <v>Error?</v>
      </c>
    </row>
    <row r="2052" spans="1:4" x14ac:dyDescent="0.2">
      <c r="A2052" s="5">
        <v>1991</v>
      </c>
      <c r="B2052" s="137">
        <f>'Cap Outlay Deprec 26'!K10</f>
        <v>93257</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1116117</v>
      </c>
      <c r="C2054" s="2" t="s">
        <v>594</v>
      </c>
      <c r="D2054" s="2" t="str">
        <f t="shared" si="31"/>
        <v>Error?</v>
      </c>
    </row>
    <row r="2055" spans="1:4" x14ac:dyDescent="0.2">
      <c r="A2055" s="5">
        <v>1994</v>
      </c>
      <c r="B2055" s="137">
        <f>'Cap Outlay Deprec 26'!K16</f>
        <v>3040405</v>
      </c>
      <c r="C2055" s="2" t="s">
        <v>594</v>
      </c>
      <c r="D2055" s="2" t="str">
        <f t="shared" si="31"/>
        <v>Error?</v>
      </c>
    </row>
    <row r="2056" spans="1:4" x14ac:dyDescent="0.2">
      <c r="A2056" s="5">
        <v>1995</v>
      </c>
      <c r="B2056" s="137">
        <f>'Cap Outlay Deprec 26'!L5</f>
        <v>264189</v>
      </c>
      <c r="C2056" s="2" t="s">
        <v>594</v>
      </c>
      <c r="D2056" s="2" t="str">
        <f t="shared" si="31"/>
        <v>Error?</v>
      </c>
    </row>
    <row r="2057" spans="1:4" x14ac:dyDescent="0.2">
      <c r="A2057" s="5">
        <v>1996</v>
      </c>
      <c r="B2057" s="137">
        <f>'Cap Outlay Deprec 26'!L8</f>
        <v>1606812</v>
      </c>
      <c r="C2057" s="2" t="s">
        <v>594</v>
      </c>
      <c r="D2057" s="2" t="str">
        <f t="shared" si="31"/>
        <v>Error?</v>
      </c>
    </row>
    <row r="2058" spans="1:4" x14ac:dyDescent="0.2">
      <c r="A2058" s="5">
        <v>1997</v>
      </c>
      <c r="B2058" s="137">
        <f>'Cap Outlay Deprec 26'!L10</f>
        <v>1486</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629450</v>
      </c>
      <c r="C2060" s="2" t="s">
        <v>594</v>
      </c>
      <c r="D2060" s="2" t="str">
        <f t="shared" si="31"/>
        <v>Error?</v>
      </c>
    </row>
    <row r="2061" spans="1:4" x14ac:dyDescent="0.2">
      <c r="A2061" s="5">
        <v>2000</v>
      </c>
      <c r="B2061" s="137">
        <f>'Cap Outlay Deprec 26'!L16</f>
        <v>2501937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178966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519802</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400000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5356480</v>
      </c>
      <c r="C2551" s="2" t="s">
        <v>594</v>
      </c>
      <c r="D2551" s="2" t="str">
        <f t="shared" si="38"/>
        <v>Error?</v>
      </c>
    </row>
    <row r="2552" spans="1:4" x14ac:dyDescent="0.2">
      <c r="A2552" s="10">
        <v>2491</v>
      </c>
      <c r="D2552" s="2" t="str">
        <f t="shared" si="38"/>
        <v>OK</v>
      </c>
    </row>
    <row r="2553" spans="1:4" x14ac:dyDescent="0.2">
      <c r="A2553" s="5">
        <v>2492</v>
      </c>
      <c r="B2553" s="137">
        <f>'Acct Summary 7-8'!C6</f>
        <v>595539</v>
      </c>
      <c r="C2553" s="2" t="s">
        <v>594</v>
      </c>
      <c r="D2553" s="2" t="str">
        <f t="shared" si="38"/>
        <v>Error?</v>
      </c>
    </row>
    <row r="2554" spans="1:4" x14ac:dyDescent="0.2">
      <c r="A2554" s="5">
        <v>2493</v>
      </c>
      <c r="B2554" s="137">
        <f>'Acct Summary 7-8'!C7</f>
        <v>298303</v>
      </c>
      <c r="C2554" s="2" t="s">
        <v>594</v>
      </c>
      <c r="D2554" s="2" t="str">
        <f t="shared" si="38"/>
        <v>Error?</v>
      </c>
    </row>
    <row r="2555" spans="1:4" x14ac:dyDescent="0.2">
      <c r="A2555" s="5">
        <v>2494</v>
      </c>
      <c r="B2555" s="137">
        <f>'Acct Summary 7-8'!C8</f>
        <v>6250322</v>
      </c>
      <c r="C2555" s="2" t="s">
        <v>594</v>
      </c>
      <c r="D2555" s="2" t="str">
        <f t="shared" si="38"/>
        <v>Error?</v>
      </c>
    </row>
    <row r="2556" spans="1:4" x14ac:dyDescent="0.2">
      <c r="A2556" s="5">
        <v>2495</v>
      </c>
      <c r="B2556" s="137">
        <f>'Acct Summary 7-8'!C12</f>
        <v>4034184</v>
      </c>
      <c r="C2556" s="2" t="s">
        <v>594</v>
      </c>
      <c r="D2556" s="2" t="str">
        <f t="shared" si="38"/>
        <v>Error?</v>
      </c>
    </row>
    <row r="2557" spans="1:4" x14ac:dyDescent="0.2">
      <c r="A2557" s="5">
        <v>2496</v>
      </c>
      <c r="B2557" s="137">
        <f>'Acct Summary 7-8'!C13</f>
        <v>1493653</v>
      </c>
      <c r="C2557" s="2" t="s">
        <v>594</v>
      </c>
      <c r="D2557" s="2" t="str">
        <f t="shared" si="38"/>
        <v>Error?</v>
      </c>
    </row>
    <row r="2558" spans="1:4" x14ac:dyDescent="0.2">
      <c r="A2558" s="5">
        <v>2497</v>
      </c>
      <c r="B2558" s="137">
        <f>'Acct Summary 7-8'!C14</f>
        <v>46959</v>
      </c>
      <c r="C2558" s="2" t="s">
        <v>594</v>
      </c>
      <c r="D2558" s="2" t="str">
        <f t="shared" si="38"/>
        <v>Error?</v>
      </c>
    </row>
    <row r="2559" spans="1:4" x14ac:dyDescent="0.2">
      <c r="A2559" s="5">
        <v>2498</v>
      </c>
      <c r="B2559" s="137">
        <f>'Acct Summary 7-8'!C15</f>
        <v>519802</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6094598</v>
      </c>
      <c r="C2561" s="2" t="s">
        <v>594</v>
      </c>
      <c r="D2561" s="2" t="str">
        <f t="shared" si="39"/>
        <v>Error?</v>
      </c>
    </row>
    <row r="2562" spans="1:4" x14ac:dyDescent="0.2">
      <c r="A2562" s="5">
        <v>2501</v>
      </c>
      <c r="B2562" s="137">
        <f>'Acct Summary 7-8'!C20</f>
        <v>155724</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638652</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638652</v>
      </c>
      <c r="C2568" s="2" t="s">
        <v>594</v>
      </c>
      <c r="D2568" s="2" t="str">
        <f t="shared" si="39"/>
        <v>Error?</v>
      </c>
    </row>
    <row r="2569" spans="1:4" x14ac:dyDescent="0.2">
      <c r="A2569" s="5">
        <v>2508</v>
      </c>
      <c r="B2569" s="137">
        <f>'Acct Summary 7-8'!D13</f>
        <v>567300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567300</v>
      </c>
      <c r="C2573" s="2" t="s">
        <v>594</v>
      </c>
      <c r="D2573" s="2" t="str">
        <f t="shared" si="39"/>
        <v>Error?</v>
      </c>
    </row>
    <row r="2574" spans="1:4" x14ac:dyDescent="0.2">
      <c r="A2574" s="5">
        <v>2513</v>
      </c>
      <c r="B2574" s="137">
        <f>'Acct Summary 7-8'!D20</f>
        <v>71352</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53224</v>
      </c>
      <c r="C2591" s="2" t="s">
        <v>594</v>
      </c>
      <c r="D2591" s="2" t="str">
        <f t="shared" si="39"/>
        <v>Error?</v>
      </c>
    </row>
    <row r="2592" spans="1:4" x14ac:dyDescent="0.2">
      <c r="A2592" s="10">
        <v>2531</v>
      </c>
      <c r="D2592" s="2" t="str">
        <f t="shared" si="39"/>
        <v>OK</v>
      </c>
    </row>
    <row r="2593" spans="1:4" x14ac:dyDescent="0.2">
      <c r="A2593" s="5">
        <v>2532</v>
      </c>
      <c r="B2593" s="137">
        <f>'Acct Summary 7-8'!F6</f>
        <v>40200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93424</v>
      </c>
      <c r="C2595" s="2" t="s">
        <v>594</v>
      </c>
      <c r="D2595" s="2" t="str">
        <f t="shared" si="39"/>
        <v>Error?</v>
      </c>
    </row>
    <row r="2596" spans="1:4" x14ac:dyDescent="0.2">
      <c r="A2596" s="5">
        <v>2535</v>
      </c>
      <c r="B2596" s="137">
        <f>'Acct Summary 7-8'!F13</f>
        <v>115138</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115138</v>
      </c>
      <c r="C2600" s="2" t="s">
        <v>594</v>
      </c>
      <c r="D2600" s="2" t="str">
        <f t="shared" si="39"/>
        <v>Error?</v>
      </c>
    </row>
    <row r="2601" spans="1:4" x14ac:dyDescent="0.2">
      <c r="A2601" s="5">
        <v>2540</v>
      </c>
      <c r="B2601" s="137">
        <f>'Acct Summary 7-8'!F20</f>
        <v>-21714</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157922</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157922</v>
      </c>
      <c r="C2606" s="2" t="s">
        <v>594</v>
      </c>
      <c r="D2606" s="2" t="str">
        <f t="shared" si="39"/>
        <v>Error?</v>
      </c>
    </row>
    <row r="2607" spans="1:4" x14ac:dyDescent="0.2">
      <c r="A2607" s="5">
        <v>2546</v>
      </c>
      <c r="B2607" s="137">
        <f>'Acct Summary 7-8'!G12</f>
        <v>108823</v>
      </c>
      <c r="C2607" s="2" t="s">
        <v>594</v>
      </c>
      <c r="D2607" s="2" t="str">
        <f t="shared" si="39"/>
        <v>Error?</v>
      </c>
    </row>
    <row r="2608" spans="1:4" x14ac:dyDescent="0.2">
      <c r="A2608" s="5">
        <v>2547</v>
      </c>
      <c r="B2608" s="137">
        <f>'Acct Summary 7-8'!G13</f>
        <v>83892</v>
      </c>
      <c r="C2608" s="2" t="s">
        <v>594</v>
      </c>
      <c r="D2608" s="2" t="str">
        <f t="shared" si="39"/>
        <v>Error?</v>
      </c>
    </row>
    <row r="2609" spans="1:4" x14ac:dyDescent="0.2">
      <c r="A2609" s="5">
        <v>2548</v>
      </c>
      <c r="B2609" s="137">
        <f>'Acct Summary 7-8'!G14</f>
        <v>7731</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200446</v>
      </c>
      <c r="C2612" s="2" t="s">
        <v>594</v>
      </c>
      <c r="D2612" s="2" t="str">
        <f t="shared" si="39"/>
        <v>Error?</v>
      </c>
    </row>
    <row r="2613" spans="1:4" x14ac:dyDescent="0.2">
      <c r="A2613" s="5">
        <v>2552</v>
      </c>
      <c r="B2613" s="137">
        <f>'Acct Summary 7-8'!G20</f>
        <v>-42524</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458762</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458762</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540644</v>
      </c>
      <c r="C2634" s="2" t="s">
        <v>594</v>
      </c>
      <c r="D2634" s="2" t="str">
        <f t="shared" si="40"/>
        <v>Error?</v>
      </c>
    </row>
    <row r="2635" spans="1:4" x14ac:dyDescent="0.2">
      <c r="A2635" s="5">
        <v>2574</v>
      </c>
      <c r="B2635" s="137">
        <f>'Acct Summary 7-8'!E17</f>
        <v>540644</v>
      </c>
      <c r="C2635" s="2" t="s">
        <v>594</v>
      </c>
      <c r="D2635" s="2" t="str">
        <f t="shared" si="40"/>
        <v>Error?</v>
      </c>
    </row>
    <row r="2636" spans="1:4" x14ac:dyDescent="0.2">
      <c r="A2636" s="5">
        <v>2575</v>
      </c>
      <c r="B2636" s="137">
        <f>'Acct Summary 7-8'!E20</f>
        <v>-81882</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340836</v>
      </c>
      <c r="C2789" s="2" t="s">
        <v>594</v>
      </c>
      <c r="D2789" s="2" t="str">
        <f t="shared" si="42"/>
        <v>Error?</v>
      </c>
    </row>
    <row r="2790" spans="1:4" x14ac:dyDescent="0.2">
      <c r="A2790" s="5">
        <v>2729</v>
      </c>
      <c r="B2790" s="137">
        <f>'Expenditures 15-22'!E102</f>
        <v>340836</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627416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21927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627416</v>
      </c>
      <c r="D2912" s="2" t="str">
        <f t="shared" si="44"/>
        <v>Error?</v>
      </c>
    </row>
    <row r="2913" spans="1:4" x14ac:dyDescent="0.2">
      <c r="A2913" s="5">
        <v>2852</v>
      </c>
      <c r="B2913" s="137">
        <f>'Assets-Liab 5-6'!I41</f>
        <v>627416</v>
      </c>
      <c r="C2913" s="2" t="s">
        <v>594</v>
      </c>
      <c r="D2913" s="2" t="str">
        <f t="shared" si="44"/>
        <v>Error?</v>
      </c>
    </row>
    <row r="2914" spans="1:4" x14ac:dyDescent="0.2">
      <c r="A2914" s="5">
        <v>2853</v>
      </c>
      <c r="B2914" s="137">
        <f>'Assets-Liab 5-6'!L33</f>
        <v>21927</v>
      </c>
      <c r="D2914" s="2" t="str">
        <f t="shared" si="44"/>
        <v>Error?</v>
      </c>
    </row>
    <row r="2915" spans="1:4" x14ac:dyDescent="0.2">
      <c r="A2915" s="10">
        <v>2854</v>
      </c>
      <c r="D2915" s="2" t="str">
        <f t="shared" si="44"/>
        <v>OK</v>
      </c>
    </row>
    <row r="2916" spans="1:4" x14ac:dyDescent="0.2">
      <c r="A2916" s="5">
        <v>2855</v>
      </c>
      <c r="B2916" s="137">
        <f>'Assets-Liab 5-6'!L34</f>
        <v>21927</v>
      </c>
      <c r="C2916" s="2" t="s">
        <v>594</v>
      </c>
      <c r="D2916" s="2" t="str">
        <f t="shared" si="44"/>
        <v>Error?</v>
      </c>
    </row>
    <row r="2917" spans="1:4" x14ac:dyDescent="0.2">
      <c r="A2917" s="5">
        <v>2856</v>
      </c>
      <c r="B2917" s="137">
        <f>'Assets-Liab 5-6'!L41</f>
        <v>21927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340836</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178966</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519802</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6038</v>
      </c>
      <c r="C3225" s="2" t="s">
        <v>594</v>
      </c>
      <c r="D3225" s="2" t="str">
        <f t="shared" si="49"/>
        <v>Error?</v>
      </c>
    </row>
    <row r="3226" spans="1:4" x14ac:dyDescent="0.2">
      <c r="A3226" s="5">
        <v>3165</v>
      </c>
      <c r="B3226" s="137">
        <f>'Acct Summary 7-8'!I8</f>
        <v>6038</v>
      </c>
      <c r="C3226" s="2" t="s">
        <v>594</v>
      </c>
      <c r="D3226" s="2" t="str">
        <f t="shared" si="49"/>
        <v>Error?</v>
      </c>
    </row>
    <row r="3227" spans="1:4" x14ac:dyDescent="0.2">
      <c r="A3227" s="5">
        <v>3166</v>
      </c>
      <c r="B3227" s="137">
        <f>'Acct Summary 7-8'!I20</f>
        <v>6038</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442828</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122353</v>
      </c>
      <c r="C3231" s="2" t="s">
        <v>594</v>
      </c>
      <c r="D3231" s="2" t="str">
        <f t="shared" si="49"/>
        <v>Error?</v>
      </c>
    </row>
    <row r="3232" spans="1:4" x14ac:dyDescent="0.2">
      <c r="A3232" s="5">
        <v>3171</v>
      </c>
      <c r="B3232" s="137">
        <f>'Acct Summary 7-8'!C77</f>
        <v>320475</v>
      </c>
      <c r="C3232" s="2" t="s">
        <v>594</v>
      </c>
      <c r="D3232" s="2" t="str">
        <f t="shared" si="49"/>
        <v>Error?</v>
      </c>
    </row>
    <row r="3233" spans="1:4" x14ac:dyDescent="0.2">
      <c r="A3233" s="5">
        <v>3172</v>
      </c>
      <c r="B3233" s="137">
        <f>'Acct Summary 7-8'!C78</f>
        <v>476199</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71352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-21714</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-42524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122353</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122353</v>
      </c>
      <c r="C3277" s="2" t="s">
        <v>594</v>
      </c>
      <c r="D3277" s="2" t="str">
        <f t="shared" si="50"/>
        <v>Error?</v>
      </c>
    </row>
    <row r="3278" spans="1:4" x14ac:dyDescent="0.2">
      <c r="A3278" s="5">
        <v>3217</v>
      </c>
      <c r="B3278" s="137">
        <f>'Acct Summary 7-8'!E78</f>
        <v>40471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400000</v>
      </c>
      <c r="C3318" s="2" t="s">
        <v>594</v>
      </c>
      <c r="D3318" s="2" t="str">
        <f t="shared" si="50"/>
        <v>Error?</v>
      </c>
    </row>
    <row r="3319" spans="1:4" x14ac:dyDescent="0.2">
      <c r="A3319" s="5">
        <v>3258</v>
      </c>
      <c r="B3319" s="137">
        <f>'Acct Summary 7-8'!I77</f>
        <v>-400000</v>
      </c>
      <c r="C3319" s="2" t="s">
        <v>594</v>
      </c>
      <c r="D3319" s="2" t="str">
        <f t="shared" si="50"/>
        <v>Error?</v>
      </c>
    </row>
    <row r="3320" spans="1:4" x14ac:dyDescent="0.2">
      <c r="A3320" s="5">
        <v>3259</v>
      </c>
      <c r="B3320" s="137">
        <f>'Acct Summary 7-8'!I78</f>
        <v>-393962</v>
      </c>
      <c r="C3320" s="2" t="s">
        <v>594</v>
      </c>
      <c r="D3320" s="2" t="str">
        <f t="shared" si="50"/>
        <v>Error?</v>
      </c>
    </row>
    <row r="3321" spans="1:4" x14ac:dyDescent="0.2">
      <c r="A3321" s="5">
        <v>3260</v>
      </c>
      <c r="B3321" s="137">
        <f>'Acct Summary 7-8'!I79</f>
        <v>1021378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627416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756439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129182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4105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3167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1017</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893910</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36184</v>
      </c>
      <c r="D3387" s="2" t="str">
        <f t="shared" si="51"/>
        <v>Error?</v>
      </c>
    </row>
    <row r="3388" spans="1:4" x14ac:dyDescent="0.2">
      <c r="A3388" s="5">
        <v>3327</v>
      </c>
      <c r="B3388" s="137">
        <f>'Expenditures 15-22'!D217</f>
        <v>66014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36184</v>
      </c>
      <c r="C3390" s="2" t="s">
        <v>594</v>
      </c>
      <c r="D3390" s="2" t="str">
        <f t="shared" si="51"/>
        <v>Error?</v>
      </c>
    </row>
    <row r="3391" spans="1:4" x14ac:dyDescent="0.2">
      <c r="A3391" s="5">
        <v>3330</v>
      </c>
      <c r="B3391" s="137">
        <f>'Expenditures 15-22'!K217</f>
        <v>66014</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888041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278263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478562</v>
      </c>
      <c r="D3417" s="2" t="str">
        <f t="shared" si="52"/>
        <v>Error?</v>
      </c>
    </row>
    <row r="3418" spans="1:4" x14ac:dyDescent="0.2">
      <c r="A3418" s="10">
        <v>3357</v>
      </c>
      <c r="D3418" s="2" t="str">
        <f t="shared" si="52"/>
        <v>OK</v>
      </c>
    </row>
    <row r="3419" spans="1:4" x14ac:dyDescent="0.2">
      <c r="A3419" s="5">
        <v>3358</v>
      </c>
      <c r="B3419" s="137">
        <f>'Assets-Liab 5-6'!F4</f>
        <v>178339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77400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627416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21927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0</v>
      </c>
      <c r="C3446" s="2" t="s">
        <v>594</v>
      </c>
      <c r="D3446" s="2" t="str">
        <f t="shared" si="52"/>
        <v>Error?</v>
      </c>
    </row>
    <row r="3447" spans="1:4" x14ac:dyDescent="0.2">
      <c r="A3447" s="5">
        <v>3386</v>
      </c>
      <c r="B3447" s="137">
        <f>'Tax Sched 23'!D16</f>
        <v>0</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1400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1400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1400</v>
      </c>
      <c r="D3567" s="2" t="str">
        <f t="shared" si="54"/>
        <v>Error?</v>
      </c>
    </row>
    <row r="3568" spans="1:4" x14ac:dyDescent="0.2">
      <c r="A3568" s="5">
        <v>3507</v>
      </c>
      <c r="B3568" s="137">
        <f>'Assets-Liab 5-6'!K41</f>
        <v>1400</v>
      </c>
      <c r="C3568" s="2" t="s">
        <v>594</v>
      </c>
      <c r="D3568" s="2" t="str">
        <f t="shared" si="54"/>
        <v>Error?</v>
      </c>
    </row>
    <row r="3569" spans="1:4" x14ac:dyDescent="0.2">
      <c r="A3569" s="5">
        <v>3508</v>
      </c>
      <c r="B3569" s="137">
        <f>'Acct Summary 7-8'!K4</f>
        <v>13</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13</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13</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13</v>
      </c>
      <c r="C3588" s="2" t="s">
        <v>594</v>
      </c>
      <c r="D3588" s="2" t="str">
        <f t="shared" si="55"/>
        <v>Error?</v>
      </c>
    </row>
    <row r="3589" spans="1:4" x14ac:dyDescent="0.2">
      <c r="A3589" s="5">
        <v>3528</v>
      </c>
      <c r="B3589" s="137">
        <f>'Acct Summary 7-8'!K79</f>
        <v>1387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1400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13</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152423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2367107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8617429</v>
      </c>
      <c r="C4122" s="2" t="s">
        <v>594</v>
      </c>
      <c r="D4122" s="2" t="str">
        <f t="shared" si="63"/>
        <v>Error?</v>
      </c>
    </row>
    <row r="4123" spans="1:4" x14ac:dyDescent="0.2">
      <c r="A4123" s="5">
        <v>4062</v>
      </c>
      <c r="B4123" s="137">
        <f>'Acct Summary 7-8'!D10</f>
        <v>638652</v>
      </c>
      <c r="C4123" s="2" t="s">
        <v>594</v>
      </c>
      <c r="D4123" s="2" t="str">
        <f t="shared" si="63"/>
        <v>Error?</v>
      </c>
    </row>
    <row r="4124" spans="1:4" x14ac:dyDescent="0.2">
      <c r="A4124" s="5">
        <v>4063</v>
      </c>
      <c r="B4124" s="137">
        <f>'Acct Summary 7-8'!E10</f>
        <v>458762</v>
      </c>
      <c r="C4124" s="2" t="s">
        <v>594</v>
      </c>
      <c r="D4124" s="2" t="str">
        <f t="shared" si="63"/>
        <v>Error?</v>
      </c>
    </row>
    <row r="4125" spans="1:4" x14ac:dyDescent="0.2">
      <c r="A4125" s="5">
        <v>4064</v>
      </c>
      <c r="B4125" s="137">
        <f>'Acct Summary 7-8'!F10</f>
        <v>93424</v>
      </c>
      <c r="C4125" s="2" t="s">
        <v>594</v>
      </c>
      <c r="D4125" s="2" t="str">
        <f t="shared" si="63"/>
        <v>Error?</v>
      </c>
    </row>
    <row r="4126" spans="1:4" x14ac:dyDescent="0.2">
      <c r="A4126" s="5">
        <v>4065</v>
      </c>
      <c r="B4126" s="137">
        <f>'Acct Summary 7-8'!G10</f>
        <v>157922</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6038</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13</v>
      </c>
      <c r="C4130" s="2" t="s">
        <v>594</v>
      </c>
      <c r="D4130" s="2" t="str">
        <f t="shared" si="63"/>
        <v>Error?</v>
      </c>
    </row>
    <row r="4131" spans="1:4" x14ac:dyDescent="0.2">
      <c r="A4131" s="5">
        <v>4070</v>
      </c>
      <c r="B4131" s="137">
        <f>'Acct Summary 7-8'!C18</f>
        <v>2367107</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8461705</v>
      </c>
      <c r="C4136" s="2" t="s">
        <v>594</v>
      </c>
      <c r="D4136" s="2" t="str">
        <f t="shared" si="63"/>
        <v>Error?</v>
      </c>
    </row>
    <row r="4137" spans="1:4" x14ac:dyDescent="0.2">
      <c r="A4137" s="5">
        <v>4076</v>
      </c>
      <c r="B4137" s="137">
        <f>'Acct Summary 7-8'!D19</f>
        <v>567300</v>
      </c>
      <c r="C4137" s="2" t="s">
        <v>594</v>
      </c>
      <c r="D4137" s="2" t="str">
        <f t="shared" si="63"/>
        <v>Error?</v>
      </c>
    </row>
    <row r="4138" spans="1:4" x14ac:dyDescent="0.2">
      <c r="A4138" s="5">
        <v>4077</v>
      </c>
      <c r="B4138" s="137">
        <f>'Acct Summary 7-8'!E19</f>
        <v>540644</v>
      </c>
      <c r="C4138" s="2" t="s">
        <v>594</v>
      </c>
      <c r="D4138" s="2" t="str">
        <f t="shared" si="63"/>
        <v>Error?</v>
      </c>
    </row>
    <row r="4139" spans="1:4" x14ac:dyDescent="0.2">
      <c r="A4139" s="5">
        <v>4078</v>
      </c>
      <c r="B4139" s="137">
        <f>'Acct Summary 7-8'!F19</f>
        <v>115138</v>
      </c>
      <c r="C4139" s="2" t="s">
        <v>594</v>
      </c>
      <c r="D4139" s="2" t="str">
        <f t="shared" si="63"/>
        <v>Error?</v>
      </c>
    </row>
    <row r="4140" spans="1:4" x14ac:dyDescent="0.2">
      <c r="A4140" s="5">
        <v>4079</v>
      </c>
      <c r="B4140" s="137">
        <f>'Acct Summary 7-8'!G19</f>
        <v>200446</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5130022</v>
      </c>
      <c r="C4171" s="2" t="s">
        <v>594</v>
      </c>
      <c r="D4171" s="2" t="str">
        <f t="shared" si="64"/>
        <v>Error?</v>
      </c>
    </row>
    <row r="4172" spans="1:4" x14ac:dyDescent="0.2">
      <c r="A4172" s="5">
        <v>4111</v>
      </c>
      <c r="B4172" s="137">
        <f>'Short-Term Long-Term Debt 24'!J49</f>
        <v>4459645</v>
      </c>
      <c r="C4172" s="2" t="s">
        <v>594</v>
      </c>
      <c r="D4172" s="2" t="str">
        <f t="shared" si="64"/>
        <v>Error?</v>
      </c>
    </row>
    <row r="4173" spans="1:4" x14ac:dyDescent="0.2">
      <c r="A4173" s="5">
        <v>4112</v>
      </c>
      <c r="B4173" s="137">
        <f>'Short-Term Long-Term Debt 24'!H49</f>
        <v>312053</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2320</v>
      </c>
      <c r="C4265" s="2" t="s">
        <v>594</v>
      </c>
      <c r="D4265" s="2" t="str">
        <f t="shared" si="65"/>
        <v>Error?</v>
      </c>
      <c r="E4265" s="127"/>
    </row>
    <row r="4266" spans="1:5" x14ac:dyDescent="0.2">
      <c r="A4266" s="12">
        <v>4205</v>
      </c>
      <c r="B4266" s="137">
        <f>('FP Info 3'!F10)*100000</f>
        <v>273.2</v>
      </c>
      <c r="C4266" s="2" t="s">
        <v>594</v>
      </c>
      <c r="D4266" s="2" t="str">
        <f t="shared" si="65"/>
        <v>Error?</v>
      </c>
      <c r="E4266" s="127"/>
    </row>
    <row r="4267" spans="1:5" x14ac:dyDescent="0.2">
      <c r="A4267" s="12">
        <v>4206</v>
      </c>
      <c r="B4267" s="137">
        <f>('FP Info 3'!H10)*100000</f>
        <v>28.3</v>
      </c>
      <c r="C4267" s="2" t="s">
        <v>594</v>
      </c>
      <c r="D4267" s="2" t="str">
        <f t="shared" si="65"/>
        <v>Error?</v>
      </c>
      <c r="E4267" s="127"/>
    </row>
    <row r="4268" spans="1:5" x14ac:dyDescent="0.2">
      <c r="A4268" s="12">
        <v>4207</v>
      </c>
      <c r="B4268" s="137">
        <f>('FP Info 3'!J10)*100000</f>
        <v>2622</v>
      </c>
      <c r="C4268" s="2" t="s">
        <v>594</v>
      </c>
      <c r="D4268" s="2" t="str">
        <f t="shared" si="65"/>
        <v>Error?</v>
      </c>
    </row>
    <row r="4269" spans="1:5" x14ac:dyDescent="0.2">
      <c r="A4269" s="12">
        <v>4208</v>
      </c>
      <c r="B4269" s="137">
        <f>'FP Info 3'!J16</f>
        <v>3621354</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34790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38903</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9398</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6577</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14711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168944806</v>
      </c>
      <c r="D4995" s="2" t="str">
        <f t="shared" si="77"/>
        <v>Error?</v>
      </c>
    </row>
    <row r="4996" spans="1:4" x14ac:dyDescent="0.2">
      <c r="A4996" s="12">
        <v>4935</v>
      </c>
      <c r="B4996" s="137">
        <f>'FP Info 3'!H31</f>
        <v>11657191.614</v>
      </c>
      <c r="D4996" s="2" t="str">
        <f t="shared" si="77"/>
        <v>Error?</v>
      </c>
    </row>
    <row r="4997" spans="1:4" x14ac:dyDescent="0.2">
      <c r="A4997" s="12">
        <v>4936</v>
      </c>
      <c r="B4997" s="137">
        <f>'FP Info 3'!H37</f>
        <v>5130022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3790921</v>
      </c>
      <c r="D5061" s="2" t="str">
        <f t="shared" si="78"/>
        <v>Error?</v>
      </c>
    </row>
    <row r="5062" spans="1:4" x14ac:dyDescent="0.2">
      <c r="A5062" s="10">
        <v>5001</v>
      </c>
      <c r="D5062" s="2" t="str">
        <f t="shared" si="78"/>
        <v>OK</v>
      </c>
    </row>
    <row r="5063" spans="1:4" x14ac:dyDescent="0.2">
      <c r="A5063" s="5">
        <v>5002</v>
      </c>
      <c r="B5063" s="137">
        <f>'Revenues 9-14'!C7</f>
        <v>411933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4202854</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404746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404746</v>
      </c>
      <c r="C5071" s="2" t="s">
        <v>594</v>
      </c>
      <c r="D5071" s="2" t="str">
        <f t="shared" si="78"/>
        <v>Error?</v>
      </c>
    </row>
    <row r="5072" spans="1:4" x14ac:dyDescent="0.2">
      <c r="A5072" s="5">
        <v>5011</v>
      </c>
      <c r="B5072" s="137">
        <f>'Revenues 9-14'!C20</f>
        <v>91534</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11911</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17082</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120527</v>
      </c>
      <c r="C5087" s="2" t="s">
        <v>594</v>
      </c>
      <c r="D5087" s="2" t="str">
        <f t="shared" si="78"/>
        <v>Error?</v>
      </c>
    </row>
    <row r="5088" spans="1:4" x14ac:dyDescent="0.2">
      <c r="A5088" s="5">
        <v>5027</v>
      </c>
      <c r="B5088" s="137">
        <f>'Revenues 9-14'!C65</f>
        <v>10564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10564</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54758</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11880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11880</v>
      </c>
      <c r="C5102" s="2" t="s">
        <v>594</v>
      </c>
      <c r="D5102" s="2" t="str">
        <f t="shared" si="78"/>
        <v>Error?</v>
      </c>
    </row>
    <row r="5103" spans="1:4" x14ac:dyDescent="0.2">
      <c r="A5103" s="5">
        <v>5042</v>
      </c>
      <c r="B5103" s="137">
        <f>'Revenues 9-14'!C84</f>
        <v>38073</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15238</v>
      </c>
      <c r="D5111" s="2" t="str">
        <f t="shared" si="78"/>
        <v>Error?</v>
      </c>
    </row>
    <row r="5112" spans="1:4" x14ac:dyDescent="0.2">
      <c r="A5112" s="5">
        <v>5051</v>
      </c>
      <c r="B5112" s="137">
        <f>'Revenues 9-14'!C93</f>
        <v>53311</v>
      </c>
      <c r="C5112" s="2" t="s">
        <v>594</v>
      </c>
      <c r="D5112" s="2" t="str">
        <f t="shared" si="78"/>
        <v>Error?</v>
      </c>
    </row>
    <row r="5113" spans="1:4" x14ac:dyDescent="0.2">
      <c r="A5113" s="5">
        <v>5052</v>
      </c>
      <c r="B5113" s="137">
        <f>'Revenues 9-14'!C95</f>
        <v>2899</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24100</v>
      </c>
      <c r="D5119" s="2" t="str">
        <f t="shared" ref="D5119:D5182" si="79">IF(ISBLANK(B5119),"OK",IF(A5119-B5119=0,"OK","Error?"))</f>
        <v>Error?</v>
      </c>
    </row>
    <row r="5120" spans="1:4" x14ac:dyDescent="0.2">
      <c r="A5120" s="5">
        <v>5059</v>
      </c>
      <c r="B5120" s="137">
        <f>'Revenues 9-14'!C108</f>
        <v>497840</v>
      </c>
      <c r="C5120" s="2" t="s">
        <v>594</v>
      </c>
      <c r="D5120" s="2" t="str">
        <f t="shared" si="79"/>
        <v>Error?</v>
      </c>
    </row>
    <row r="5121" spans="1:4" x14ac:dyDescent="0.2">
      <c r="A5121" s="5">
        <v>5060</v>
      </c>
      <c r="B5121" s="137">
        <f>'Revenues 9-14'!C109</f>
        <v>5356480</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493372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493372</v>
      </c>
      <c r="C5132" s="2" t="s">
        <v>594</v>
      </c>
      <c r="D5132" s="2" t="str">
        <f t="shared" si="79"/>
        <v>Error?</v>
      </c>
    </row>
    <row r="5133" spans="1:4" x14ac:dyDescent="0.2">
      <c r="A5133" s="5">
        <v>5072</v>
      </c>
      <c r="B5133" s="137">
        <f>'Revenues 9-14'!C124</f>
        <v>14009</v>
      </c>
      <c r="D5133" s="2" t="str">
        <f t="shared" si="79"/>
        <v>Error?</v>
      </c>
    </row>
    <row r="5134" spans="1:4" x14ac:dyDescent="0.2">
      <c r="A5134" s="5">
        <v>5073</v>
      </c>
      <c r="B5134" s="137">
        <f>'Revenues 9-14'!C125</f>
        <v>5027</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6661</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25697</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15135</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15135</v>
      </c>
      <c r="C5165" s="2" t="s">
        <v>594</v>
      </c>
      <c r="D5165" s="2" t="str">
        <f t="shared" si="79"/>
        <v>Error?</v>
      </c>
    </row>
    <row r="5166" spans="1:4" x14ac:dyDescent="0.2">
      <c r="A5166" s="10">
        <v>5105</v>
      </c>
      <c r="D5166" s="2" t="str">
        <f t="shared" si="79"/>
        <v>OK</v>
      </c>
    </row>
    <row r="5167" spans="1:4" x14ac:dyDescent="0.2">
      <c r="A5167" s="5">
        <v>5106</v>
      </c>
      <c r="B5167" s="137">
        <f>'Revenues 9-14'!C145</f>
        <v>1335</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60000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102167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595539</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99294</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99294</v>
      </c>
      <c r="C5246" s="2" t="s">
        <v>594</v>
      </c>
      <c r="D5246" s="2" t="str">
        <f t="shared" si="80"/>
        <v>Error?</v>
      </c>
    </row>
    <row r="5247" spans="1:4" x14ac:dyDescent="0.2">
      <c r="A5247" s="5">
        <v>5186</v>
      </c>
      <c r="B5247" s="137">
        <f>'Revenues 9-14'!C203</f>
        <v>101965</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101965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46420</v>
      </c>
      <c r="D5278" s="2" t="str">
        <f t="shared" si="81"/>
        <v>Error?</v>
      </c>
    </row>
    <row r="5279" spans="1:4" x14ac:dyDescent="0.2">
      <c r="A5279" s="5">
        <v>5218</v>
      </c>
      <c r="B5279" s="137">
        <f>'Revenues 9-14'!C221</f>
        <v>19938</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66358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298303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298303</v>
      </c>
      <c r="C5326" s="2" t="s">
        <v>594</v>
      </c>
      <c r="D5326" s="2" t="str">
        <f t="shared" si="82"/>
        <v>Error?</v>
      </c>
    </row>
    <row r="5327" spans="1:4" x14ac:dyDescent="0.2">
      <c r="A5327" s="5">
        <v>5266</v>
      </c>
      <c r="B5327" s="137">
        <f>'Revenues 9-14'!C275</f>
        <v>6250322</v>
      </c>
      <c r="C5327" s="2" t="s">
        <v>594</v>
      </c>
      <c r="D5327" s="2" t="str">
        <f t="shared" si="82"/>
        <v>Error?</v>
      </c>
    </row>
    <row r="5328" spans="1:4" x14ac:dyDescent="0.2">
      <c r="A5328" s="5">
        <v>5267</v>
      </c>
      <c r="B5328" s="137">
        <f>'Revenues 9-14'!D5</f>
        <v>446632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446632</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134915</v>
      </c>
      <c r="D5337" s="2" t="str">
        <f t="shared" si="82"/>
        <v>Error?</v>
      </c>
    </row>
    <row r="5338" spans="1:4" x14ac:dyDescent="0.2">
      <c r="A5338" s="5">
        <v>5277</v>
      </c>
      <c r="B5338" s="137">
        <f>'Revenues 9-14'!D17</f>
        <v>0</v>
      </c>
      <c r="D5338" s="2" t="str">
        <f t="shared" si="82"/>
        <v>Error?</v>
      </c>
    </row>
    <row r="5339" spans="1:4" x14ac:dyDescent="0.2">
      <c r="A5339" s="5">
        <v>5278</v>
      </c>
      <c r="B5339" s="137">
        <f>'Revenues 9-14'!D18</f>
        <v>134915</v>
      </c>
      <c r="C5339" s="2" t="s">
        <v>594</v>
      </c>
      <c r="D5339" s="2" t="str">
        <f t="shared" si="82"/>
        <v>Error?</v>
      </c>
    </row>
    <row r="5340" spans="1:4" x14ac:dyDescent="0.2">
      <c r="A5340" s="5">
        <v>5279</v>
      </c>
      <c r="B5340" s="137">
        <f>'Revenues 9-14'!D65</f>
        <v>2220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2220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54885</v>
      </c>
      <c r="C5355" s="2" t="s">
        <v>594</v>
      </c>
      <c r="D5355" s="2" t="str">
        <f t="shared" si="82"/>
        <v>Error?</v>
      </c>
    </row>
    <row r="5356" spans="1:4" x14ac:dyDescent="0.2">
      <c r="A5356" s="5">
        <v>5295</v>
      </c>
      <c r="B5356" s="137">
        <f>'Revenues 9-14'!D109</f>
        <v>638652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638652</v>
      </c>
      <c r="C5508" s="2" t="s">
        <v>594</v>
      </c>
      <c r="D5508" s="2" t="str">
        <f t="shared" si="85"/>
        <v>Error?</v>
      </c>
    </row>
    <row r="5509" spans="1:4" x14ac:dyDescent="0.2">
      <c r="A5509" s="5">
        <v>5448</v>
      </c>
      <c r="B5509" s="137">
        <f>'Revenues 9-14'!E5</f>
        <v>403224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403224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4706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4706</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50832</v>
      </c>
      <c r="C5526" s="2" t="s">
        <v>594</v>
      </c>
      <c r="D5526" s="2" t="str">
        <f t="shared" si="85"/>
        <v>Error?</v>
      </c>
    </row>
    <row r="5527" spans="1:4" x14ac:dyDescent="0.2">
      <c r="A5527" s="5">
        <v>5466</v>
      </c>
      <c r="B5527" s="137">
        <f>'Revenues 9-14'!E109</f>
        <v>458762</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458762</v>
      </c>
      <c r="C5552" s="2" t="s">
        <v>594</v>
      </c>
      <c r="D5552" s="2" t="str">
        <f t="shared" si="85"/>
        <v>Error?</v>
      </c>
    </row>
    <row r="5553" spans="1:4" x14ac:dyDescent="0.2">
      <c r="A5553" s="5">
        <v>5492</v>
      </c>
      <c r="B5553" s="137">
        <f>'Revenues 9-14'!F5</f>
        <v>45601</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45601</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1962</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1962</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5661</v>
      </c>
      <c r="C5587" s="2" t="s">
        <v>594</v>
      </c>
      <c r="D5587" s="2" t="str">
        <f t="shared" si="86"/>
        <v>Error?</v>
      </c>
    </row>
    <row r="5588" spans="1:4" x14ac:dyDescent="0.2">
      <c r="A5588" s="5">
        <v>5527</v>
      </c>
      <c r="B5588" s="137">
        <f>'Revenues 9-14'!F109</f>
        <v>53224</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136</v>
      </c>
      <c r="D5615" s="2" t="str">
        <f t="shared" si="86"/>
        <v>Error?</v>
      </c>
    </row>
    <row r="5616" spans="1:4" x14ac:dyDescent="0.2">
      <c r="A5616" s="10">
        <v>5555</v>
      </c>
      <c r="D5616" s="2" t="str">
        <f t="shared" si="86"/>
        <v>OK</v>
      </c>
    </row>
    <row r="5617" spans="1:4" x14ac:dyDescent="0.2">
      <c r="A5617" s="5">
        <v>5556</v>
      </c>
      <c r="B5617" s="137">
        <f>'Revenues 9-14'!F152</f>
        <v>40064</v>
      </c>
      <c r="D5617" s="2" t="str">
        <f t="shared" si="86"/>
        <v>Error?</v>
      </c>
    </row>
    <row r="5618" spans="1:4" x14ac:dyDescent="0.2">
      <c r="A5618" s="5">
        <v>5557</v>
      </c>
      <c r="B5618" s="137">
        <f>'Revenues 9-14'!F154</f>
        <v>40200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40200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40200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93424</v>
      </c>
      <c r="C5720" s="2" t="s">
        <v>594</v>
      </c>
      <c r="D5720" s="2" t="str">
        <f t="shared" si="88"/>
        <v>Error?</v>
      </c>
    </row>
    <row r="5721" spans="1:4" x14ac:dyDescent="0.2">
      <c r="A5721" s="5">
        <v>5660</v>
      </c>
      <c r="B5721" s="137">
        <f>'Revenues 9-14'!G5</f>
        <v>113269</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113269</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29821</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29821</v>
      </c>
      <c r="C5730" s="2" t="s">
        <v>594</v>
      </c>
      <c r="D5730" s="2" t="str">
        <f t="shared" si="88"/>
        <v>Error?</v>
      </c>
    </row>
    <row r="5731" spans="1:4" x14ac:dyDescent="0.2">
      <c r="A5731" s="5">
        <v>5670</v>
      </c>
      <c r="B5731" s="137">
        <f>'Revenues 9-14'!G65</f>
        <v>1126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1126</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13706</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157922</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-1551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-1551</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7589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7589</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6038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13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13</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13</v>
      </c>
      <c r="C6023" s="2" t="s">
        <v>594</v>
      </c>
      <c r="D6023" s="2" t="str">
        <f t="shared" si="93"/>
        <v>Error?</v>
      </c>
    </row>
    <row r="6024" spans="1:5" x14ac:dyDescent="0.2">
      <c r="A6024" s="5">
        <v>5963</v>
      </c>
      <c r="B6024" s="137">
        <f>'Revenues 9-14'!G109</f>
        <v>157922</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6038</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54758</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14856</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520.05999999999995</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400000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16025</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10060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72774</v>
      </c>
      <c r="D6099" s="2" t="str">
        <f t="shared" si="94"/>
        <v>Error?</v>
      </c>
      <c r="E6099" s="2" t="s">
        <v>199</v>
      </c>
    </row>
    <row r="6100" spans="1:5" x14ac:dyDescent="0.2">
      <c r="A6100">
        <v>6039</v>
      </c>
      <c r="B6100" s="137">
        <f>'Assets-Liab 5-6'!D9</f>
        <v>24258</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7549</v>
      </c>
      <c r="D6113" s="2" t="str">
        <f t="shared" si="94"/>
        <v>Error?</v>
      </c>
      <c r="E6113" s="2" t="s">
        <v>199</v>
      </c>
    </row>
    <row r="6114" spans="1:5" x14ac:dyDescent="0.2">
      <c r="A6114">
        <v>6053</v>
      </c>
      <c r="B6114" s="137">
        <f>'Assets-Liab 5-6'!D11</f>
        <v>20071</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400000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41200</v>
      </c>
      <c r="D6142" s="2" t="str">
        <f t="shared" si="94"/>
        <v>Error?</v>
      </c>
      <c r="E6142" s="2" t="s">
        <v>199</v>
      </c>
    </row>
    <row r="6143" spans="1:5" x14ac:dyDescent="0.2">
      <c r="A6143">
        <v>6082</v>
      </c>
      <c r="B6143" s="137">
        <f>'Assets-Liab 5-6'!D27</f>
        <v>25744</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1600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532618</v>
      </c>
      <c r="D6169" s="2" t="str">
        <f t="shared" si="95"/>
        <v>Error?</v>
      </c>
      <c r="E6169" s="2" t="s">
        <v>199</v>
      </c>
    </row>
    <row r="6170" spans="1:5" x14ac:dyDescent="0.2">
      <c r="A6170">
        <v>6109</v>
      </c>
      <c r="B6170" s="137">
        <f>'Assets-Liab 5-6'!D30</f>
        <v>931</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21297</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476199</v>
      </c>
      <c r="D6267" s="2" t="str">
        <f t="shared" si="96"/>
        <v>Error?</v>
      </c>
      <c r="E6267" s="2" t="s">
        <v>199</v>
      </c>
    </row>
    <row r="6268" spans="1:5" x14ac:dyDescent="0.2">
      <c r="A6268">
        <v>6207</v>
      </c>
      <c r="B6268" s="137">
        <f>'Acct Summary 7-8'!D82</f>
        <v>71352</v>
      </c>
      <c r="D6268" s="2" t="str">
        <f t="shared" si="96"/>
        <v>Error?</v>
      </c>
      <c r="E6268" s="2" t="s">
        <v>199</v>
      </c>
    </row>
    <row r="6269" spans="1:5" x14ac:dyDescent="0.2">
      <c r="A6269">
        <v>6208</v>
      </c>
      <c r="B6269" s="137">
        <f>'Acct Summary 7-8'!E82</f>
        <v>40471</v>
      </c>
      <c r="D6269" s="2" t="str">
        <f t="shared" si="96"/>
        <v>Error?</v>
      </c>
      <c r="E6269" s="2" t="s">
        <v>199</v>
      </c>
    </row>
    <row r="6270" spans="1:5" x14ac:dyDescent="0.2">
      <c r="A6270">
        <v>6209</v>
      </c>
      <c r="B6270" s="137">
        <f>'Acct Summary 7-8'!F82</f>
        <v>-21714</v>
      </c>
      <c r="D6270" s="2" t="str">
        <f t="shared" si="96"/>
        <v>Error?</v>
      </c>
      <c r="E6270" s="2" t="s">
        <v>199</v>
      </c>
    </row>
    <row r="6271" spans="1:5" x14ac:dyDescent="0.2">
      <c r="A6271">
        <v>6210</v>
      </c>
      <c r="B6271" s="137">
        <f>'Acct Summary 7-8'!G82</f>
        <v>-42524</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-393962</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13</v>
      </c>
      <c r="D6275" s="2" t="str">
        <f t="shared" si="97"/>
        <v>Error?</v>
      </c>
      <c r="E6275" s="2" t="s">
        <v>199</v>
      </c>
    </row>
    <row r="6276" spans="1:5" x14ac:dyDescent="0.2">
      <c r="A6276">
        <v>6215</v>
      </c>
      <c r="B6276" s="137">
        <f>'Acct Summary 7-8'!C83</f>
        <v>0.2519027638478043</v>
      </c>
      <c r="D6276" s="2" t="str">
        <f t="shared" si="97"/>
        <v>Error?</v>
      </c>
      <c r="E6276" s="2" t="s">
        <v>199</v>
      </c>
    </row>
    <row r="6277" spans="1:5" x14ac:dyDescent="0.2">
      <c r="A6277">
        <v>6216</v>
      </c>
      <c r="B6277" s="137">
        <f>'Acct Summary 7-8'!D83</f>
        <v>7.9635795035374712E-2</v>
      </c>
      <c r="D6277" s="2" t="str">
        <f t="shared" si="97"/>
        <v>Error?</v>
      </c>
      <c r="E6277" s="2" t="s">
        <v>199</v>
      </c>
    </row>
    <row r="6278" spans="1:5" x14ac:dyDescent="0.2">
      <c r="A6278">
        <v>6217</v>
      </c>
      <c r="B6278" s="137">
        <f>'Acct Summary 7-8'!E83</f>
        <v>6.1409205538982575E-2</v>
      </c>
      <c r="D6278" s="2" t="str">
        <f t="shared" si="97"/>
        <v>Error?</v>
      </c>
      <c r="E6278" s="2" t="s">
        <v>199</v>
      </c>
    </row>
    <row r="6279" spans="1:5" x14ac:dyDescent="0.2">
      <c r="A6279">
        <v>6218</v>
      </c>
      <c r="B6279" s="137">
        <f>'Acct Summary 7-8'!F83</f>
        <v>-0.10462006928417594</v>
      </c>
      <c r="D6279" s="2" t="str">
        <f t="shared" si="97"/>
        <v>Error?</v>
      </c>
      <c r="E6279" s="2" t="s">
        <v>199</v>
      </c>
    </row>
    <row r="6280" spans="1:5" x14ac:dyDescent="0.2">
      <c r="A6280">
        <v>6219</v>
      </c>
      <c r="B6280" s="137">
        <f>'Acct Summary 7-8'!G83</f>
        <v>-0.39853422179735898</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-0.62791194359085523</v>
      </c>
      <c r="D6282" s="2" t="str">
        <f t="shared" si="97"/>
        <v>Error?</v>
      </c>
      <c r="E6282" s="2" t="s">
        <v>199</v>
      </c>
    </row>
    <row r="6283" spans="1:5" x14ac:dyDescent="0.2">
      <c r="A6283">
        <v>6222</v>
      </c>
      <c r="B6283" s="137" t="e">
        <f>'Acct Summary 7-8'!J83</f>
        <v>#DIV/0!</v>
      </c>
      <c r="D6283" s="2" t="e">
        <f t="shared" si="97"/>
        <v>#DIV/0!</v>
      </c>
      <c r="E6283" s="2" t="s">
        <v>199</v>
      </c>
    </row>
    <row r="6284" spans="1:5" x14ac:dyDescent="0.2">
      <c r="A6284">
        <v>6223</v>
      </c>
      <c r="B6284" s="137">
        <f>'Acct Summary 7-8'!K83</f>
        <v>9.285714285714286E-3</v>
      </c>
      <c r="D6284" s="2" t="str">
        <f t="shared" si="97"/>
        <v>Error?</v>
      </c>
      <c r="E6284" s="2" t="s">
        <v>199</v>
      </c>
    </row>
    <row r="6285" spans="1:5" x14ac:dyDescent="0.2">
      <c r="A6285">
        <v>6224</v>
      </c>
      <c r="B6285" s="137">
        <f>'Acct Summary 7-8'!E37</f>
        <v>117886</v>
      </c>
      <c r="D6285" s="2" t="str">
        <f t="shared" si="97"/>
        <v>Error?</v>
      </c>
      <c r="E6285" s="2" t="s">
        <v>199</v>
      </c>
    </row>
    <row r="6286" spans="1:5" x14ac:dyDescent="0.2">
      <c r="A6286">
        <v>6225</v>
      </c>
      <c r="B6286" s="137">
        <f>'Acct Summary 7-8'!E38</f>
        <v>4467</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470841</v>
      </c>
      <c r="D6330" s="2" t="str">
        <f t="shared" si="97"/>
        <v>Error?</v>
      </c>
      <c r="E6330" s="2" t="s">
        <v>199</v>
      </c>
    </row>
    <row r="6331" spans="1:5" x14ac:dyDescent="0.2">
      <c r="A6331">
        <v>6270</v>
      </c>
      <c r="B6331" s="137">
        <f>'Revenues 9-14'!D100</f>
        <v>54885</v>
      </c>
      <c r="D6331" s="2" t="str">
        <f t="shared" si="97"/>
        <v>Error?</v>
      </c>
      <c r="E6331" s="2" t="s">
        <v>199</v>
      </c>
    </row>
    <row r="6332" spans="1:5" x14ac:dyDescent="0.2">
      <c r="A6332">
        <v>6271</v>
      </c>
      <c r="B6332" s="137">
        <f>'Revenues 9-14'!E100</f>
        <v>50832</v>
      </c>
      <c r="D6332" s="2" t="str">
        <f t="shared" si="97"/>
        <v>Error?</v>
      </c>
      <c r="E6332" s="2" t="s">
        <v>199</v>
      </c>
    </row>
    <row r="6333" spans="1:5" x14ac:dyDescent="0.2">
      <c r="A6333">
        <v>6272</v>
      </c>
      <c r="B6333" s="137">
        <f>'Revenues 9-14'!F100</f>
        <v>5661</v>
      </c>
      <c r="D6333" s="2" t="str">
        <f t="shared" si="97"/>
        <v>Error?</v>
      </c>
      <c r="E6333" s="2" t="s">
        <v>199</v>
      </c>
    </row>
    <row r="6334" spans="1:5" x14ac:dyDescent="0.2">
      <c r="A6334">
        <v>6273</v>
      </c>
      <c r="B6334" s="137">
        <f>'Revenues 9-14'!G100</f>
        <v>13706</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96308</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139586</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7756</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7756</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7756</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7756</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6428</v>
      </c>
      <c r="D7073" s="2" t="str">
        <f t="shared" si="109"/>
        <v>Error?</v>
      </c>
    </row>
    <row r="7074" spans="1:4" x14ac:dyDescent="0.2">
      <c r="A7074">
        <v>7013</v>
      </c>
      <c r="B7074" s="137">
        <f>'Expenditures 15-22'!K216</f>
        <v>6428</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28018</v>
      </c>
      <c r="D7246" s="2" t="str">
        <f t="shared" si="112"/>
        <v>Error?</v>
      </c>
    </row>
    <row r="7247" spans="1:4" x14ac:dyDescent="0.2">
      <c r="A7247">
        <f t="shared" si="113"/>
        <v>7186</v>
      </c>
      <c r="B7247" s="137">
        <f>'Expenditures 15-22'!E7</f>
        <v>144</v>
      </c>
      <c r="D7247" s="2" t="str">
        <f t="shared" si="112"/>
        <v>Error?</v>
      </c>
    </row>
    <row r="7248" spans="1:4" x14ac:dyDescent="0.2">
      <c r="A7248">
        <f t="shared" si="113"/>
        <v>7187</v>
      </c>
      <c r="B7248" s="137">
        <f>'Expenditures 15-22'!F7</f>
        <v>8687</v>
      </c>
      <c r="D7248" s="2" t="str">
        <f t="shared" si="112"/>
        <v>Error?</v>
      </c>
    </row>
    <row r="7249" spans="1:4" x14ac:dyDescent="0.2">
      <c r="A7249">
        <f t="shared" si="113"/>
        <v>7188</v>
      </c>
      <c r="B7249" s="137">
        <f>'Expenditures 15-22'!G7</f>
        <v>6429</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7756</v>
      </c>
      <c r="D7624" s="2" t="str">
        <f t="shared" si="124"/>
        <v>Error?</v>
      </c>
      <c r="E7624" s="2" t="s">
        <v>19</v>
      </c>
    </row>
    <row r="7625" spans="1:5" x14ac:dyDescent="0.2">
      <c r="A7625">
        <f t="shared" si="123"/>
        <v>7564</v>
      </c>
      <c r="B7625" s="137">
        <f>'Cap Outlay Deprec 26'!I17</f>
        <v>775.6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258127.6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117886</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4467</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411933</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14730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14730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1966</v>
      </c>
    </row>
    <row r="7775" spans="1:5" x14ac:dyDescent="0.2">
      <c r="A7775">
        <v>7714</v>
      </c>
      <c r="B7775" s="137">
        <f>'Expenditures 15-22'!H133</f>
        <v>0</v>
      </c>
      <c r="D7775" s="2" t="str">
        <f t="shared" si="127"/>
        <v>Error?</v>
      </c>
      <c r="E7775" s="4" t="s">
        <v>1966</v>
      </c>
    </row>
    <row r="7776" spans="1:5" x14ac:dyDescent="0.2">
      <c r="A7776">
        <v>7715</v>
      </c>
      <c r="B7776" s="137">
        <f>'Expenditures 15-22'!K133</f>
        <v>0</v>
      </c>
      <c r="D7776" s="2" t="str">
        <f t="shared" si="127"/>
        <v>Error?</v>
      </c>
      <c r="E7776" s="4" t="s">
        <v>1966</v>
      </c>
    </row>
    <row r="7777" spans="1:5" x14ac:dyDescent="0.2">
      <c r="A7777">
        <v>7716</v>
      </c>
      <c r="B7777" s="137">
        <f>'Expenditures 15-22'!H157</f>
        <v>0</v>
      </c>
      <c r="D7777" s="2" t="str">
        <f t="shared" si="127"/>
        <v>Error?</v>
      </c>
      <c r="E7777" s="4" t="s">
        <v>1966</v>
      </c>
    </row>
    <row r="7778" spans="1:5" x14ac:dyDescent="0.2">
      <c r="A7778">
        <v>7717</v>
      </c>
      <c r="B7778" s="137">
        <f>'Expenditures 15-22'!K157</f>
        <v>0</v>
      </c>
      <c r="D7778" s="2" t="str">
        <f t="shared" si="127"/>
        <v>Error?</v>
      </c>
      <c r="E7778" s="4" t="s">
        <v>1966</v>
      </c>
    </row>
    <row r="7779" spans="1:5" x14ac:dyDescent="0.2">
      <c r="A7779">
        <v>7718</v>
      </c>
      <c r="B7779" s="137">
        <f>'Expenditures 15-22'!H158</f>
        <v>0</v>
      </c>
      <c r="D7779" s="2" t="str">
        <f t="shared" si="127"/>
        <v>Error?</v>
      </c>
      <c r="E7779" s="4" t="s">
        <v>1966</v>
      </c>
    </row>
    <row r="7780" spans="1:5" x14ac:dyDescent="0.2">
      <c r="A7780">
        <v>7719</v>
      </c>
      <c r="B7780" s="137">
        <f>'Expenditures 15-22'!K158</f>
        <v>0</v>
      </c>
      <c r="D7780" s="2" t="str">
        <f t="shared" si="127"/>
        <v>Error?</v>
      </c>
      <c r="E7780" s="4" t="s">
        <v>1966</v>
      </c>
    </row>
    <row r="7781" spans="1:5" x14ac:dyDescent="0.2">
      <c r="A7781">
        <v>7720</v>
      </c>
      <c r="B7781" s="137">
        <f>'Expenditures 15-22'!H159</f>
        <v>0</v>
      </c>
      <c r="D7781" s="2" t="str">
        <f t="shared" si="127"/>
        <v>Error?</v>
      </c>
      <c r="E7781" s="4" t="s">
        <v>1966</v>
      </c>
    </row>
    <row r="7782" spans="1:5" x14ac:dyDescent="0.2">
      <c r="A7782">
        <v>7721</v>
      </c>
      <c r="B7782" s="137">
        <f>'Expenditures 15-22'!K159</f>
        <v>0</v>
      </c>
      <c r="D7782" s="2" t="str">
        <f t="shared" si="127"/>
        <v>Error?</v>
      </c>
      <c r="E7782" s="4" t="s">
        <v>1966</v>
      </c>
    </row>
    <row r="7783" spans="1:5" x14ac:dyDescent="0.2">
      <c r="A7783">
        <v>7722</v>
      </c>
      <c r="B7783" s="137">
        <f>'Expenditures 15-22'!D282</f>
        <v>0</v>
      </c>
      <c r="D7783" s="2" t="str">
        <f t="shared" si="127"/>
        <v>Error?</v>
      </c>
      <c r="E7783" s="4" t="s">
        <v>1966</v>
      </c>
    </row>
    <row r="7784" spans="1:5" x14ac:dyDescent="0.2">
      <c r="A7784">
        <v>7723</v>
      </c>
      <c r="B7784" s="137">
        <f>'Expenditures 15-22'!K282</f>
        <v>0</v>
      </c>
      <c r="D7784" s="2" t="str">
        <f t="shared" si="127"/>
        <v>Error?</v>
      </c>
      <c r="E7784" s="4" t="s">
        <v>1966</v>
      </c>
    </row>
    <row r="7785" spans="1:5" x14ac:dyDescent="0.2">
      <c r="A7785">
        <v>7724</v>
      </c>
      <c r="B7785" s="137">
        <f>'Expenditures 15-22'!H332</f>
        <v>0</v>
      </c>
      <c r="D7785" s="2" t="str">
        <f t="shared" si="127"/>
        <v>Error?</v>
      </c>
      <c r="E7785" s="4" t="s">
        <v>1966</v>
      </c>
    </row>
    <row r="7786" spans="1:5" x14ac:dyDescent="0.2">
      <c r="A7786">
        <v>7725</v>
      </c>
      <c r="B7786" s="137">
        <f>'Expenditures 15-22'!K332</f>
        <v>0</v>
      </c>
      <c r="D7786" s="2" t="str">
        <f t="shared" si="127"/>
        <v>Error?</v>
      </c>
      <c r="E7786" s="4" t="s">
        <v>1966</v>
      </c>
    </row>
    <row r="7787" spans="1:5" x14ac:dyDescent="0.2">
      <c r="A7787">
        <v>7726</v>
      </c>
      <c r="B7787" s="137">
        <f>'Expenditures 15-22'!H333</f>
        <v>0</v>
      </c>
      <c r="D7787" s="2" t="str">
        <f t="shared" si="127"/>
        <v>Error?</v>
      </c>
      <c r="E7787" s="4" t="s">
        <v>1966</v>
      </c>
    </row>
    <row r="7788" spans="1:5" x14ac:dyDescent="0.2">
      <c r="A7788">
        <v>7727</v>
      </c>
      <c r="B7788" s="137">
        <f>'Expenditures 15-22'!K333</f>
        <v>0</v>
      </c>
      <c r="D7788" s="2" t="str">
        <f t="shared" si="127"/>
        <v>Error?</v>
      </c>
      <c r="E7788" s="4" t="s">
        <v>1966</v>
      </c>
    </row>
    <row r="7789" spans="1:5" x14ac:dyDescent="0.2">
      <c r="A7789">
        <v>7728</v>
      </c>
      <c r="B7789" s="137">
        <f>'Expenditures 15-22'!H334</f>
        <v>0</v>
      </c>
      <c r="D7789" s="2" t="str">
        <f t="shared" si="127"/>
        <v>Error?</v>
      </c>
      <c r="E7789" s="4" t="s">
        <v>1966</v>
      </c>
    </row>
    <row r="7790" spans="1:5" x14ac:dyDescent="0.2">
      <c r="A7790">
        <v>7729</v>
      </c>
      <c r="B7790" s="137">
        <f>'Expenditures 15-22'!K334</f>
        <v>0</v>
      </c>
      <c r="D7790" s="2" t="str">
        <f t="shared" si="127"/>
        <v>Error?</v>
      </c>
      <c r="E7790" s="4" t="s">
        <v>1966</v>
      </c>
    </row>
    <row r="7791" spans="1:5" x14ac:dyDescent="0.2">
      <c r="A7791">
        <v>7730</v>
      </c>
      <c r="B7791" s="137">
        <f>'Expenditures 15-22'!H354</f>
        <v>0</v>
      </c>
      <c r="D7791" s="2" t="str">
        <f t="shared" si="127"/>
        <v>Error?</v>
      </c>
      <c r="E7791" s="4" t="s">
        <v>1966</v>
      </c>
    </row>
    <row r="7792" spans="1:5" x14ac:dyDescent="0.2">
      <c r="A7792">
        <v>7731</v>
      </c>
      <c r="B7792" s="137">
        <f>'Expenditures 15-22'!K354</f>
        <v>0</v>
      </c>
      <c r="D7792" s="2" t="str">
        <f t="shared" si="127"/>
        <v>Error?</v>
      </c>
      <c r="E7792" s="4" t="s">
        <v>1966</v>
      </c>
    </row>
    <row r="7793" spans="1:5" x14ac:dyDescent="0.2">
      <c r="A7793">
        <v>7732</v>
      </c>
      <c r="B7793" s="137">
        <f>'Expenditures 15-22'!H355</f>
        <v>0</v>
      </c>
      <c r="D7793" s="2" t="str">
        <f t="shared" si="127"/>
        <v>Error?</v>
      </c>
      <c r="E7793" s="4" t="s">
        <v>1966</v>
      </c>
    </row>
    <row r="7794" spans="1:5" x14ac:dyDescent="0.2">
      <c r="A7794">
        <v>7733</v>
      </c>
      <c r="B7794" s="137">
        <f>'Expenditures 15-22'!K355</f>
        <v>0</v>
      </c>
      <c r="D7794" s="2" t="str">
        <f t="shared" si="127"/>
        <v>Error?</v>
      </c>
      <c r="E7794" s="4" t="s">
        <v>1966</v>
      </c>
    </row>
    <row r="7795" spans="1:5" x14ac:dyDescent="0.2">
      <c r="A7795">
        <v>7734</v>
      </c>
      <c r="B7795" s="137">
        <f>'Expenditures 15-22'!E138</f>
        <v>0</v>
      </c>
      <c r="D7795" s="2" t="str">
        <f t="shared" si="127"/>
        <v>Error?</v>
      </c>
      <c r="E7795" s="4" t="s">
        <v>1966</v>
      </c>
    </row>
    <row r="7796" spans="1:5" x14ac:dyDescent="0.2">
      <c r="A7796">
        <v>7735</v>
      </c>
      <c r="B7796" s="137">
        <f>'Acct Summary 7-8'!J15</f>
        <v>0</v>
      </c>
      <c r="D7796" s="2" t="str">
        <f t="shared" si="127"/>
        <v>Error?</v>
      </c>
      <c r="E7796" s="4" t="s">
        <v>1966</v>
      </c>
    </row>
    <row r="7797" spans="1:5" x14ac:dyDescent="0.2">
      <c r="A7797">
        <v>7736</v>
      </c>
      <c r="B7797" s="137">
        <f>'Contracts Paid in CY 29'!D141</f>
        <v>62000</v>
      </c>
      <c r="D7797" s="2" t="str">
        <f t="shared" si="127"/>
        <v>Error?</v>
      </c>
      <c r="E7797" s="4" t="s">
        <v>2019</v>
      </c>
    </row>
    <row r="7798" spans="1:5" x14ac:dyDescent="0.2">
      <c r="A7798">
        <v>7737</v>
      </c>
      <c r="B7798" s="137">
        <f>'Contracts Paid in CY 29'!F141</f>
        <v>25000</v>
      </c>
      <c r="D7798" s="2" t="str">
        <f t="shared" si="127"/>
        <v>Error?</v>
      </c>
      <c r="E7798" s="4" t="s">
        <v>2019</v>
      </c>
    </row>
    <row r="7799" spans="1:5" x14ac:dyDescent="0.2">
      <c r="A7799">
        <v>7738</v>
      </c>
      <c r="B7799" s="137">
        <f>'Contracts Paid in CY 29'!G141</f>
        <v>37000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1" t="str">
        <f>COVER!A17</f>
        <v>Komarek SD 94</v>
      </c>
      <c r="B7" s="2422"/>
      <c r="C7" s="2422"/>
      <c r="D7" s="2423"/>
      <c r="E7" s="2424">
        <f>COVER!A13</f>
        <v>6016094002</v>
      </c>
      <c r="F7" s="2425"/>
      <c r="G7" s="2431" t="str">
        <f>COVER!T23</f>
        <v>060-003973</v>
      </c>
      <c r="H7" s="2432"/>
      <c r="I7" s="2432"/>
      <c r="J7" s="2432"/>
      <c r="K7" s="2432"/>
      <c r="L7" s="2433"/>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4"/>
      <c r="B9" s="2435"/>
      <c r="C9" s="2435"/>
      <c r="D9" s="2435"/>
      <c r="E9" s="2435"/>
      <c r="F9" s="2436"/>
      <c r="G9" s="2405" t="str">
        <f>COVER!T13</f>
        <v>Evans, Marshall and Pease, P.C.</v>
      </c>
      <c r="H9" s="2437"/>
      <c r="I9" s="2437"/>
      <c r="J9" s="2437"/>
      <c r="K9" s="2437"/>
      <c r="L9" s="2438"/>
    </row>
    <row r="10" spans="1:29" ht="13.5" customHeight="1" x14ac:dyDescent="0.2">
      <c r="A10" s="2411">
        <f>COVER!A38</f>
        <v>0</v>
      </c>
      <c r="B10" s="2412"/>
      <c r="C10" s="2412"/>
      <c r="D10" s="2412"/>
      <c r="E10" s="2412"/>
      <c r="F10" s="2413"/>
      <c r="G10" s="2405" t="str">
        <f>COVER!T17</f>
        <v>1875 Hicks Road</v>
      </c>
      <c r="H10" s="2406"/>
      <c r="I10" s="2406"/>
      <c r="J10" s="2406"/>
      <c r="K10" s="2406"/>
      <c r="L10" s="2407"/>
    </row>
    <row r="11" spans="1:29" ht="13.5" customHeight="1" x14ac:dyDescent="0.2">
      <c r="A11" s="1184" t="s">
        <v>1599</v>
      </c>
      <c r="B11" s="1185"/>
      <c r="C11" s="1186"/>
      <c r="D11" s="1191"/>
      <c r="E11" s="1186"/>
      <c r="F11" s="1190"/>
      <c r="G11" s="2405" t="str">
        <f>COVER!T19</f>
        <v>Rolling Meadows</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Jeff@empcpa.com</v>
      </c>
      <c r="J13" s="2418"/>
      <c r="K13" s="2418"/>
      <c r="L13" s="2419"/>
    </row>
    <row r="14" spans="1:29" ht="13.5" customHeight="1" x14ac:dyDescent="0.2">
      <c r="A14" s="2405" t="str">
        <f>COVER!A19</f>
        <v>8940 W. 24th Street</v>
      </c>
      <c r="B14" s="2406"/>
      <c r="C14" s="2406"/>
      <c r="D14" s="2406"/>
      <c r="E14" s="2406"/>
      <c r="F14" s="2407"/>
      <c r="G14" s="1195" t="s">
        <v>1247</v>
      </c>
      <c r="H14" s="1193"/>
      <c r="I14" s="1193"/>
      <c r="J14" s="1193"/>
      <c r="K14" s="1193"/>
      <c r="L14" s="1194"/>
    </row>
    <row r="15" spans="1:29" ht="13.5" customHeight="1" x14ac:dyDescent="0.2">
      <c r="A15" s="2405" t="str">
        <f>COVER!A21</f>
        <v>North Riverside</v>
      </c>
      <c r="B15" s="2406"/>
      <c r="C15" s="2406"/>
      <c r="D15" s="2406"/>
      <c r="E15" s="2406"/>
      <c r="F15" s="2407"/>
      <c r="G15" s="2402" t="str">
        <f>COVER!T15</f>
        <v>Jeffery M. Rollefson, CPA</v>
      </c>
      <c r="H15" s="2403"/>
      <c r="I15" s="2403"/>
      <c r="J15" s="2403"/>
      <c r="K15" s="2403"/>
      <c r="L15" s="2404"/>
    </row>
    <row r="16" spans="1:29" ht="12.2" customHeight="1" x14ac:dyDescent="0.2">
      <c r="A16" s="2427">
        <f>COVER!A25</f>
        <v>60546</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5" t="s">
        <v>1246</v>
      </c>
      <c r="H17" s="1193"/>
      <c r="I17" s="1193"/>
      <c r="J17" s="1193"/>
      <c r="K17" s="1197" t="s">
        <v>1245</v>
      </c>
      <c r="L17" s="1190"/>
      <c r="M17" s="1183"/>
    </row>
    <row r="18" spans="1:13" ht="12.2" customHeight="1" x14ac:dyDescent="0.2">
      <c r="A18" s="2411"/>
      <c r="B18" s="2412"/>
      <c r="C18" s="2412"/>
      <c r="D18" s="2412"/>
      <c r="E18" s="2412"/>
      <c r="F18" s="2413"/>
      <c r="G18" s="2421" t="str">
        <f>COVER!T21</f>
        <v>847-221-5700</v>
      </c>
      <c r="H18" s="2422"/>
      <c r="I18" s="2422"/>
      <c r="J18" s="2422"/>
      <c r="K18" s="2421" t="str">
        <f>COVER!X21</f>
        <v>847-221-5701</v>
      </c>
      <c r="L18" s="242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Komarek SD 94</v>
      </c>
      <c r="B1" s="2420"/>
      <c r="C1" s="2420"/>
      <c r="D1" s="2420"/>
    </row>
    <row r="2" spans="1:11" s="1214" customFormat="1" ht="12.75" x14ac:dyDescent="0.2">
      <c r="A2" s="2444">
        <f>'Single Audit Cover'!E7</f>
        <v>6016094002</v>
      </c>
      <c r="B2" s="2445"/>
      <c r="C2" s="2445"/>
      <c r="D2" s="2445"/>
    </row>
    <row r="3" spans="1:11" s="1214" customFormat="1" ht="12.75" x14ac:dyDescent="0.2">
      <c r="A3" s="2443" t="s">
        <v>1593</v>
      </c>
      <c r="B3" s="2420"/>
      <c r="C3" s="2420"/>
      <c r="D3" s="242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7" t="str">
        <f>'Single Audit Cover'!A7</f>
        <v>Komarek SD 94</v>
      </c>
      <c r="B1" s="2447"/>
      <c r="C1" s="2447"/>
      <c r="D1" s="2447"/>
      <c r="E1" s="2447"/>
    </row>
    <row r="2" spans="1:5" x14ac:dyDescent="0.2">
      <c r="A2" s="2448">
        <f>'Single Audit Cover'!E7</f>
        <v>6016094002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298303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14856</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-6577</v>
      </c>
    </row>
    <row r="19" spans="1:4" ht="13.5" thickBot="1" x14ac:dyDescent="0.25">
      <c r="A19" s="1264" t="s">
        <v>1297</v>
      </c>
      <c r="D19" s="1265">
        <f>SUM(D10:D17)</f>
        <v>306582</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306582</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0</v>
      </c>
    </row>
    <row r="49" spans="2:4" x14ac:dyDescent="0.2">
      <c r="B49" s="1271" t="s">
        <v>1288</v>
      </c>
      <c r="C49" s="1271"/>
      <c r="D49" s="1272">
        <f>D32-D47</f>
        <v>306582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60" t="str">
        <f>'Single Audit Cover'!A7</f>
        <v>Komarek SD 94</v>
      </c>
      <c r="B1" s="2460"/>
      <c r="C1" s="2460"/>
      <c r="D1" s="2460"/>
      <c r="E1" s="2460"/>
      <c r="F1" s="2460"/>
    </row>
    <row r="2" spans="1:7" ht="13.5" customHeight="1" x14ac:dyDescent="0.2">
      <c r="A2" s="2461">
        <f>'Single Audit Cover'!E7</f>
        <v>6016094002</v>
      </c>
      <c r="B2" s="2461"/>
      <c r="C2" s="2461"/>
      <c r="D2" s="2461"/>
      <c r="E2" s="2461"/>
      <c r="F2" s="2461"/>
      <c r="G2" s="1274"/>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6"/>
      <c r="D5" s="316"/>
    </row>
    <row r="6" spans="1:7" ht="13.5" customHeight="1" x14ac:dyDescent="0.2">
      <c r="A6" s="1275" t="s">
        <v>1831</v>
      </c>
      <c r="C6" s="316"/>
      <c r="D6" s="316"/>
    </row>
    <row r="7" spans="1:7" ht="60.95" customHeight="1" x14ac:dyDescent="0.2">
      <c r="A7" s="2459" t="s">
        <v>1832</v>
      </c>
      <c r="B7" s="2459"/>
      <c r="C7" s="2459"/>
      <c r="D7" s="2459"/>
      <c r="E7" s="2459"/>
      <c r="F7" s="2459"/>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9" t="s">
        <v>1834</v>
      </c>
      <c r="B13" s="2459"/>
      <c r="C13" s="2459"/>
      <c r="D13" s="2459"/>
      <c r="E13" s="2459"/>
      <c r="F13" s="2459"/>
    </row>
    <row r="14" spans="1:7" ht="9.75" customHeight="1" x14ac:dyDescent="0.2">
      <c r="C14" s="1259"/>
      <c r="D14" s="1259"/>
    </row>
    <row r="15" spans="1:7" ht="13.5" customHeight="1" x14ac:dyDescent="0.2">
      <c r="C15" s="1870" t="s">
        <v>1332</v>
      </c>
      <c r="D15" s="2457" t="s">
        <v>1331</v>
      </c>
      <c r="E15" s="2457"/>
      <c r="F15" s="2457"/>
    </row>
    <row r="16" spans="1:7" ht="13.5" customHeight="1" x14ac:dyDescent="0.2">
      <c r="A16" s="1281"/>
      <c r="B16" s="1275" t="s">
        <v>1330</v>
      </c>
      <c r="C16" s="1870" t="s">
        <v>1329</v>
      </c>
      <c r="D16" s="2458" t="s">
        <v>1670</v>
      </c>
      <c r="E16" s="2458"/>
      <c r="F16" s="2458"/>
    </row>
    <row r="17" spans="1:6" ht="20.45" customHeight="1" x14ac:dyDescent="0.2">
      <c r="A17" s="1282"/>
      <c r="B17" s="1283"/>
      <c r="C17" s="1284"/>
      <c r="D17" s="2452"/>
      <c r="E17" s="2452"/>
      <c r="F17" s="2452"/>
    </row>
    <row r="18" spans="1:6" ht="20.65" customHeight="1" x14ac:dyDescent="0.2">
      <c r="A18" s="1282"/>
      <c r="B18" s="1283"/>
      <c r="C18" s="1284"/>
      <c r="D18" s="2452"/>
      <c r="E18" s="2452"/>
      <c r="F18" s="2452"/>
    </row>
    <row r="19" spans="1:6" ht="20.65" customHeight="1" x14ac:dyDescent="0.2">
      <c r="A19" s="1282"/>
      <c r="B19" s="1283"/>
      <c r="C19" s="1284"/>
      <c r="D19" s="2452"/>
      <c r="E19" s="2452"/>
      <c r="F19" s="2452"/>
    </row>
    <row r="20" spans="1:6" ht="20.65" customHeight="1" x14ac:dyDescent="0.2">
      <c r="A20" s="1282"/>
      <c r="B20" s="1283"/>
      <c r="C20" s="1284"/>
      <c r="D20" s="2452"/>
      <c r="E20" s="2452"/>
      <c r="F20" s="2452"/>
    </row>
    <row r="21" spans="1:6" ht="20.65" customHeight="1" x14ac:dyDescent="0.2">
      <c r="A21" s="1282"/>
      <c r="B21" s="1283"/>
      <c r="C21" s="1284"/>
      <c r="D21" s="2452"/>
      <c r="E21" s="2452"/>
      <c r="F21" s="2452"/>
    </row>
    <row r="22" spans="1:6" ht="20.65" customHeight="1" x14ac:dyDescent="0.2">
      <c r="A22" s="1282"/>
      <c r="B22" s="1283"/>
      <c r="C22" s="1284"/>
      <c r="D22" s="2452"/>
      <c r="E22" s="2452"/>
      <c r="F22" s="2452"/>
    </row>
    <row r="23" spans="1:6" ht="20.65" customHeight="1" x14ac:dyDescent="0.2">
      <c r="A23" s="1282"/>
      <c r="B23" s="1283"/>
      <c r="C23" s="1284"/>
      <c r="D23" s="2452"/>
      <c r="E23" s="2452"/>
      <c r="F23" s="2452"/>
    </row>
    <row r="24" spans="1:6" ht="20.65" customHeight="1" x14ac:dyDescent="0.2">
      <c r="A24" s="1282"/>
      <c r="B24" s="1283"/>
      <c r="C24" s="1284"/>
      <c r="D24" s="2452"/>
      <c r="E24" s="2452"/>
      <c r="F24" s="2452"/>
    </row>
    <row r="25" spans="1:6" ht="20.65" customHeight="1" x14ac:dyDescent="0.2">
      <c r="A25" s="1282"/>
      <c r="B25" s="1283"/>
      <c r="C25" s="1284"/>
      <c r="D25" s="2452"/>
      <c r="E25" s="2452"/>
      <c r="F25" s="2452"/>
    </row>
    <row r="26" spans="1:6" ht="20.65" customHeight="1" x14ac:dyDescent="0.2">
      <c r="A26" s="1282"/>
      <c r="B26" s="1283"/>
      <c r="C26" s="1284"/>
      <c r="D26" s="2452"/>
      <c r="E26" s="2452"/>
      <c r="F26" s="2452"/>
    </row>
    <row r="27" spans="1:6" ht="20.65" customHeight="1" x14ac:dyDescent="0.2">
      <c r="A27" s="1282"/>
      <c r="B27" s="1283"/>
      <c r="C27" s="1284"/>
      <c r="D27" s="2452"/>
      <c r="E27" s="2452"/>
      <c r="F27" s="2452"/>
    </row>
    <row r="28" spans="1:6" ht="20.65" customHeight="1" x14ac:dyDescent="0.2">
      <c r="A28" s="1282"/>
      <c r="B28" s="1283"/>
      <c r="C28" s="1284"/>
      <c r="D28" s="2452"/>
      <c r="E28" s="2452"/>
      <c r="F28" s="2452"/>
    </row>
    <row r="29" spans="1:6" ht="20.65" customHeight="1" x14ac:dyDescent="0.2">
      <c r="A29" s="1282"/>
      <c r="B29" s="1283"/>
      <c r="C29" s="1284"/>
      <c r="D29" s="2452"/>
      <c r="E29" s="2452"/>
      <c r="F29" s="2452"/>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53" t="s">
        <v>1835</v>
      </c>
      <c r="B32" s="2453"/>
      <c r="C32" s="2453"/>
      <c r="D32" s="2453"/>
      <c r="E32" s="2453"/>
      <c r="F32" s="2453"/>
    </row>
    <row r="33" spans="1:6" ht="13.5" customHeight="1" x14ac:dyDescent="0.2">
      <c r="A33" s="327" t="s">
        <v>1509</v>
      </c>
      <c r="B33" s="327"/>
      <c r="C33" s="1287">
        <v>0</v>
      </c>
      <c r="D33" s="1927"/>
      <c r="E33" s="1285"/>
    </row>
    <row r="34" spans="1:6" ht="13.5" customHeight="1" x14ac:dyDescent="0.2">
      <c r="A34" s="327" t="s">
        <v>1948</v>
      </c>
      <c r="B34" s="327"/>
      <c r="C34" s="1288">
        <v>0</v>
      </c>
      <c r="D34" s="1927" t="s">
        <v>1671</v>
      </c>
      <c r="E34" s="2454">
        <f>+C33+C34</f>
        <v>0</v>
      </c>
      <c r="F34" s="2455"/>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6" t="s">
        <v>1672</v>
      </c>
      <c r="C49" s="2456"/>
      <c r="D49" s="2456"/>
      <c r="E49" s="1398"/>
    </row>
    <row r="50" spans="1:5" s="1299" customFormat="1" ht="3.75" customHeight="1" x14ac:dyDescent="0.2">
      <c r="A50" s="1298"/>
      <c r="B50" s="1869"/>
      <c r="C50" s="1869"/>
      <c r="D50" s="1869"/>
      <c r="E50" s="1398"/>
    </row>
    <row r="51" spans="1:5" s="1299" customFormat="1" ht="20.25" customHeight="1" x14ac:dyDescent="0.2">
      <c r="A51" s="1300">
        <v>6</v>
      </c>
      <c r="B51" s="2451" t="s">
        <v>1632</v>
      </c>
      <c r="C51" s="2451"/>
      <c r="D51" s="2451"/>
    </row>
    <row r="52" spans="1:5" ht="14.25" customHeight="1" x14ac:dyDescent="0.2">
      <c r="A52" s="1300"/>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30" t="str">
        <f>'Single Audit Cover'!A7</f>
        <v>Komarek SD 94</v>
      </c>
      <c r="C1" s="2464"/>
      <c r="D1" s="2464"/>
      <c r="E1" s="2464"/>
      <c r="F1" s="2464"/>
      <c r="G1" s="2464"/>
      <c r="H1" s="2464"/>
      <c r="I1" s="2464"/>
      <c r="J1" s="2464"/>
      <c r="K1" s="2464"/>
      <c r="L1" s="2464"/>
      <c r="M1" s="2464"/>
    </row>
    <row r="2" spans="2:14" ht="15" x14ac:dyDescent="0.2">
      <c r="B2" s="2461">
        <f>'Single Audit Cover'!E7</f>
        <v>6016094002</v>
      </c>
      <c r="C2" s="2461"/>
      <c r="D2" s="2461"/>
      <c r="E2" s="2461"/>
      <c r="F2" s="2461"/>
      <c r="G2" s="2461"/>
      <c r="H2" s="2461"/>
      <c r="I2" s="2461"/>
      <c r="J2" s="2461"/>
      <c r="K2" s="2461"/>
      <c r="L2" s="2461"/>
      <c r="M2" s="2461"/>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1838</v>
      </c>
      <c r="D9" s="1313" t="s">
        <v>1839</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8" t="str">
        <f>'Single Audit Cover'!A7</f>
        <v>Komarek SD 94</v>
      </c>
      <c r="C1" s="2479"/>
      <c r="D1" s="2479"/>
      <c r="E1" s="2479"/>
      <c r="F1" s="2479"/>
      <c r="G1" s="2479"/>
      <c r="H1" s="2479"/>
      <c r="I1" s="2479"/>
      <c r="J1" s="1421"/>
    </row>
    <row r="2" spans="2:10" s="316" customFormat="1" ht="12.75" customHeight="1" x14ac:dyDescent="0.2">
      <c r="B2" s="2480">
        <f>'Single Audit Cover'!E7</f>
        <v>6016094002</v>
      </c>
      <c r="C2" s="2481"/>
      <c r="D2" s="2481"/>
      <c r="E2" s="2481"/>
      <c r="F2" s="2481"/>
      <c r="G2" s="2481"/>
      <c r="H2" s="2481"/>
      <c r="I2" s="2481"/>
      <c r="J2" s="1421"/>
    </row>
    <row r="3" spans="2:10" s="316" customFormat="1" ht="12.75" customHeight="1" x14ac:dyDescent="0.2">
      <c r="B3" s="2482" t="s">
        <v>1347</v>
      </c>
      <c r="C3" s="2483"/>
      <c r="D3" s="2483"/>
      <c r="E3" s="2483"/>
      <c r="F3" s="2483"/>
      <c r="G3" s="2483"/>
      <c r="H3" s="2483"/>
      <c r="I3" s="2483"/>
      <c r="J3" s="1422"/>
    </row>
    <row r="4" spans="2:10" s="316" customFormat="1" ht="12.75" customHeight="1" x14ac:dyDescent="0.2">
      <c r="B4" s="2482" t="str">
        <f>'Single Audit Cover'!A4</f>
        <v>Year Ending June 30, 2018</v>
      </c>
      <c r="C4" s="2483"/>
      <c r="D4" s="2483"/>
      <c r="E4" s="2483"/>
      <c r="F4" s="2483"/>
      <c r="G4" s="2483"/>
      <c r="H4" s="2483"/>
      <c r="I4" s="2483"/>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82" t="s">
        <v>1346</v>
      </c>
      <c r="C7" s="2483"/>
      <c r="D7" s="2483"/>
      <c r="E7" s="2483"/>
      <c r="F7" s="2483"/>
      <c r="G7" s="2483"/>
      <c r="H7" s="2483"/>
      <c r="I7" s="2483"/>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84"/>
      <c r="D11" s="2484"/>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85"/>
      <c r="E29" s="2485"/>
      <c r="F29" s="2485"/>
      <c r="G29" s="2485"/>
      <c r="H29" s="2485"/>
      <c r="I29" s="2485"/>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6" t="s">
        <v>1854</v>
      </c>
      <c r="D37" s="2487"/>
      <c r="E37" s="2487"/>
      <c r="F37" s="2488"/>
      <c r="G37" s="2486" t="s">
        <v>1674</v>
      </c>
      <c r="H37" s="2487"/>
      <c r="I37" s="2488"/>
    </row>
    <row r="38" spans="2:9" ht="16.5" customHeight="1" x14ac:dyDescent="0.2">
      <c r="B38" s="1443"/>
      <c r="C38" s="2474"/>
      <c r="D38" s="2475"/>
      <c r="E38" s="2475"/>
      <c r="F38" s="2476"/>
      <c r="G38" s="2489"/>
      <c r="H38" s="2490"/>
      <c r="I38" s="2491"/>
    </row>
    <row r="39" spans="2:9" ht="16.5" customHeight="1" x14ac:dyDescent="0.2">
      <c r="B39" s="1443"/>
      <c r="C39" s="2474"/>
      <c r="D39" s="2475"/>
      <c r="E39" s="2475"/>
      <c r="F39" s="2476"/>
      <c r="G39" s="2477"/>
      <c r="H39" s="2477"/>
      <c r="I39" s="2477"/>
    </row>
    <row r="40" spans="2:9" ht="16.5" customHeight="1" x14ac:dyDescent="0.2">
      <c r="B40" s="1443"/>
      <c r="C40" s="2474"/>
      <c r="D40" s="2475"/>
      <c r="E40" s="2475"/>
      <c r="F40" s="2476"/>
      <c r="G40" s="2477"/>
      <c r="H40" s="2477"/>
      <c r="I40" s="2477"/>
    </row>
    <row r="41" spans="2:9" ht="16.5" customHeight="1" x14ac:dyDescent="0.2">
      <c r="B41" s="1443"/>
      <c r="C41" s="2474"/>
      <c r="D41" s="2475"/>
      <c r="E41" s="2475"/>
      <c r="F41" s="2476"/>
      <c r="G41" s="2477"/>
      <c r="H41" s="2477"/>
      <c r="I41" s="2477"/>
    </row>
    <row r="42" spans="2:9" ht="16.5" customHeight="1" x14ac:dyDescent="0.2">
      <c r="B42" s="1443"/>
      <c r="C42" s="2474"/>
      <c r="D42" s="2475"/>
      <c r="E42" s="2475"/>
      <c r="F42" s="2476"/>
      <c r="G42" s="2477"/>
      <c r="H42" s="2477"/>
      <c r="I42" s="2477"/>
    </row>
    <row r="43" spans="2:9" ht="16.5" customHeight="1" x14ac:dyDescent="0.2">
      <c r="B43" s="1443"/>
      <c r="C43" s="2467" t="s">
        <v>1675</v>
      </c>
      <c r="D43" s="2468"/>
      <c r="E43" s="2468"/>
      <c r="F43" s="2469"/>
      <c r="G43" s="2470">
        <f>SUM(G38:I42)</f>
        <v>0</v>
      </c>
      <c r="H43" s="2470"/>
      <c r="I43" s="2470"/>
    </row>
    <row r="44" spans="2:9" ht="12.75" customHeight="1" x14ac:dyDescent="0.2"/>
    <row r="45" spans="2:9" ht="12.75" customHeight="1" x14ac:dyDescent="0.2">
      <c r="B45" s="1434" t="s">
        <v>1951</v>
      </c>
      <c r="D45" s="2471">
        <v>0</v>
      </c>
      <c r="E45" s="2472"/>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3"/>
      <c r="F49" s="2473"/>
      <c r="G49" s="2473"/>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8" t="str">
        <f>'Single Audit Cover'!A7</f>
        <v>Komarek SD 94</v>
      </c>
      <c r="C1" s="2478"/>
      <c r="D1" s="2478"/>
      <c r="E1" s="2478"/>
      <c r="F1" s="2478"/>
      <c r="G1" s="2478"/>
      <c r="H1" s="2478"/>
      <c r="I1" s="2478"/>
      <c r="J1" s="2478"/>
      <c r="K1" s="2478"/>
      <c r="L1" s="1373"/>
      <c r="M1" s="1373"/>
    </row>
    <row r="2" spans="1:13" ht="12" customHeight="1" x14ac:dyDescent="0.2">
      <c r="B2" s="2480">
        <f>'Single Audit Cover'!E7</f>
        <v>6016094002</v>
      </c>
      <c r="C2" s="2480"/>
      <c r="D2" s="2480"/>
      <c r="E2" s="2480"/>
      <c r="F2" s="2480"/>
      <c r="G2" s="2480"/>
      <c r="H2" s="2480"/>
      <c r="I2" s="2480"/>
      <c r="J2" s="2480"/>
      <c r="K2" s="2480"/>
      <c r="L2" s="1374"/>
      <c r="M2" s="1375"/>
    </row>
    <row r="3" spans="1:13" ht="10.35" customHeight="1" x14ac:dyDescent="0.2">
      <c r="B3" s="2494" t="s">
        <v>1347</v>
      </c>
      <c r="C3" s="2494"/>
      <c r="D3" s="2494"/>
      <c r="E3" s="2494"/>
      <c r="F3" s="2494"/>
      <c r="G3" s="2494"/>
      <c r="H3" s="2494"/>
      <c r="I3" s="2494"/>
      <c r="J3" s="2494"/>
      <c r="K3" s="2494"/>
      <c r="L3" s="1376"/>
      <c r="M3" s="1376"/>
    </row>
    <row r="4" spans="1:13" ht="14.25" customHeight="1" x14ac:dyDescent="0.2">
      <c r="B4" s="2495" t="str">
        <f>'Single Audit Cover'!A4</f>
        <v>Year Ending June 30, 2018</v>
      </c>
      <c r="C4" s="2495"/>
      <c r="D4" s="2495"/>
      <c r="E4" s="2495"/>
      <c r="F4" s="2495"/>
      <c r="G4" s="2495"/>
      <c r="H4" s="2495"/>
      <c r="I4" s="2495"/>
      <c r="J4" s="2495"/>
      <c r="K4" s="2495"/>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1952</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7"/>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2"/>
      <c r="C29" s="2492"/>
      <c r="D29" s="2493"/>
      <c r="E29" s="2493"/>
      <c r="F29" s="2493"/>
      <c r="G29" s="2493"/>
      <c r="H29" s="2493"/>
      <c r="I29" s="2493"/>
      <c r="J29" s="2493"/>
      <c r="K29" s="2493"/>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92"/>
      <c r="C32" s="2492"/>
      <c r="D32" s="2493"/>
      <c r="E32" s="2493"/>
      <c r="F32" s="2493"/>
      <c r="G32" s="2493"/>
      <c r="H32" s="2493"/>
      <c r="I32" s="2493"/>
      <c r="J32" s="2493"/>
      <c r="K32" s="2493"/>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1" t="str">
        <f>'Single Audit Cover'!A7</f>
        <v>Komarek SD 94</v>
      </c>
      <c r="C1" s="2501"/>
      <c r="D1" s="2501"/>
      <c r="E1" s="2501"/>
      <c r="F1" s="2501"/>
      <c r="G1" s="2501"/>
      <c r="H1" s="2501"/>
      <c r="I1" s="2501"/>
      <c r="J1" s="2501"/>
      <c r="K1" s="2501"/>
      <c r="L1" s="1464"/>
    </row>
    <row r="2" spans="1:12" ht="12.75" customHeight="1" x14ac:dyDescent="0.2">
      <c r="B2" s="2502">
        <f>'Single Audit Cover'!E7</f>
        <v>6016094002</v>
      </c>
      <c r="C2" s="2502"/>
      <c r="D2" s="2502"/>
      <c r="E2" s="2502"/>
      <c r="F2" s="2502"/>
      <c r="G2" s="2502"/>
      <c r="H2" s="2502"/>
      <c r="I2" s="2502"/>
      <c r="J2" s="2502"/>
      <c r="K2" s="2502"/>
      <c r="L2" s="1465"/>
    </row>
    <row r="3" spans="1:12" ht="12.75" customHeight="1" x14ac:dyDescent="0.2">
      <c r="B3" s="2494" t="s">
        <v>1347</v>
      </c>
      <c r="C3" s="2494"/>
      <c r="D3" s="2494"/>
      <c r="E3" s="2494"/>
      <c r="F3" s="2494"/>
      <c r="G3" s="2494"/>
      <c r="H3" s="2494"/>
      <c r="I3" s="2494"/>
      <c r="J3" s="2494"/>
      <c r="K3" s="2494"/>
      <c r="L3" s="1376"/>
    </row>
    <row r="4" spans="1:12" ht="12.75" customHeight="1" x14ac:dyDescent="0.2">
      <c r="B4" s="2494" t="str">
        <f>'Single Audit Cover'!A4</f>
        <v>Year Ending June 30, 2018</v>
      </c>
      <c r="C4" s="2494"/>
      <c r="D4" s="2494"/>
      <c r="E4" s="2494"/>
      <c r="F4" s="2494"/>
      <c r="G4" s="2494"/>
      <c r="H4" s="2494"/>
      <c r="I4" s="2494"/>
      <c r="J4" s="2494"/>
      <c r="K4" s="2494"/>
      <c r="L4" s="1376"/>
    </row>
    <row r="5" spans="1:12" ht="5.25" customHeight="1" x14ac:dyDescent="0.2">
      <c r="B5" s="1259" t="s">
        <v>1231</v>
      </c>
      <c r="C5" s="1259"/>
      <c r="L5" s="321"/>
    </row>
    <row r="6" spans="1:12" ht="30.75" customHeight="1" x14ac:dyDescent="0.2">
      <c r="A6" s="321"/>
      <c r="B6" s="2503" t="s">
        <v>1375</v>
      </c>
      <c r="C6" s="2503"/>
      <c r="D6" s="2503"/>
      <c r="E6" s="2503"/>
      <c r="F6" s="2503"/>
      <c r="G6" s="2503"/>
      <c r="H6" s="2503"/>
      <c r="I6" s="2503"/>
      <c r="J6" s="2503"/>
      <c r="K6" s="2503"/>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1952</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85"/>
      <c r="G12" s="2485"/>
      <c r="H12" s="2485"/>
      <c r="I12" s="2485"/>
      <c r="J12" s="2485"/>
      <c r="K12" s="2485"/>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8"/>
      <c r="E14" s="2498"/>
      <c r="F14" s="2498"/>
      <c r="H14" s="1474" t="s">
        <v>1370</v>
      </c>
      <c r="I14" s="2499"/>
      <c r="J14" s="2499"/>
      <c r="K14" s="2499"/>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499"/>
      <c r="E16" s="2499"/>
      <c r="F16" s="2499"/>
      <c r="G16" s="2499"/>
      <c r="H16" s="2499"/>
      <c r="I16" s="2499"/>
      <c r="J16" s="2499"/>
      <c r="K16" s="2499"/>
      <c r="L16" s="321"/>
    </row>
    <row r="17" spans="2:12" ht="13.5" customHeight="1" x14ac:dyDescent="0.2">
      <c r="B17" s="1386" t="s">
        <v>1368</v>
      </c>
      <c r="C17" s="1386"/>
      <c r="D17" s="2500"/>
      <c r="E17" s="2500"/>
      <c r="F17" s="2500"/>
      <c r="G17" s="2500"/>
      <c r="H17" s="2500"/>
      <c r="I17" s="2500"/>
      <c r="J17" s="2500"/>
      <c r="K17" s="2500"/>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3"/>
      <c r="C20" s="2493"/>
      <c r="D20" s="2493"/>
      <c r="E20" s="2493"/>
      <c r="F20" s="2493"/>
      <c r="G20" s="2493"/>
      <c r="H20" s="2493"/>
      <c r="I20" s="2493"/>
      <c r="J20" s="2493"/>
      <c r="K20" s="2493"/>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93"/>
      <c r="C23" s="2493"/>
      <c r="D23" s="2493"/>
      <c r="E23" s="2493"/>
      <c r="F23" s="2493"/>
      <c r="G23" s="2493"/>
      <c r="H23" s="2493"/>
      <c r="I23" s="2493"/>
      <c r="J23" s="2493"/>
      <c r="K23" s="2493"/>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93"/>
      <c r="C26" s="2493"/>
      <c r="D26" s="2493"/>
      <c r="E26" s="2493"/>
      <c r="F26" s="2493"/>
      <c r="G26" s="2493"/>
      <c r="H26" s="2493"/>
      <c r="I26" s="2493"/>
      <c r="J26" s="2493"/>
      <c r="K26" s="2493"/>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93"/>
      <c r="C29" s="2493"/>
      <c r="D29" s="2493"/>
      <c r="E29" s="2493"/>
      <c r="F29" s="2493"/>
      <c r="G29" s="2493"/>
      <c r="H29" s="2493"/>
      <c r="I29" s="2493"/>
      <c r="J29" s="2493"/>
      <c r="K29" s="2493"/>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3"/>
      <c r="C32" s="2493"/>
      <c r="D32" s="2493"/>
      <c r="E32" s="2493"/>
      <c r="F32" s="2493"/>
      <c r="G32" s="2493"/>
      <c r="H32" s="2493"/>
      <c r="I32" s="2493"/>
      <c r="J32" s="2493"/>
      <c r="K32" s="2493"/>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3"/>
      <c r="C35" s="2493"/>
      <c r="D35" s="2493"/>
      <c r="E35" s="2493"/>
      <c r="F35" s="2493"/>
      <c r="G35" s="2493"/>
      <c r="H35" s="2493"/>
      <c r="I35" s="2493"/>
      <c r="J35" s="2493"/>
      <c r="K35" s="2493"/>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3"/>
      <c r="C38" s="2493"/>
      <c r="D38" s="2493"/>
      <c r="E38" s="2493"/>
      <c r="F38" s="2493"/>
      <c r="G38" s="2493"/>
      <c r="H38" s="2493"/>
      <c r="I38" s="2493"/>
      <c r="J38" s="2493"/>
      <c r="K38" s="2493"/>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93"/>
      <c r="C41" s="2493"/>
      <c r="D41" s="2493"/>
      <c r="E41" s="2493"/>
      <c r="F41" s="2493"/>
      <c r="G41" s="2493"/>
      <c r="H41" s="2493"/>
      <c r="I41" s="2493"/>
      <c r="J41" s="2493"/>
      <c r="K41" s="2493"/>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78" t="str">
        <f>'Single Audit Cover'!A7</f>
        <v>Komarek SD 94</v>
      </c>
      <c r="C1" s="2478"/>
      <c r="D1" s="2478"/>
      <c r="E1" s="1490"/>
    </row>
    <row r="2" spans="2:5" s="1281" customFormat="1" ht="12.75" customHeight="1" x14ac:dyDescent="0.2">
      <c r="B2" s="2480">
        <f>'Single Audit Cover'!E7</f>
        <v>6016094002</v>
      </c>
      <c r="C2" s="2480"/>
      <c r="D2" s="2480"/>
      <c r="E2" s="1491"/>
    </row>
    <row r="3" spans="2:5" ht="12.75" customHeight="1" x14ac:dyDescent="0.2">
      <c r="B3" s="2494" t="s">
        <v>1869</v>
      </c>
      <c r="C3" s="2494"/>
      <c r="D3" s="2494"/>
      <c r="E3" s="1273"/>
    </row>
    <row r="4" spans="2:5" s="1281" customFormat="1" ht="12.75" customHeight="1" x14ac:dyDescent="0.2">
      <c r="B4" s="2504" t="str">
        <f>'Single Audit Cover'!A4</f>
        <v>Year Ending June 30, 2018</v>
      </c>
      <c r="C4" s="2504"/>
      <c r="D4" s="2504"/>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www.w3.org/XML/1998/namespace"/>
    <ds:schemaRef ds:uri="http://purl.org/dc/elements/1.1/"/>
    <ds:schemaRef ds:uri="d21dc803-237d-4c68-8692-8d731fd29118"/>
    <ds:schemaRef ds:uri="http://purl.org/dc/terms/"/>
    <ds:schemaRef ds:uri="6ce3111e-7420-4802-b50a-75d4e9a0b980"/>
    <ds:schemaRef ds:uri="http://purl.org/dc/dcmitype/"/>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Aud Quest 2</vt:lpstr>
      <vt:lpstr>TOC</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2018-12-03T20:27:04Z</cp:lastPrinted>
  <dcterms:created xsi:type="dcterms:W3CDTF">2003-10-29T19:06:34Z</dcterms:created>
  <dcterms:modified xsi:type="dcterms:W3CDTF">2018-12-18T17:27:35Z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