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6"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D7762" i="106" s="1"/>
  <c r="K12" i="12"/>
  <c r="B7719" i="106" s="1"/>
  <c r="D7719" i="106" s="1"/>
  <c r="K23" i="12"/>
  <c r="J12" i="12"/>
  <c r="J21" i="12"/>
  <c r="J23" i="12"/>
  <c r="B7729" i="106"/>
  <c r="D7729" i="106" s="1"/>
  <c r="B7734" i="106"/>
  <c r="B7726" i="106"/>
  <c r="D7726" i="106" s="1"/>
  <c r="D76" i="3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B6999" i="106" s="1"/>
  <c r="D6999" i="106" s="1"/>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s="1"/>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s="1"/>
  <c r="B6631" i="106"/>
  <c r="D6631" i="106" s="1"/>
  <c r="B6632" i="106"/>
  <c r="D6632" i="106" s="1"/>
  <c r="B6633" i="106"/>
  <c r="D6633" i="106" s="1"/>
  <c r="B6634" i="106"/>
  <c r="D6634" i="106"/>
  <c r="B6635" i="106"/>
  <c r="D6635" i="106" s="1"/>
  <c r="B6636" i="106"/>
  <c r="D6636" i="106"/>
  <c r="B6637" i="106"/>
  <c r="D6637" i="106" s="1"/>
  <c r="B6638" i="106"/>
  <c r="D6638" i="106" s="1"/>
  <c r="B6639" i="106"/>
  <c r="D6639" i="106" s="1"/>
  <c r="B6640" i="106"/>
  <c r="D6640" i="106"/>
  <c r="B6641" i="106"/>
  <c r="D6641" i="106" s="1"/>
  <c r="B6642" i="106"/>
  <c r="D6642" i="106"/>
  <c r="B6643" i="106"/>
  <c r="D6643" i="106" s="1"/>
  <c r="B6644" i="106"/>
  <c r="D6644" i="106" s="1"/>
  <c r="B6645" i="106"/>
  <c r="D6645" i="106" s="1"/>
  <c r="B6646" i="106"/>
  <c r="D6646" i="106" s="1"/>
  <c r="B6647" i="106"/>
  <c r="D6647" i="106" s="1"/>
  <c r="B6648" i="106"/>
  <c r="D6648" i="106" s="1"/>
  <c r="B6649" i="106"/>
  <c r="D6649" i="106" s="1"/>
  <c r="B6650" i="106"/>
  <c r="D6650" i="106"/>
  <c r="B6651" i="106"/>
  <c r="D6651" i="106" s="1"/>
  <c r="B6652" i="106"/>
  <c r="D6652" i="106"/>
  <c r="B6653" i="106"/>
  <c r="D6653" i="106" s="1"/>
  <c r="B6654" i="106"/>
  <c r="D6654" i="106"/>
  <c r="B6655" i="106"/>
  <c r="D6655" i="106" s="1"/>
  <c r="B6656" i="106"/>
  <c r="D6656" i="106" s="1"/>
  <c r="B6657" i="106"/>
  <c r="D6657" i="106" s="1"/>
  <c r="B6658" i="106"/>
  <c r="D6658" i="106"/>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c r="B6683" i="106"/>
  <c r="D6683" i="106" s="1"/>
  <c r="B6684" i="106"/>
  <c r="D6684" i="106"/>
  <c r="B6685" i="106"/>
  <c r="D6685" i="106" s="1"/>
  <c r="B6686" i="106"/>
  <c r="D6686" i="106" s="1"/>
  <c r="B6687" i="106"/>
  <c r="D6687" i="106" s="1"/>
  <c r="B6688" i="106"/>
  <c r="D6688" i="106"/>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c r="B6719" i="106"/>
  <c r="D6719" i="106" s="1"/>
  <c r="B6720" i="106"/>
  <c r="D6720" i="106"/>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c r="B6749" i="106"/>
  <c r="D6749" i="106" s="1"/>
  <c r="B6750" i="106"/>
  <c r="D6750" i="106" s="1"/>
  <c r="B6751" i="106"/>
  <c r="D6751" i="106" s="1"/>
  <c r="B6752" i="106"/>
  <c r="D6752" i="106"/>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c r="B6827" i="106"/>
  <c r="D6827" i="106" s="1"/>
  <c r="B6828" i="106"/>
  <c r="D6828" i="106"/>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D27" i="108"/>
  <c r="E27" i="108"/>
  <c r="G27" i="108"/>
  <c r="F36" i="108"/>
  <c r="G28" i="108"/>
  <c r="E29" i="108"/>
  <c r="G29" i="108"/>
  <c r="D36"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s="1"/>
  <c r="D5165" i="106" s="1"/>
  <c r="C154" i="5"/>
  <c r="B5178" i="106" s="1"/>
  <c r="D5178" i="106" s="1"/>
  <c r="D154" i="5"/>
  <c r="B5394" i="106" s="1"/>
  <c r="D5394"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F13" i="4"/>
  <c r="B2596" i="106" s="1"/>
  <c r="D2596" i="106" s="1"/>
  <c r="D14" i="4"/>
  <c r="B2570" i="106" s="1"/>
  <c r="D2570" i="106" s="1"/>
  <c r="F14" i="4"/>
  <c r="B2597" i="106" s="1"/>
  <c r="D2597" i="106" s="1"/>
  <c r="B2633" i="106"/>
  <c r="D2633" i="106" s="1"/>
  <c r="D7" i="118"/>
  <c r="D8" i="118"/>
  <c r="D9" i="118"/>
  <c r="H14" i="118"/>
  <c r="H19" i="118"/>
  <c r="H24" i="118"/>
  <c r="H28" i="118"/>
  <c r="H29" i="118"/>
  <c r="D22" i="37"/>
  <c r="J22" i="37"/>
  <c r="L22" i="37"/>
  <c r="D13" i="7"/>
  <c r="B3726" i="106" s="1"/>
  <c r="D3726" i="106" s="1"/>
  <c r="F128" i="34"/>
  <c r="B5752" i="106"/>
  <c r="D5752" i="106" s="1"/>
  <c r="D15" i="7"/>
  <c r="B1772" i="106" s="1"/>
  <c r="D1772" i="106" s="1"/>
  <c r="B4373" i="106" l="1"/>
  <c r="D4373" i="106" s="1"/>
  <c r="K173" i="5"/>
  <c r="K6" i="4" s="1"/>
  <c r="B3570" i="106" s="1"/>
  <c r="D3570" i="106" s="1"/>
  <c r="F127" i="34"/>
  <c r="K350" i="29"/>
  <c r="B3670" i="106" s="1"/>
  <c r="D3670" i="106" s="1"/>
  <c r="G352" i="29"/>
  <c r="E38" i="108"/>
  <c r="H112" i="29"/>
  <c r="B7018" i="106" s="1"/>
  <c r="D7018" i="106" s="1"/>
  <c r="H76" i="4"/>
  <c r="B3298" i="106" s="1"/>
  <c r="D3298" i="106" s="1"/>
  <c r="C129" i="29"/>
  <c r="F21" i="8"/>
  <c r="J352" i="29"/>
  <c r="D6103" i="106"/>
  <c r="B1274" i="106"/>
  <c r="D1274" i="106" s="1"/>
  <c r="F70" i="34"/>
  <c r="D17" i="7"/>
  <c r="B4104" i="106" s="1"/>
  <c r="D4104" i="106" s="1"/>
  <c r="J210" i="29"/>
  <c r="B7072" i="106" s="1"/>
  <c r="D7072" i="106" s="1"/>
  <c r="F111" i="34"/>
  <c r="D11" i="7"/>
  <c r="B1768" i="106" s="1"/>
  <c r="D1768" i="106" s="1"/>
  <c r="D9" i="7"/>
  <c r="B1767" i="106" s="1"/>
  <c r="D1767" i="106" s="1"/>
  <c r="D7" i="7"/>
  <c r="B1763" i="106" s="1"/>
  <c r="D1763" i="106" s="1"/>
  <c r="L5" i="11"/>
  <c r="B2056" i="106" s="1"/>
  <c r="D2056" i="106" s="1"/>
  <c r="D69" i="36"/>
  <c r="L367" i="29"/>
  <c r="H33" i="118"/>
  <c r="H109" i="5"/>
  <c r="B6025" i="106" s="1"/>
  <c r="D6025" i="106" s="1"/>
  <c r="D24" i="37"/>
  <c r="B4270" i="106" s="1"/>
  <c r="D4270" i="106" s="1"/>
  <c r="B5096" i="106"/>
  <c r="D5096" i="106" s="1"/>
  <c r="F71" i="34"/>
  <c r="F44" i="34"/>
  <c r="E35" i="108"/>
  <c r="E30" i="108"/>
  <c r="G26" i="108"/>
  <c r="C342" i="29"/>
  <c r="B7216" i="106" s="1"/>
  <c r="D7216" i="106" s="1"/>
  <c r="L13" i="11"/>
  <c r="B2060" i="106" s="1"/>
  <c r="D2060" i="106" s="1"/>
  <c r="I24" i="12"/>
  <c r="K274" i="5"/>
  <c r="K7" i="4" s="1"/>
  <c r="B3718" i="106" s="1"/>
  <c r="D3718" i="106" s="1"/>
  <c r="B5518" i="106"/>
  <c r="D5518" i="106" s="1"/>
  <c r="E109" i="5"/>
  <c r="E4" i="4" s="1"/>
  <c r="B2630" i="106" s="1"/>
  <c r="D2630" i="106" s="1"/>
  <c r="B1746" i="106"/>
  <c r="D1746" i="106" s="1"/>
  <c r="F106" i="34"/>
  <c r="B5770" i="106"/>
  <c r="D5770" i="106" s="1"/>
  <c r="B6858" i="106"/>
  <c r="D6858" i="106" s="1"/>
  <c r="F36" i="34"/>
  <c r="H4" i="4"/>
  <c r="B2655" i="106" s="1"/>
  <c r="D2655" i="106" s="1"/>
  <c r="H173" i="5"/>
  <c r="B5847" i="106"/>
  <c r="D5847" i="106" s="1"/>
  <c r="F130" i="34"/>
  <c r="K28" i="118"/>
  <c r="O27" i="118" s="1"/>
  <c r="O29" i="118" s="1"/>
  <c r="D5" i="4"/>
  <c r="B3406" i="106" s="1"/>
  <c r="D3406" i="106" s="1"/>
  <c r="B4363" i="106"/>
  <c r="D4363" i="106" s="1"/>
  <c r="I173" i="5"/>
  <c r="B4216" i="106" s="1"/>
  <c r="D4216" i="106" s="1"/>
  <c r="L342" i="29"/>
  <c r="F66" i="34"/>
  <c r="L312" i="29"/>
  <c r="F41" i="34"/>
  <c r="F35" i="34"/>
  <c r="B3621" i="106"/>
  <c r="D3621" i="106" s="1"/>
  <c r="C367" i="29"/>
  <c r="K352" i="29"/>
  <c r="K13" i="4" s="1"/>
  <c r="B3572" i="106" s="1"/>
  <c r="D3572" i="106" s="1"/>
  <c r="H365" i="29"/>
  <c r="K76" i="4"/>
  <c r="B3586" i="106" s="1"/>
  <c r="D3586" i="106" s="1"/>
  <c r="B1995" i="106"/>
  <c r="D1995" i="106" s="1"/>
  <c r="K285" i="29"/>
  <c r="B3724" i="106" s="1"/>
  <c r="D3724" i="106" s="1"/>
  <c r="K24" i="12"/>
  <c r="B3649" i="106"/>
  <c r="D3649" i="106" s="1"/>
  <c r="G367" i="29"/>
  <c r="B3619" i="106"/>
  <c r="D3619" i="106" s="1"/>
  <c r="K41" i="3"/>
  <c r="B3568" i="106" s="1"/>
  <c r="D3568" i="106" s="1"/>
  <c r="G39" i="108"/>
  <c r="G15" i="145"/>
  <c r="N22" i="3"/>
  <c r="B283" i="106" s="1"/>
  <c r="D283" i="106" s="1"/>
  <c r="D68" i="36"/>
  <c r="F19" i="7"/>
  <c r="B1807" i="106" s="1"/>
  <c r="D1807" i="106" s="1"/>
  <c r="D54" i="36"/>
  <c r="J41" i="3"/>
  <c r="B6216" i="106" s="1"/>
  <c r="D6216" i="106" s="1"/>
  <c r="D12" i="7"/>
  <c r="B1769" i="106" s="1"/>
  <c r="D1769" i="106" s="1"/>
  <c r="B1410" i="106"/>
  <c r="D1410" i="106" s="1"/>
  <c r="G109" i="5"/>
  <c r="B1329" i="106"/>
  <c r="D1329" i="106" s="1"/>
  <c r="F61" i="34"/>
  <c r="F28" i="108"/>
  <c r="E28" i="108"/>
  <c r="D109" i="5"/>
  <c r="D5" i="7"/>
  <c r="B1761" i="106" s="1"/>
  <c r="D1761" i="106" s="1"/>
  <c r="F52" i="34"/>
  <c r="C14" i="4"/>
  <c r="B2558" i="106" s="1"/>
  <c r="D2558" i="106" s="1"/>
  <c r="G38" i="108"/>
  <c r="F37" i="108"/>
  <c r="D37" i="108"/>
  <c r="F31" i="108"/>
  <c r="G30" i="108"/>
  <c r="D26" i="108"/>
  <c r="B1126" i="106"/>
  <c r="D1126" i="106" s="1"/>
  <c r="F26" i="108"/>
  <c r="B2724" i="106"/>
  <c r="D2724" i="106" s="1"/>
  <c r="F131" i="34"/>
  <c r="C172" i="5"/>
  <c r="B5214" i="106" s="1"/>
  <c r="D5214" i="106" s="1"/>
  <c r="C109" i="5"/>
  <c r="B5121" i="106" s="1"/>
  <c r="D5121" i="106" s="1"/>
  <c r="D4" i="7"/>
  <c r="B1760" i="106" s="1"/>
  <c r="D1760" i="106" s="1"/>
  <c r="B4268" i="106"/>
  <c r="D4268" i="106"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H275" i="5" l="1"/>
  <c r="K365" i="29"/>
  <c r="K367" i="29" s="1"/>
  <c r="D7256" i="106"/>
  <c r="D7251" i="106"/>
  <c r="L114" i="29"/>
  <c r="B1996" i="106"/>
  <c r="D1996" i="106" s="1"/>
  <c r="I26" i="12"/>
  <c r="B7741" i="106" s="1"/>
  <c r="D7741" i="106" s="1"/>
  <c r="J367" i="29"/>
  <c r="B7245" i="106" s="1"/>
  <c r="D7245" i="106" s="1"/>
  <c r="B7235" i="106"/>
  <c r="D7235" i="106" s="1"/>
  <c r="D7253" i="106"/>
  <c r="B1879" i="106"/>
  <c r="D1879" i="106" s="1"/>
  <c r="H22" i="37"/>
  <c r="B1328" i="106"/>
  <c r="D1328" i="106" s="1"/>
  <c r="D52" i="36"/>
  <c r="H77" i="4"/>
  <c r="B3299" i="106" s="1"/>
  <c r="D3299" i="106" s="1"/>
  <c r="D7250" i="106"/>
  <c r="F274" i="5"/>
  <c r="F275" i="5" s="1"/>
  <c r="B5720" i="106" s="1"/>
  <c r="D5720" i="106" s="1"/>
  <c r="D41" i="108"/>
  <c r="E43" i="108" s="1"/>
  <c r="B7733" i="106"/>
  <c r="D7733" i="106" s="1"/>
  <c r="K26" i="12"/>
  <c r="B7743" i="106" s="1"/>
  <c r="D7743" i="106" s="1"/>
  <c r="H367" i="29"/>
  <c r="B3660" i="106" s="1"/>
  <c r="D3660" i="106" s="1"/>
  <c r="B7242" i="106"/>
  <c r="D7242" i="106" s="1"/>
  <c r="B5906" i="106"/>
  <c r="D5906" i="106" s="1"/>
  <c r="H6" i="4"/>
  <c r="F73" i="34"/>
  <c r="G15" i="4"/>
  <c r="B6032" i="106" s="1"/>
  <c r="D6032" i="106" s="1"/>
  <c r="L16" i="11"/>
  <c r="B2061" i="106" s="1"/>
  <c r="D2061" i="106" s="1"/>
  <c r="B2031" i="106"/>
  <c r="D2031" i="106" s="1"/>
  <c r="N23" i="3"/>
  <c r="B284" i="106" s="1"/>
  <c r="D284" i="106" s="1"/>
  <c r="D51" i="36"/>
  <c r="K342" i="29"/>
  <c r="F13" i="34" s="1"/>
  <c r="B6024" i="106"/>
  <c r="D6024" i="106" s="1"/>
  <c r="G4" i="4"/>
  <c r="B2603" i="106" s="1"/>
  <c r="D2603" i="106" s="1"/>
  <c r="B5356" i="106"/>
  <c r="D5356" i="106" s="1"/>
  <c r="D4" i="4"/>
  <c r="B2564" i="106" s="1"/>
  <c r="D2564" i="106" s="1"/>
  <c r="D19" i="7"/>
  <c r="B1775" i="106" s="1"/>
  <c r="D1775" i="106" s="1"/>
  <c r="F41" i="108"/>
  <c r="G43" i="108" s="1"/>
  <c r="C114" i="29"/>
  <c r="B757" i="106" s="1"/>
  <c r="D757" i="106" s="1"/>
  <c r="C173" i="5"/>
  <c r="B5223" i="106" s="1"/>
  <c r="D522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C6" i="4" l="1"/>
  <c r="B2553" i="106" s="1"/>
  <c r="D2553" i="106" s="1"/>
  <c r="J8" i="4"/>
  <c r="F24" i="37"/>
  <c r="B5719" i="106"/>
  <c r="D5719" i="106" s="1"/>
  <c r="B2656" i="106"/>
  <c r="D2656" i="106" s="1"/>
  <c r="H8" i="4"/>
  <c r="J17" i="4"/>
  <c r="J20" i="4" s="1"/>
  <c r="F8" i="4"/>
  <c r="F10" i="4" s="1"/>
  <c r="B4125" i="106" s="1"/>
  <c r="D41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H10" i="4" l="1"/>
  <c r="B4127" i="106" s="1"/>
  <c r="D4127" i="106" s="1"/>
  <c r="B2658" i="106"/>
  <c r="D2658" i="106" s="1"/>
  <c r="J19" i="4"/>
  <c r="B6229" i="106" s="1"/>
  <c r="D6229"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<sst xmlns="http://schemas.openxmlformats.org/spreadsheetml/2006/main" count="5072" uniqueCount="2125">
  <si>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</si>
  <si>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</si>
  <si>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</si>
  <si>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</si>
  <si>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</si>
  <si>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</si>
  <si>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</si>
  <si>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</si>
  <si>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</si>
  <si>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</si>
  <si>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</si>
  <si>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</si>
  <si>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</si>
  <si>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</si>
  <si>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</si>
  <si>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</si>
  <si>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</si>
  <si>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</si>
  <si>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</si>
  <si>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</si>
  <si>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</si>
  <si>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</si>
  <si>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</si>
  <si>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</si>
  <si>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</si>
  <si>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</si>
  <si>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</si>
  <si>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</si>
  <si>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</si>
  <si>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</si>
  <si>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</si>
  <si>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</si>
  <si>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</si>
  <si>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</si>
  <si>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</si>
  <si>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</si>
  <si>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</si>
  <si>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</si>
  <si>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</si>
  <si>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</si>
  <si>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</si>
  <si>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</si>
  <si>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</si>
  <si>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</si>
  <si>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</si>
  <si>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</si>
  <si>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</si>
  <si>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</si>
  <si>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</si>
  <si>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</si>
  <si>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</si>
  <si>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</si>
  <si>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</si>
  <si>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</si>
  <si>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</si>
  <si>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</si>
  <si>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</si>
  <si>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</si>
  <si>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</si>
  <si>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</si>
  <si>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</si>
  <si>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</si>
  <si>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</si>
  <si>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</si>
  <si>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</si>
  <si>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</si>
  <si>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</si>
  <si>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</si>
  <si>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</si>
  <si>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</si>
  <si>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</si>
  <si>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</si>
  <si>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</si>
  <si>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</si>
  <si>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</si>
  <si>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</si>
  <si>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</si>
  <si>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</si>
  <si>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</si>
  <si>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</si>
  <si>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</si>
  <si>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</si>
  <si>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</si>
  <si>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</si>
  <si>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</si>
  <si>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</si>
  <si>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</si>
  <si>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</si>
  <si>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</si>
  <si>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</si>
  <si>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</si>
  <si>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</si>
  <si>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</si>
  <si>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</si>
  <si>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</si>
  <si>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</si>
  <si>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</si>
  <si>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</si>
  <si>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</si>
  <si>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</si>
  <si>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</si>
  <si>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</si>
  <si>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</si>
  <si>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</si>
  <si>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</si>
  <si>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</si>
  <si>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</si>
  <si>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</si>
  <si>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</si>
  <si>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</si>
  <si>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</si>
  <si>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</si>
  <si>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</si>
  <si>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</si>
  <si>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</si>
  <si>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</si>
  <si>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</si>
  <si>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</si>
  <si>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</si>
  <si>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</si>
  <si>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</si>
  <si>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</si>
  <si>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</si>
  <si>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</si>
  <si>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</si>
  <si>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</si>
  <si>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</si>
  <si>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</si>
  <si>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</si>
  <si>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</si>
  <si>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</si>
  <si>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</si>
  <si>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</si>
  <si>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</si>
  <si>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</si>
  <si>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</si>
  <si>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</si>
  <si>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</si>
  <si>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</si>
  <si>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</si>
  <si>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</si>
  <si>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</si>
  <si>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</si>
  <si>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</si>
  <si>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</si>
  <si>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</si>
  <si>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</si>
  <si>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</si>
  <si>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</si>
  <si>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</si>
  <si>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</si>
  <si>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</si>
  <si>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</si>
  <si>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</si>
  <si>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</si>
  <si>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</si>
  <si>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</si>
  <si>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</si>
  <si>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</si>
  <si>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</si>
  <si>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</si>
  <si>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</si>
  <si>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</si>
  <si>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</si>
  <si>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</si>
  <si>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</si>
  <si>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</si>
  <si>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</si>
  <si>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</si>
  <si>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</si>
  <si>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</si>
  <si>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</si>
  <si>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</si>
  <si>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</si>
  <si>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</si>
  <si>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</si>
  <si>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</si>
  <si>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</si>
  <si>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</si>
  <si>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</si>
  <si>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</si>
  <si>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</si>
  <si>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</si>
  <si>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</si>
  <si>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</si>
  <si>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</si>
  <si>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</si>
  <si>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</si>
  <si>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</si>
  <si>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</si>
  <si>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</si>
  <si>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</si>
  <si>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</si>
  <si>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</si>
  <si>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</si>
  <si>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</si>
  <si>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</si>
  <si>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</si>
  <si>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</si>
  <si>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</si>
  <si>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</si>
  <si>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</si>
  <si>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</si>
  <si>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</si>
  <si>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</si>
  <si>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</si>
  <si>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</si>
  <si>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</si>
  <si>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</si>
  <si>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</si>
  <si>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</si>
  <si>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</si>
  <si>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</si>
  <si>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</si>
  <si>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</si>
  <si>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</si>
  <si>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</si>
  <si>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</si>
  <si>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</si>
  <si>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</si>
  <si>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</si>
  <si>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</si>
  <si>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</si>
  <si>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</si>
  <si>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</si>
  <si>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</si>
  <si>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</si>
  <si>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</si>
  <si>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</si>
  <si>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</si>
  <si>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</si>
  <si>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</si>
  <si>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</si>
  <si>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</si>
  <si>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</si>
  <si>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</si>
  <si>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</si>
  <si>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</si>
  <si>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</si>
  <si>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</si>
  <si>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</si>
  <si>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</si>
  <si>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</si>
  <si>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</si>
  <si>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</si>
  <si>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</si>
  <si>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</si>
  <si>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</si>
  <si>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</si>
  <si>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</si>
  <si>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</si>
  <si>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</si>
  <si>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</si>
  <si>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</si>
  <si>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</si>
  <si>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</si>
  <si>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</si>
  <si>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</si>
  <si>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</si>
  <si>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</si>
  <si>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</si>
  <si>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</si>
  <si>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</si>
  <si>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</si>
  <si>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</si>
  <si>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</si>
  <si>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</si>
  <si>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</si>
  <si>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</si>
  <si>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</si>
  <si>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</si>
  <si>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</si>
  <si>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</si>
  <si>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</si>
  <si>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</si>
  <si>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</si>
  <si>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</si>
  <si>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</si>
  <si>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</si>
  <si>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</si>
  <si>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</si>
  <si>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</si>
  <si>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</si>
  <si>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</si>
  <si>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</si>
  <si>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</si>
  <si>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</si>
  <si>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</si>
  <si>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</si>
  <si>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</si>
  <si>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</si>
  <si>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</si>
  <si>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</si>
  <si>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</si>
  <si>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</si>
  <si>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</si>
  <si>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</si>
  <si>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</si>
  <si>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</si>
  <si>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</si>
  <si>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</si>
  <si>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</si>
  <si>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</si>
  <si>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</si>
  <si>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</si>
  <si>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</si>
  <si>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</si>
  <si>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</si>
  <si>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</si>
  <si>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</si>
  <si>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</si>
  <si>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</si>
  <si>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</si>
  <si>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</si>
  <si>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</si>
  <si>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</si>
  <si>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</si>
  <si>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</si>
  <si>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</si>
  <si>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</si>
  <si>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</si>
  <si>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</si>
  <si>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</si>
  <si>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</si>
  <si>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</si>
  <si>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</si>
  <si>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</si>
  <si>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</si>
  <si>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</si>
  <si>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</si>
  <si>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</si>
  <si>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</si>
  <si>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</si>
  <si>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</si>
  <si>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</si>
  <si>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</si>
  <si>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</si>
  <si>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</si>
  <si>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</si>
  <si>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</si>
  <si>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</si>
  <si>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</si>
  <si>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</si>
  <si>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</si>
  <si>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</si>
  <si>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</si>
  <si>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</si>
  <si>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</si>
  <si>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</si>
  <si>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</si>
  <si>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</si>
  <si>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</si>
  <si>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</si>
  <si>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</si>
  <si>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</si>
  <si>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</si>
  <si>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</si>
  <si>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</si>
  <si>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</si>
  <si>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</si>
  <si>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</si>
  <si>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</si>
  <si>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</si>
  <si>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</si>
  <si>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</si>
  <si>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</si>
  <si>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</si>
  <si>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</si>
  <si>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</si>
  <si>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</si>
  <si>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</si>
  <si>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</si>
  <si>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</si>
  <si>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</si>
  <si>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</si>
  <si>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</si>
  <si>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</si>
  <si>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</si>
  <si>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</si>
  <si>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</si>
  <si>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</si>
  <si>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</si>
  <si>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</si>
  <si>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</si>
  <si>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</si>
  <si>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</si>
  <si>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</si>
  <si>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</si>
  <si>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</si>
  <si>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</si>
  <si>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</si>
  <si>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</si>
  <si>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</si>
  <si>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</si>
  <si>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</si>
  <si>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</si>
  <si>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</si>
  <si>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</si>
  <si>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</si>
  <si>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</si>
  <si>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</si>
  <si>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</si>
  <si>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</si>
  <si>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</si>
  <si>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</si>
  <si>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</si>
  <si>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</si>
  <si>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</si>
  <si>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</si>
  <si>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</si>
  <si>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</si>
  <si>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</si>
  <si>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</si>
  <si>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</si>
  <si>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</si>
  <si>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</si>
  <si>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</si>
  <si>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</si>
  <si>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</si>
  <si>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</si>
  <si>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</si>
  <si>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</si>
  <si>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</si>
  <si>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</si>
  <si>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</si>
  <si>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</si>
  <si>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</si>
  <si>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</si>
  <si>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</si>
  <si>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</si>
  <si>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</si>
  <si>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</si>
  <si>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</si>
  <si>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</si>
  <si>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</si>
  <si>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</si>
  <si>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</si>
  <si>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</si>
  <si>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</si>
  <si>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</si>
  <si>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</si>
  <si>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</si>
  <si>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</si>
  <si>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</si>
  <si>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</si>
  <si>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</si>
  <si>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</si>
  <si>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</si>
  <si>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</si>
  <si>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</si>
  <si>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</si>
  <si>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</si>
  <si>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</si>
  <si>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</si>
  <si>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</si>
  <si>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</si>
  <si>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</si>
  <si>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</si>
  <si>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</si>
  <si>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</si>
  <si>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</si>
  <si>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</si>
  <si>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</si>
  <si>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</si>
  <si>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</si>
  <si>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</si>
  <si>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</si>
  <si>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</si>
  <si>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</si>
  <si>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</si>
  <si>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</si>
  <si>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</si>
  <si>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</si>
  <si>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</si>
  <si>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</si>
  <si>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</si>
  <si>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</si>
  <si>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</si>
  <si>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</si>
  <si>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</si>
  <si>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</si>
  <si>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</si>
  <si>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</si>
  <si>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</si>
  <si>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</si>
  <si>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</si>
  <si>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</si>
  <si>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</si>
  <si>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</si>
  <si>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</si>
  <si>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</si>
  <si>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</si>
  <si>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</si>
  <si>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</si>
  <si>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</si>
  <si>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</si>
  <si>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</si>
  <si>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</si>
  <si>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</si>
  <si>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</si>
  <si>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</si>
  <si>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</si>
  <si>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</si>
  <si>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</si>
  <si>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</si>
  <si>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</si>
  <si>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</si>
  <si>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</si>
  <si>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</si>
  <si>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</si>
  <si>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</si>
  <si>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</si>
  <si>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</si>
  <si>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</si>
  <si>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</si>
  <si>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</si>
  <si>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</si>
  <si>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</si>
  <si>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</si>
  <si>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</si>
  <si>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</si>
  <si>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</si>
  <si>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</si>
  <si>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</si>
  <si>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</si>
  <si>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</si>
  <si>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</si>
  <si>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</si>
  <si>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</si>
  <si>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</si>
  <si>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</si>
  <si>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</si>
  <si>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</si>
  <si>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</si>
  <si>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</si>
  <si>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</si>
  <si>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</si>
  <si>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</si>
  <si>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</si>
  <si>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</si>
  <si>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</si>
  <si>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</si>
  <si>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</si>
  <si>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</si>
  <si>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</si>
  <si>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</si>
  <si>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</si>
  <si>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</si>
  <si>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</si>
  <si>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</si>
  <si>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</si>
  <si>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</si>
  <si>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</si>
  <si>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</si>
  <si>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</si>
  <si>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</si>
  <si>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</si>
  <si>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</si>
  <si>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</si>
  <si>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</si>
  <si>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</si>
  <si>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</si>
  <si>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</si>
  <si>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</si>
  <si>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</si>
  <si>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</si>
  <si>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</si>
  <si>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</si>
  <si>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</si>
  <si>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</si>
  <si>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</si>
  <si>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</si>
  <si>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</si>
  <si>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</si>
  <si>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</si>
  <si>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</si>
  <si>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</si>
  <si>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</si>
  <si>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</si>
  <si>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</si>
  <si>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</si>
  <si>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</si>
  <si>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</si>
  <si>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</si>
  <si>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</si>
  <si>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</si>
  <si>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</si>
  <si>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</si>
  <si>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</si>
  <si>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</si>
  <si>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</si>
  <si>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</si>
  <si>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</si>
  <si>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</si>
  <si>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</si>
  <si>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</si>
  <si>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</si>
  <si>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</si>
  <si>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</si>
  <si>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</si>
  <si>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</si>
  <si>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</si>
  <si>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</si>
  <si>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</si>
  <si>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</si>
  <si>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</si>
  <si>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</si>
  <si>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</si>
  <si>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</si>
  <si>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</si>
  <si>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</si>
  <si>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</si>
  <si>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</si>
  <si>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</si>
  <si>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</si>
  <si>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</si>
  <si>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</si>
  <si>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</si>
  <si>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</si>
  <si>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</si>
  <si>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</si>
  <si>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</si>
  <si>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</si>
  <si>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</si>
  <si>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</si>
  <si>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</si>
  <si>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</si>
  <si>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</si>
  <si>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</si>
  <si>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</si>
  <si>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</si>
  <si>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</si>
  <si>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</si>
  <si>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</si>
  <si>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</si>
  <si>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</si>
  <si>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</si>
  <si>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</si>
  <si>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</si>
  <si>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</si>
  <si>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</si>
  <si>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</si>
  <si>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</si>
  <si>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</si>
  <si>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</si>
  <si>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</si>
  <si>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</si>
  <si>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</si>
  <si>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</si>
  <si>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</si>
  <si>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</si>
  <si>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</si>
  <si>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</si>
  <si>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</si>
  <si>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</si>
  <si>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</si>
  <si>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</si>
  <si>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</si>
  <si>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</si>
  <si>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</si>
  <si>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</si>
  <si>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</si>
  <si>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</si>
  <si>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</si>
  <si>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</si>
  <si>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</si>
  <si>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</si>
  <si>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</si>
  <si>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</si>
  <si>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</si>
  <si>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</si>
  <si>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</si>
  <si>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</si>
  <si>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</si>
  <si>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</si>
  <si>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</si>
  <si>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</si>
  <si>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</si>
  <si>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</si>
  <si>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</si>
  <si>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</si>
  <si>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</si>
  <si>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</si>
  <si>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</si>
  <si>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</si>
  <si>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</si>
  <si>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</si>
  <si>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</si>
  <si>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</si>
  <si>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</si>
  <si>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</si>
  <si>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</si>
  <si>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</si>
  <si>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</si>
  <si>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</si>
  <si>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</si>
  <si>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</si>
  <si>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</si>
  <si>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</si>
  <si>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</si>
  <si>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</si>
  <si>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</si>
  <si>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</si>
  <si>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</si>
  <si>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</si>
  <si>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</si>
  <si>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</si>
  <si>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</si>
  <si>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</si>
  <si>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</si>
  <si>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</si>
  <si>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</si>
  <si>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</si>
  <si>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</si>
  <si>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</si>
  <si>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</si>
  <si>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</si>
  <si>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</si>
  <si>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</si>
  <si>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</si>
  <si>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</si>
  <si>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</si>
  <si>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</si>
  <si>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</si>
  <si>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</si>
  <si>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</si>
  <si>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</si>
  <si>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</si>
  <si>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</si>
  <si>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</si>
  <si>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</si>
  <si>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</si>
  <si>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</si>
  <si>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</si>
  <si>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</si>
  <si>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</si>
  <si>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</si>
  <si>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</si>
  <si>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</si>
  <si>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</si>
  <si>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</si>
  <si>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</si>
  <si>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</si>
  <si>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</si>
  <si>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</si>
  <si>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</si>
  <si>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</si>
  <si>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</si>
  <si>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</si>
  <si>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</si>
  <si>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</si>
  <si>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</si>
  <si>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</si>
  <si>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</si>
  <si>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</si>
  <si>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</si>
  <si>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</si>
  <si>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</si>
  <si>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</si>
  <si>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</si>
  <si>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</si>
  <si>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</si>
  <si>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</si>
  <si>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</si>
  <si>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</si>
  <si>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</si>
  <si>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</si>
  <si>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</si>
  <si>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</si>
  <si>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</si>
  <si>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</si>
  <si>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</si>
  <si>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</si>
  <si>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</si>
  <si>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</si>
  <si>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</si>
  <si>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</si>
  <si>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</si>
  <si>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</si>
  <si>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</si>
  <si>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</si>
  <si>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</si>
  <si>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</si>
  <si>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</si>
  <si>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</si>
  <si>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</si>
  <si>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</si>
  <si>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</si>
  <si>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</si>
  <si>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</si>
  <si>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</si>
  <si>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</si>
  <si>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</si>
  <si>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</si>
  <si>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</si>
  <si>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</si>
  <si>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</si>
  <si>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</si>
  <si>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</si>
  <si>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</si>
  <si>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</si>
  <si>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</si>
  <si>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</si>
  <si>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</si>
  <si>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</si>
  <si>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</si>
  <si>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</si>
  <si>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</si>
  <si>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</si>
  <si>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</si>
  <si>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</si>
  <si>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</si>
  <si>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</si>
  <si>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</si>
  <si>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</si>
  <si>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</si>
  <si>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</si>
  <si>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</si>
  <si>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</si>
  <si>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</si>
  <si>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</si>
  <si>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</si>
  <si>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</si>
  <si>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</si>
  <si>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</si>
  <si>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</si>
  <si>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</si>
  <si>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</si>
  <si>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</si>
  <si>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</si>
  <si>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</si>
  <si>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</si>
  <si>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</si>
  <si>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</si>
  <si>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</si>
  <si>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</si>
  <si>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</si>
  <si>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</si>
  <si>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</si>
  <si>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</si>
  <si>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</si>
  <si>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</si>
  <si>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</si>
  <si>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</si>
  <si>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</si>
  <si>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</si>
  <si>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</si>
  <si>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</si>
  <si>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</si>
  <si>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</si>
  <si>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</si>
  <si>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</si>
  <si>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</si>
  <si>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</si>
  <si>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</si>
  <si>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</si>
  <si>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</si>
  <si>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</si>
  <si>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</si>
  <si>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</si>
  <si>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</si>
  <si>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</si>
  <si>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</si>
  <si>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</si>
  <si>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</si>
  <si>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</si>
  <si>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</si>
  <si>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</si>
  <si>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</si>
  <si>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</si>
  <si>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</si>
  <si>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</si>
  <si>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</si>
  <si>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</si>
  <si>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</si>
  <si>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</si>
  <si>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</si>
  <si>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</si>
  <si>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</si>
  <si>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</si>
  <si>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</si>
  <si>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</si>
  <si>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</si>
  <si>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</si>
  <si>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</si>
  <si>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</si>
  <si>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</si>
  <si>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</si>
  <si>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</si>
  <si>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</si>
  <si>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</si>
  <si>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</si>
  <si>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</si>
  <si>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</si>
  <si>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</si>
  <si>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</si>
  <si>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</si>
  <si>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</si>
  <si>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</si>
  <si>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</si>
  <si>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</si>
  <si>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</si>
  <si>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</si>
  <si>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</si>
  <si>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</si>
  <si>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</si>
  <si>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</si>
  <si>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</si>
  <si>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</si>
  <si>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</si>
  <si>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</si>
  <si>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</si>
  <si>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</si>
  <si>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</si>
  <si>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</si>
  <si>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</si>
  <si>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</si>
  <si>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</si>
  <si>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</si>
  <si>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</si>
  <si>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</si>
  <si>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</si>
  <si>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</si>
  <si>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</si>
  <si>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</si>
  <si>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</si>
  <si>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</si>
  <si>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</si>
  <si>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</si>
  <si>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</si>
  <si>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</si>
  <si>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</si>
  <si>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</si>
  <si>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</si>
  <si>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</si>
  <si>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</si>
  <si>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</si>
  <si>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</si>
  <si>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</si>
  <si>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</si>
  <si>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</si>
  <si>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</si>
  <si>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</si>
  <si>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</si>
  <si>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</si>
  <si>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</si>
  <si>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</si>
  <si>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</si>
  <si>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</si>
  <si>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</si>
  <si>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</si>
  <si>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</si>
  <si>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</si>
  <si>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</si>
  <si>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</si>
  <si>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</si>
  <si>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</si>
  <si>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</si>
  <si>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</si>
  <si>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</si>
  <si>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</si>
  <si>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</si>
  <si>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</si>
  <si>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</si>
  <si>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</si>
  <si>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</si>
  <si>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</si>
  <si>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</si>
  <si>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</si>
  <si>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</si>
  <si>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</si>
  <si>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</si>
  <si>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</si>
  <si>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</si>
  <si>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</si>
  <si>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</si>
  <si>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</si>
  <si>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</si>
  <si>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</si>
  <si>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</si>
  <si>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</si>
  <si>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</si>
  <si>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</si>
  <si>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</si>
  <si>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</si>
  <si>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</si>
  <si>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</si>
  <si>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</si>
  <si>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</si>
  <si>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</si>
  <si>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</si>
  <si>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</si>
  <si>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</si>
  <si>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</si>
  <si>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</si>
  <si>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</si>
  <si>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</si>
  <si>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</si>
  <si>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</si>
  <si>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</si>
  <si>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</si>
  <si>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</si>
  <si>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</si>
  <si>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</si>
  <si>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</si>
  <si>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</si>
  <si>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</si>
  <si>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</si>
  <si>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</si>
  <si>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</si>
  <si>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</si>
  <si>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</si>
  <si>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</si>
  <si>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</si>
  <si>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</si>
  <si>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</si>
  <si>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</si>
  <si>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</si>
  <si>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</si>
  <si>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</si>
  <si>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</si>
  <si>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</si>
  <si>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</si>
  <si>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</si>
  <si>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</si>
  <si>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</si>
  <si>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</si>
  <si>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</si>
  <si>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</si>
  <si>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</si>
  <si>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</si>
  <si>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</si>
  <si>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</si>
  <si>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</si>
  <si>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</si>
  <si>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</si>
  <si>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</si>
  <si>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</si>
  <si>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</si>
  <si>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</si>
  <si>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</si>
  <si>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</si>
  <si>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</si>
  <si>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</si>
  <si>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</si>
  <si>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</si>
  <si>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</si>
  <si>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</si>
  <si>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</si>
  <si>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</si>
  <si>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</si>
  <si>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</si>
  <si>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</si>
  <si>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</si>
  <si>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</si>
  <si>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</si>
  <si>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</si>
  <si>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</si>
  <si>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</si>
  <si>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</si>
  <si>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</si>
  <si>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</si>
  <si>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</si>
  <si>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</si>
  <si>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</si>
  <si>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</si>
  <si>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</si>
  <si>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</si>
  <si>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</si>
  <si>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</si>
  <si>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</si>
  <si>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</si>
  <si>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</si>
  <si>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</si>
  <si>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</si>
  <si>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</si>
  <si>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</si>
  <si>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</si>
  <si>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</si>
  <si>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</si>
  <si>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</si>
  <si>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</si>
  <si>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</si>
  <si>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</si>
  <si>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</si>
  <si>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</si>
  <si>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</si>
  <si>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</si>
  <si>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</si>
  <si>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</si>
  <si>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</si>
  <si>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</si>
  <si>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</si>
  <si>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</si>
  <si>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</si>
  <si>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</si>
  <si>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</si>
  <si>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</si>
  <si>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</si>
  <si>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</si>
  <si>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</si>
  <si>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</si>
  <si>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</si>
  <si>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</si>
  <si>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</si>
  <si>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</si>
  <si>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</si>
  <si>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</si>
  <si>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</si>
  <si>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</si>
  <si>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</si>
  <si>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</si>
  <si>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</si>
  <si>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</si>
  <si>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</si>
  <si>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</si>
  <si>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</si>
  <si>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</si>
  <si>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</si>
  <si>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</si>
  <si>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</si>
  <si>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</si>
  <si>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</si>
  <si>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</si>
  <si>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</si>
  <si>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</si>
  <si>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</si>
  <si>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</si>
  <si>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</si>
  <si>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</si>
  <si>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</si>
  <si>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</si>
  <si>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</si>
  <si>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</si>
  <si>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</si>
  <si>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</si>
  <si>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</si>
  <si>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</si>
  <si>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</si>
  <si>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</si>
  <si>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</si>
  <si>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</si>
  <si>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</si>
  <si>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</si>
  <si>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</si>
  <si>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</si>
  <si>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</si>
  <si>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</si>
  <si>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</si>
  <si>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</si>
  <si>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</si>
  <si>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</si>
  <si>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</si>
  <si>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</si>
  <si>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</si>
  <si>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</si>
  <si>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</si>
  <si>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</si>
  <si>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</si>
  <si>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</si>
  <si>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</si>
  <si>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</si>
  <si>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</si>
  <si>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</si>
  <si>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</si>
  <si>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</si>
  <si>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</si>
  <si>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</si>
  <si>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</si>
  <si>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</si>
  <si>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</si>
  <si>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</si>
  <si>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</si>
  <si>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</si>
  <si>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</si>
  <si>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</si>
  <si>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</si>
  <si>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</si>
  <si>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</si>
  <si>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</si>
  <si>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</si>
  <si>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</si>
  <si>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</si>
  <si>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</si>
  <si>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</si>
  <si>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</si>
  <si>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</si>
  <si>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</si>
  <si>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</si>
  <si>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</si>
  <si>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</si>
  <si>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</si>
  <si>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</si>
  <si>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</si>
  <si>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</si>
  <si>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</si>
  <si>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</si>
  <si>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</si>
  <si>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</si>
  <si>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</si>
  <si>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</si>
  <si>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</si>
  <si>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</si>
  <si>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</si>
  <si>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</si>
  <si>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</si>
  <si>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</si>
  <si>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</si>
  <si>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</si>
  <si>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</si>
  <si>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</si>
  <si>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</si>
  <si>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</si>
  <si>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</si>
  <si>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</si>
  <si>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</si>
  <si>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</si>
  <si>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</si>
  <si>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</si>
  <si>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</si>
  <si>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</si>
  <si>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</si>
  <si>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</si>
  <si>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</si>
  <si>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</si>
  <si>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</si>
  <si>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</si>
  <si>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</si>
  <si>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</si>
  <si>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</si>
  <si>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</si>
  <si>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</si>
  <si>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</si>
  <si>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</si>
  <si>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</si>
  <si>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</si>
  <si>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</si>
  <si>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</si>
  <si>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</si>
  <si>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</si>
  <si>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</si>
  <si>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</si>
  <si>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</si>
  <si>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</si>
  <si>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</si>
  <si>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</si>
  <si>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</si>
  <si>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</si>
  <si>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</si>
  <si>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</si>
  <si>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</si>
  <si>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</si>
  <si>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</si>
  <si>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</si>
  <si>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</si>
  <si>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</si>
  <si>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</si>
  <si>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</si>
  <si>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</si>
  <si>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</si>
  <si>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</si>
  <si>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</si>
  <si>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</si>
  <si>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</si>
  <si>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</si>
  <si>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</si>
  <si>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</si>
  <si>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</si>
  <si>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</si>
  <si>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</si>
  <si>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</si>
  <si>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</si>
  <si>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</si>
  <si>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</si>
  <si>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</si>
  <si>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</si>
  <si>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</si>
  <si>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</si>
  <si>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</si>
  <si>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</si>
  <si>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</si>
  <si>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</si>
  <si>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</si>
  <si>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</si>
  <si>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</si>
  <si>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</si>
  <si>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</si>
  <si>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</si>
  <si>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</si>
  <si>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</si>
  <si>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</si>
  <si>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</si>
  <si>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</si>
  <si>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</si>
  <si>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</si>
  <si>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</si>
  <si>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</si>
  <si>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</si>
  <si>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</si>
  <si>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</si>
  <si>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</si>
  <si>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</si>
  <si>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</si>
  <si>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</si>
  <si>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</si>
  <si>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</si>
  <si>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</si>
  <si>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</si>
  <si>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</si>
  <si>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</si>
  <si>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</si>
  <si>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</si>
  <si>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</si>
  <si>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</si>
  <si>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</si>
  <si>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</si>
  <si>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</si>
  <si>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</si>
  <si>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</si>
  <si>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</si>
  <si>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</si>
  <si>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</si>
  <si>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</si>
  <si>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</si>
  <si>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</si>
  <si>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</si>
  <si>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</si>
  <si>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</si>
  <si>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</si>
  <si>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</si>
  <si>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</si>
  <si>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</si>
  <si>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</si>
  <si>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</si>
  <si>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</si>
  <si>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</si>
  <si>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</si>
  <si>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</si>
  <si>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</si>
  <si>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</si>
  <si>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</si>
  <si>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</si>
  <si>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</si>
  <si>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</si>
  <si>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</si>
  <si>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</si>
  <si>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</si>
  <si>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</si>
  <si>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</si>
  <si>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</si>
  <si>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</si>
  <si>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</si>
  <si>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</si>
  <si>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</si>
  <si>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</si>
  <si>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</si>
  <si>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</si>
  <si>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</si>
  <si>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</si>
  <si>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</si>
  <si>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</si>
  <si>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</si>
  <si>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</si>
  <si>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</si>
  <si>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</si>
  <si>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</si>
  <si>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</si>
  <si>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</si>
  <si>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</si>
  <si>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</si>
  <si>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</si>
  <si>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</si>
  <si>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</si>
  <si>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</si>
  <si>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</si>
  <si>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</si>
  <si>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</si>
  <si>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</si>
  <si>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</si>
  <si>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</si>
  <si>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</si>
  <si>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</si>
  <si>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</si>
  <si>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</si>
  <si>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</si>
  <si>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</si>
  <si>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</si>
  <si>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</si>
  <si>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</si>
  <si>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</si>
  <si>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</si>
  <si>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</si>
  <si>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</si>
  <si>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</si>
  <si>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</si>
  <si>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</si>
  <si>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</si>
  <si>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</si>
  <si>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</si>
  <si>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</si>
  <si>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</si>
  <si>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</si>
  <si>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</si>
  <si>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</si>
  <si>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</si>
  <si>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</si>
  <si>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</si>
  <si>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</si>
  <si>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</si>
  <si>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</si>
  <si>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</si>
  <si>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</si>
  <si>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</si>
  <si>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</si>
  <si>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</si>
  <si>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</si>
  <si>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</si>
  <si>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</si>
  <si>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</si>
  <si>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</si>
  <si>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</si>
  <si>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</si>
  <si>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</si>
  <si>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</si>
  <si>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</si>
  <si>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</si>
  <si>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</si>
  <si>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</si>
  <si>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</si>
  <si>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</si>
  <si>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</si>
  <si>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</si>
  <si>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</si>
  <si>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</si>
  <si>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</si>
  <si>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</si>
  <si>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</si>
  <si>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</si>
  <si>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</si>
  <si>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</si>
  <si>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</si>
  <si>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</si>
  <si>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</si>
  <si>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</si>
  <si>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</si>
  <si>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</si>
  <si>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</si>
  <si>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</si>
  <si>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</si>
  <si>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</si>
  <si>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</si>
  <si>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</si>
  <si>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</si>
  <si>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</si>
  <si>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</si>
  <si>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</si>
  <si>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</si>
  <si>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</si>
  <si>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</si>
  <si>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</si>
  <si>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</si>
  <si>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</si>
  <si>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</si>
  <si>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</si>
  <si>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</si>
  <si>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</si>
  <si>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</si>
  <si>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</si>
  <si>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</si>
  <si>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</si>
  <si>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</si>
  <si>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</si>
  <si>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</si>
  <si>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</si>
  <si>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</si>
  <si>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</si>
  <si>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</si>
  <si>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</si>
  <si>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</si>
  <si>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</si>
  <si>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</si>
  <si>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</si>
  <si>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</si>
  <si>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</si>
  <si>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</si>
  <si>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</si>
  <si>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</si>
  <si>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</si>
  <si>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</si>
  <si>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</si>
  <si>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</si>
  <si>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</si>
  <si>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</si>
  <si>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</si>
  <si>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</si>
  <si>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</si>
  <si>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</si>
  <si>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</si>
  <si>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</si>
  <si>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</si>
  <si>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</si>
  <si>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</si>
  <si>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</si>
  <si>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</si>
  <si>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</si>
  <si>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</si>
  <si>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</si>
  <si>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</si>
  <si>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</si>
  <si>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</si>
  <si>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</si>
  <si>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</si>
  <si>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</si>
  <si>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</si>
  <si>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</si>
  <si>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</si>
  <si>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</si>
  <si>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</si>
  <si>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</si>
  <si>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</si>
  <si>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</si>
  <si>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</si>
  <si>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</si>
  <si>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</si>
  <si>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</si>
  <si>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</si>
  <si>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</si>
  <si>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</si>
  <si>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</si>
  <si>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</si>
  <si>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</si>
  <si>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</si>
  <si>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</si>
  <si>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</si>
  <si>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</si>
  <si>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</si>
  <si>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</si>
  <si>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</si>
  <si>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</si>
  <si>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</si>
  <si>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</si>
  <si>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</si>
  <si>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</si>
  <si>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</si>
  <si>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</si>
  <si>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</si>
  <si>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</si>
  <si>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</si>
  <si>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</si>
  <si>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</si>
  <si>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</si>
  <si>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</si>
  <si>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</si>
  <si>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</si>
  <si>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</si>
  <si>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</si>
  <si>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</si>
  <si>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</si>
  <si>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</si>
  <si>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</si>
  <si>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</si>
  <si>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</si>
  <si>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</si>
  <si>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</si>
  <si>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</si>
  <si>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</si>
  <si>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</si>
  <si>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</si>
  <si>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</si>
  <si>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</si>
  <si>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</si>
  <si>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</si>
  <si>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</si>
  <si>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</si>
  <si>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</si>
  <si>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</si>
  <si>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</si>
  <si>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</si>
  <si>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</si>
  <si>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</si>
  <si>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</si>
  <si>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</si>
  <si>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</si>
  <si>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</si>
  <si>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</si>
  <si>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</si>
  <si>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</si>
  <si>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</si>
  <si>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</si>
  <si>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</si>
  <si>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</si>
  <si>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</si>
  <si>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</si>
  <si>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</si>
  <si>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</si>
  <si>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</si>
  <si>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</si>
  <si>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</si>
  <si>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</si>
  <si>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</si>
  <si>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</si>
  <si>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</si>
  <si>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</si>
  <si>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</si>
  <si>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</si>
  <si>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</si>
  <si>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</si>
  <si>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</si>
  <si>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</si>
  <si>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</si>
  <si>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</si>
  <si>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</si>
  <si>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</si>
  <si>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</si>
  <si>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</si>
  <si>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</si>
  <si>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</si>
  <si>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</si>
  <si>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</si>
  <si>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</si>
  <si>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</si>
  <si>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</si>
  <si>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</si>
  <si>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</si>
  <si>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</si>
  <si>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</si>
  <si>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</si>
  <si>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</si>
  <si>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</si>
  <si>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</si>
  <si>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</si>
  <si>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</si>
  <si>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</si>
  <si>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</si>
  <si>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</si>
  <si>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</si>
  <si>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</si>
  <si>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</si>
  <si>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</si>
  <si>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</si>
  <si>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</si>
  <si>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</si>
  <si>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</si>
  <si>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</si>
  <si>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</si>
  <si>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</si>
  <si>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</si>
  <si>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</si>
  <si>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</si>
  <si>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</si>
  <si>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</si>
  <si>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</si>
  <si>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</si>
  <si>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</si>
  <si>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</si>
  <si>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</si>
  <si>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</si>
  <si>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</si>
  <si>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</si>
  <si>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</si>
  <si>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</si>
  <si>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</si>
  <si>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</si>
  <si>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</si>
  <si>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</si>
  <si>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</si>
  <si>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</si>
  <si>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</si>
  <si>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</si>
  <si>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</si>
  <si>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</si>
  <si>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</si>
  <si>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</si>
  <si>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</si>
  <si>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</si>
  <si>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</si>
  <si>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</si>
  <si>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</si>
  <si>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</si>
  <si>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</si>
  <si>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</si>
  <si>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</si>
  <si>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</si>
  <si>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</si>
  <si>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</si>
  <si>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</si>
  <si>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</si>
  <si>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</si>
  <si>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</si>
  <si>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</si>
  <si>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</si>
  <si>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</si>
  <si>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</si>
  <si>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</si>
  <si>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</si>
  <si>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</si>
  <si>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</si>
  <si>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</si>
  <si>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</si>
  <si>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</si>
  <si>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</si>
  <si>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</si>
  <si>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</si>
  <si>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</si>
  <si>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</si>
  <si>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</si>
  <si>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</si>
  <si>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</si>
  <si>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</si>
  <si>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</si>
  <si>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</si>
  <si>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</si>
  <si>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</si>
  <si>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</si>
  <si>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</si>
  <si>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</si>
  <si>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</si>
  <si>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</si>
  <si>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</si>
  <si>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</si>
  <si>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</si>
  <si>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</si>
  <si>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</si>
  <si>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</si>
  <si>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</si>
  <si>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</si>
  <si>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</si>
  <si>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</si>
  <si>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</si>
  <si>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</si>
  <si>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</si>
  <si>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</si>
  <si>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</si>
  <si>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</si>
  <si>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</si>
  <si>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</si>
  <si>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</si>
  <si>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</si>
  <si>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</si>
  <si>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</si>
  <si>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</si>
  <si>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</si>
  <si>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</si>
  <si>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</si>
  <si>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</si>
  <si>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</si>
  <si>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</si>
  <si>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</si>
  <si>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</si>
  <si>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</si>
  <si>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</si>
  <si>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</si>
  <si>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</si>
  <si>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</si>
  <si>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</si>
  <si>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</si>
  <si>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</si>
  <si>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</si>
  <si>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</si>
  <si>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</si>
  <si>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</si>
  <si>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</si>
  <si>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</si>
  <si>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</si>
  <si>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</si>
  <si>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</si>
  <si>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</si>
  <si>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</si>
  <si>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</si>
  <si>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</si>
  <si>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</si>
  <si>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</si>
  <si>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</si>
  <si>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</si>
  <si>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</si>
  <si>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</si>
  <si>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</si>
  <si>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</si>
  <si>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</si>
  <si>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</si>
  <si>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</si>
  <si>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</si>
  <si>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</si>
  <si>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</si>
  <si>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</si>
  <si>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</si>
  <si>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</si>
  <si>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</si>
  <si>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</si>
  <si>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</si>
  <si>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</si>
  <si>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</si>
  <si>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</si>
  <si>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</si>
  <si>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</si>
  <si>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</si>
  <si>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</si>
  <si>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</si>
  <si>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</si>
  <si>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</si>
  <si>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</si>
  <si>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</si>
  <si>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</si>
  <si>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</si>
  <si>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</si>
  <si>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</si>
  <si>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</si>
  <si>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</si>
  <si>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</si>
  <si>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</si>
  <si>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</si>
  <si>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</si>
  <si>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</si>
  <si>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</si>
  <si>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</si>
  <si>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</si>
  <si>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</si>
  <si>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</si>
  <si>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</si>
  <si>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</si>
  <si>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</si>
  <si>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</si>
  <si>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</si>
  <si>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</si>
  <si>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</si>
  <si>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</si>
  <si>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</si>
  <si>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</si>
  <si>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</si>
  <si>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</si>
  <si>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</si>
  <si>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</si>
  <si>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</si>
  <si>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</si>
  <si>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</si>
  <si>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</si>
  <si>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</si>
  <si>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</si>
  <si>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</si>
  <si>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</si>
  <si>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</si>
  <si>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</si>
  <si>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</si>
  <si>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</si>
  <si>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</si>
  <si>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</si>
  <si>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</si>
  <si>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</si>
  <si>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</si>
  <si>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</si>
  <si>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</si>
  <si>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</si>
  <si>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</si>
  <si>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</si>
  <si>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</si>
  <si>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</si>
  <si>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</si>
  <si>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</si>
  <si>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</si>
  <si>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</si>
  <si>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</si>
  <si>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</si>
  <si>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</si>
  <si>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</si>
  <si>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</si>
  <si>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</si>
  <si>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</si>
  <si>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</si>
  <si>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</si>
  <si>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</si>
  <si>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</si>
  <si>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</si>
  <si>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</si>
  <si>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</si>
  <si>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</si>
  <si>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</si>
  <si>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</si>
  <si>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</si>
  <si>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</si>
  <si>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</si>
  <si>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</si>
  <si>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</si>
  <si>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</si>
  <si>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</si>
  <si>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</si>
  <si>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</si>
  <si>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</si>
  <si>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</si>
  <si>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</si>
  <si>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</si>
  <si>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</si>
  <si>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</si>
  <si>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</si>
  <si>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</si>
  <si>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</si>
  <si>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</si>
  <si>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</si>
  <si>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</si>
  <si>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</si>
  <si>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</si>
  <si>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</si>
  <si>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</si>
  <si>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</si>
  <si>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</si>
  <si>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</si>
  <si>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</si>
  <si>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</si>
  <si>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</si>
  <si>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</si>
  <si>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</si>
  <si>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</si>
  <si>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</si>
  <si>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</si>
  <si>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</si>
  <si>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</si>
  <si>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</si>
  <si>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</si>
  <si>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</si>
  <si>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</si>
  <si>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</si>
  <si>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</si>
  <si>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</si>
  <si>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</si>
  <si>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</si>
  <si>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</si>
  <si>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</si>
  <si>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</si>
  <si>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</si>
  <si>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</si>
  <si>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</si>
  <si>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</si>
  <si>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</si>
  <si>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</si>
  <si>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</si>
  <si>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</si>
  <si>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</si>
  <si>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</si>
  <si>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</si>
  <si>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</si>
  <si>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</si>
  <si>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</si>
  <si>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</si>
  <si>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</si>
  <si>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</si>
  <si>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</si>
  <si>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</si>
  <si>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</si>
  <si>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</si>
  <si>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</si>
  <si>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</si>
  <si>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</si>
  <si>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</si>
  <si>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</si>
  <si>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</si>
  <si>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</si>
  <si>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</si>
  <si>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</si>
  <si>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</si>
  <si>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</si>
  <si>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</si>
  <si>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</si>
  <si>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</si>
  <si>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</si>
  <si>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</si>
  <si>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</si>
  <si>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</si>
  <si>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</si>
  <si>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</si>
  <si>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</si>
  <si>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</si>
  <si>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</si>
  <si>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</si>
  <si>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</si>
  <si>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</si>
  <si>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</si>
  <si>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</si>
  <si>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</si>
  <si>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</si>
  <si>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</si>
  <si>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</si>
  <si>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</si>
  <si>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</si>
  <si>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</si>
  <si>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</si>
  <si>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</si>
  <si>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</si>
  <si>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</si>
  <si>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</si>
  <si>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</si>
  <si>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</si>
  <si>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</si>
  <si>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</si>
  <si>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</si>
  <si>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</si>
  <si>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</si>
  <si>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</si>
  <si>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</si>
  <si>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</si>
  <si>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</si>
  <si>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</si>
  <si>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</si>
  <si>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</si>
  <si>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</si>
  <si>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</si>
  <si>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</si>
  <si>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</si>
  <si>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</si>
  <si>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</si>
  <si>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</si>
  <si>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</si>
  <si>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</si>
  <si>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</si>
  <si>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</si>
  <si>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</si>
  <si>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</si>
  <si>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</si>
  <si>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</si>
  <si>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</si>
  <si>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</si>
  <si>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</si>
  <si>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</si>
  <si>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</si>
  <si>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</si>
  <si>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</si>
  <si>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</si>
  <si>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</si>
  <si>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</si>
  <si>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</si>
  <si>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</si>
  <si>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</si>
  <si>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</si>
  <si>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</si>
  <si>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</si>
  <si>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</si>
  <si>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</si>
  <si>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</si>
  <si>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</si>
  <si>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</si>
  <si>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</si>
  <si>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</si>
  <si>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</si>
  <si>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</si>
  <si>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</si>
  <si>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</si>
  <si>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</si>
  <si>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</si>
  <si>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</si>
  <si>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</si>
  <si>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</si>
  <si>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</si>
  <si>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</si>
  <si>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</si>
  <si>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</si>
  <si>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</si>
  <si>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</si>
  <si>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</si>
  <si>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</si>
  <si>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</si>
  <si>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</si>
  <si>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</si>
  <si>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</si>
  <si>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</si>
  <si>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</si>
  <si>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</si>
  <si>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</si>
  <si>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</si>
  <si>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</si>
  <si>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</si>
  <si>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</si>
  <si>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</si>
  <si>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</si>
  <si>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</si>
  <si>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</si>
  <si>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</si>
  <si>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</si>
  <si>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</si>
  <si>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</si>
  <si>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</si>
  <si>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</si>
  <si>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2400 South 18th Avenue</t>
  </si>
  <si>
    <t>Broadview</t>
  </si>
  <si>
    <t>Evans, Marshall and Pease, P.C.</t>
  </si>
  <si>
    <t>Jeffery M. Rollefson, CPA</t>
  </si>
  <si>
    <t>1875 Hicks Road</t>
  </si>
  <si>
    <t>Rolling Meadows</t>
  </si>
  <si>
    <t>IL</t>
  </si>
  <si>
    <t>847-221-5700</t>
  </si>
  <si>
    <t>847-221-5701</t>
  </si>
  <si>
    <t>090-003973</t>
  </si>
  <si>
    <t>Jeff@empcpa.com</t>
  </si>
  <si>
    <t>2003 General Obligation Bond</t>
  </si>
  <si>
    <t>Capital Leases</t>
  </si>
  <si>
    <t>Various</t>
  </si>
  <si>
    <t>ED-Food Services-Purchased Services</t>
  </si>
  <si>
    <t>ED-Direction of Business Support Services-Purchased Services</t>
  </si>
  <si>
    <t>O&amp;M-Operation &amp; Maintenance of Plant Services-Supplies &amp; Materials</t>
  </si>
  <si>
    <t>TR-Pupil Transportation Services-Purchased Services</t>
  </si>
  <si>
    <t>ED-Health Services-Purchased Services</t>
  </si>
  <si>
    <t>ED-Board of Education Services-Purchased Services</t>
  </si>
  <si>
    <t>TF-Legal Services-Purchased Services</t>
  </si>
  <si>
    <t>TF-Insurance Payments-Purchased Services</t>
  </si>
  <si>
    <t>10-2560-300</t>
  </si>
  <si>
    <t>10-2510-300</t>
  </si>
  <si>
    <t>20-2540-400</t>
  </si>
  <si>
    <t>40-2550-300</t>
  </si>
  <si>
    <t>Ceres Food Group, Inc.</t>
  </si>
  <si>
    <t>Kerry Dean Special Services</t>
  </si>
  <si>
    <t>Dyengy Energy Services</t>
  </si>
  <si>
    <t>First Student</t>
  </si>
  <si>
    <t>Food Service Professionals</t>
  </si>
  <si>
    <t>Maxim Staffing Solutions</t>
  </si>
  <si>
    <t>Proviso Area for Exceptional Children</t>
  </si>
  <si>
    <t>People Cab Company</t>
  </si>
  <si>
    <t>Robbins Schwarts</t>
  </si>
  <si>
    <t>Suburban School Coop Ins. Trust</t>
  </si>
  <si>
    <t>10-2100-300</t>
  </si>
  <si>
    <t>10-2300-300</t>
  </si>
  <si>
    <t>80-2300-300</t>
  </si>
  <si>
    <t>Supply Works</t>
  </si>
  <si>
    <t>Educational Benefit Cooperative (EBC)</t>
  </si>
  <si>
    <t>Suburban School Cooperative Insurance Pool &amp; School Employees Loss Fund</t>
  </si>
  <si>
    <t>Proviso Township Treasurer's Office</t>
  </si>
  <si>
    <t>Proviso Township High Schools District 209</t>
  </si>
  <si>
    <t>Total long-term debt issued (P24, Cell F49) is capital lease proceeds - recorded as "other sources not classified elsewhere" (P7-8, Cell C43)</t>
  </si>
  <si>
    <t>Lindop 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</si>
</sst>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304800</xdr:colOff>
          <xdr:row>11</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304800</xdr:colOff>
          <xdr:row>12</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3">
        <v>6016092002</v>
      </c>
      <c r="B13" s="2004"/>
      <c r="C13" s="2004"/>
      <c r="D13" s="2004"/>
      <c r="E13" s="2004"/>
      <c r="F13" s="2004"/>
      <c r="G13" s="2004"/>
      <c r="H13" s="2005"/>
      <c r="I13" s="31"/>
      <c r="J13" s="30"/>
      <c r="K13" s="28"/>
      <c r="L13" s="30"/>
      <c r="M13" s="30"/>
      <c r="N13" s="30"/>
      <c r="O13" s="30"/>
      <c r="P13" s="30"/>
      <c r="Q13" s="30"/>
      <c r="R13" s="30"/>
      <c r="S13" s="30"/>
      <c r="T13" s="2008" t="s">
        <v>2081</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2082</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2124</v>
      </c>
      <c r="B17" s="2031"/>
      <c r="C17" s="2031"/>
      <c r="D17" s="2031"/>
      <c r="E17" s="2031"/>
      <c r="F17" s="2031"/>
      <c r="G17" s="2031"/>
      <c r="H17" s="2032"/>
      <c r="T17" s="2018" t="s">
        <v>2083</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2079</v>
      </c>
      <c r="B19" s="2002"/>
      <c r="C19" s="2002"/>
      <c r="D19" s="2002"/>
      <c r="E19" s="2002"/>
      <c r="F19" s="2002"/>
      <c r="G19" s="2002"/>
      <c r="H19" s="2000"/>
      <c r="I19" s="30"/>
      <c r="J19" s="99"/>
      <c r="K19" s="40"/>
      <c r="L19" s="38"/>
      <c r="M19" s="112" t="s">
        <v>333</v>
      </c>
      <c r="P19" s="27"/>
      <c r="Q19" s="27"/>
      <c r="R19" s="27"/>
      <c r="S19" s="31"/>
      <c r="T19" s="2001" t="s">
        <v>2084</v>
      </c>
      <c r="U19" s="1999"/>
      <c r="V19" s="1999"/>
      <c r="W19" s="2000"/>
      <c r="X19" s="2016" t="s">
        <v>2085</v>
      </c>
      <c r="Y19" s="2017"/>
      <c r="Z19" s="2014">
        <v>60008</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2080</v>
      </c>
      <c r="B21" s="1999"/>
      <c r="C21" s="1999"/>
      <c r="D21" s="1999"/>
      <c r="E21" s="1999"/>
      <c r="F21" s="1999"/>
      <c r="G21" s="1999"/>
      <c r="H21" s="2000"/>
      <c r="I21" s="2024" t="s">
        <v>699</v>
      </c>
      <c r="J21" s="1987"/>
      <c r="K21" s="1987"/>
      <c r="L21" s="1987"/>
      <c r="M21" s="1987"/>
      <c r="N21" s="1987"/>
      <c r="O21" s="1987"/>
      <c r="P21" s="1987"/>
      <c r="Q21" s="1987"/>
      <c r="R21" s="1987"/>
      <c r="S21" s="1988"/>
      <c r="T21" s="1966" t="s">
        <v>2086</v>
      </c>
      <c r="U21" s="1967"/>
      <c r="V21" s="1967"/>
      <c r="W21" s="1967"/>
      <c r="X21" s="1980" t="s">
        <v>2087</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2088</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60153</v>
      </c>
      <c r="B25" s="1999"/>
      <c r="C25" s="1999"/>
      <c r="D25" s="1999"/>
      <c r="E25" s="1999"/>
      <c r="F25" s="1999"/>
      <c r="G25" s="1999"/>
      <c r="H25" s="2000"/>
      <c r="I25" s="113"/>
      <c r="J25" s="2065"/>
      <c r="K25" s="2065"/>
      <c r="L25" s="2065"/>
      <c r="M25" s="2065"/>
      <c r="N25" s="2065"/>
      <c r="O25" s="2065"/>
      <c r="P25" s="2065"/>
      <c r="Q25" s="2065"/>
      <c r="R25" s="2065"/>
      <c r="S25" s="2066"/>
      <c r="T25" s="1958" t="s">
        <v>2089</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68" sqref="D6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3492539</v>
      </c>
      <c r="C4" s="1546">
        <v>1898907</v>
      </c>
      <c r="D4" s="1774">
        <f>B4-C4</f>
        <v>1593632</v>
      </c>
      <c r="E4" s="1546">
        <v>3685508</v>
      </c>
      <c r="F4" s="1774">
        <f>E4-C4</f>
        <v>1786601</v>
      </c>
    </row>
    <row r="5" spans="1:6" ht="13.7" customHeight="1" x14ac:dyDescent="0.2">
      <c r="A5" s="716" t="s">
        <v>925</v>
      </c>
      <c r="B5" s="1772">
        <f>'Revenues 9-14'!D5</f>
        <v>461232</v>
      </c>
      <c r="C5" s="585">
        <v>249345</v>
      </c>
      <c r="D5" s="1775">
        <f t="shared" ref="D5:D18" si="0">B5-C5</f>
        <v>211887</v>
      </c>
      <c r="E5" s="585">
        <v>483905</v>
      </c>
      <c r="F5" s="1775">
        <f>E5-C5</f>
        <v>234560</v>
      </c>
    </row>
    <row r="6" spans="1:6" ht="13.7" customHeight="1" x14ac:dyDescent="0.2">
      <c r="A6" s="716" t="s">
        <v>431</v>
      </c>
      <c r="B6" s="1772">
        <f>'Revenues 9-14'!E5</f>
        <v>422707</v>
      </c>
      <c r="C6" s="585">
        <v>228594</v>
      </c>
      <c r="D6" s="1775">
        <f t="shared" si="0"/>
        <v>194113</v>
      </c>
      <c r="E6" s="585">
        <v>443579</v>
      </c>
      <c r="F6" s="1775">
        <f t="shared" ref="F6:F18" si="1">E6-C6</f>
        <v>214985</v>
      </c>
    </row>
    <row r="7" spans="1:6" ht="13.7" customHeight="1" x14ac:dyDescent="0.2">
      <c r="A7" s="716" t="s">
        <v>157</v>
      </c>
      <c r="B7" s="1772">
        <f>'Revenues 9-14'!F5</f>
        <v>212842</v>
      </c>
      <c r="C7" s="585">
        <v>125825</v>
      </c>
      <c r="D7" s="1775">
        <f t="shared" si="0"/>
        <v>87017</v>
      </c>
      <c r="E7" s="585">
        <v>244365</v>
      </c>
      <c r="F7" s="1775">
        <f t="shared" si="1"/>
        <v>118540</v>
      </c>
    </row>
    <row r="8" spans="1:6" ht="13.7" customHeight="1" x14ac:dyDescent="0.2">
      <c r="A8" s="716" t="s">
        <v>1241</v>
      </c>
      <c r="B8" s="1772">
        <f>'Revenues 9-14'!G5</f>
        <v>315840</v>
      </c>
      <c r="C8" s="585">
        <v>166669</v>
      </c>
      <c r="D8" s="1775">
        <f t="shared" si="0"/>
        <v>149171</v>
      </c>
      <c r="E8" s="585">
        <v>323527</v>
      </c>
      <c r="F8" s="1775">
        <f t="shared" si="1"/>
        <v>156858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41441</v>
      </c>
      <c r="C10" s="585">
        <v>22398</v>
      </c>
      <c r="D10" s="1775">
        <f t="shared" si="0"/>
        <v>19043</v>
      </c>
      <c r="E10" s="585">
        <v>43534</v>
      </c>
      <c r="F10" s="1775">
        <f t="shared" si="1"/>
        <v>21136</v>
      </c>
    </row>
    <row r="11" spans="1:6" x14ac:dyDescent="0.2">
      <c r="A11" s="716" t="s">
        <v>429</v>
      </c>
      <c r="B11" s="1772">
        <f>'Revenues 9-14'!J5</f>
        <v>399999</v>
      </c>
      <c r="C11" s="585">
        <v>212124</v>
      </c>
      <c r="D11" s="1775">
        <f t="shared" si="0"/>
        <v>187875</v>
      </c>
      <c r="E11" s="585">
        <v>411725</v>
      </c>
      <c r="F11" s="1775">
        <f t="shared" si="1"/>
        <v>199601</v>
      </c>
    </row>
    <row r="12" spans="1:6" ht="13.7" customHeight="1" x14ac:dyDescent="0.2">
      <c r="A12" s="716" t="s">
        <v>159</v>
      </c>
      <c r="B12" s="1772">
        <f>'Revenues 9-14'!K5</f>
        <v>82285</v>
      </c>
      <c r="C12" s="585">
        <v>44467</v>
      </c>
      <c r="D12" s="1775">
        <f t="shared" si="0"/>
        <v>37818</v>
      </c>
      <c r="E12" s="585">
        <v>86349</v>
      </c>
      <c r="F12" s="1775">
        <f t="shared" si="1"/>
        <v>41882</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333779</v>
      </c>
      <c r="C14" s="585">
        <v>178856</v>
      </c>
      <c r="D14" s="1775">
        <f t="shared" si="0"/>
        <v>154923</v>
      </c>
      <c r="E14" s="585">
        <v>347451</v>
      </c>
      <c r="F14" s="1775">
        <f t="shared" si="1"/>
        <v>168595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315840</v>
      </c>
      <c r="C16" s="585">
        <v>166669</v>
      </c>
      <c r="D16" s="1775">
        <f t="shared" si="0"/>
        <v>149171</v>
      </c>
      <c r="E16" s="585">
        <v>323527</v>
      </c>
      <c r="F16" s="1775">
        <f t="shared" si="1"/>
        <v>156858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6078504</v>
      </c>
      <c r="C19" s="1773">
        <f>SUM(C4:C18)</f>
        <v>3293854</v>
      </c>
      <c r="D19" s="1773">
        <f>SUM(D4:D18)</f>
        <v>2784650</v>
      </c>
      <c r="E19" s="1773">
        <f>SUM(E4:E18)</f>
        <v>6393470</v>
      </c>
      <c r="F19" s="1773">
        <f>SUM(F4:F18)</f>
        <v>3099616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D68" sqref="D6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2036</v>
      </c>
      <c r="D2" s="724" t="s">
        <v>2043</v>
      </c>
      <c r="E2" s="724" t="s">
        <v>2044</v>
      </c>
      <c r="F2" s="1908"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2090</v>
      </c>
      <c r="B31" s="734">
        <v>37695</v>
      </c>
      <c r="C31" s="735">
        <v>5850000</v>
      </c>
      <c r="D31" s="736">
        <v>2</v>
      </c>
      <c r="E31" s="735">
        <v>2210000</v>
      </c>
      <c r="F31" s="735"/>
      <c r="G31" s="735"/>
      <c r="H31" s="735">
        <v>335000</v>
      </c>
      <c r="I31" s="1778">
        <f>((E31+F31)-H31)+G31</f>
        <v>1875000</v>
      </c>
      <c r="J31" s="735">
        <v>1640920</v>
      </c>
      <c r="K31" s="737"/>
    </row>
    <row r="32" spans="1:11" ht="12" customHeight="1" x14ac:dyDescent="0.2">
      <c r="A32" s="733" t="s">
        <v>2091</v>
      </c>
      <c r="B32" s="734" t="s">
        <v>2092</v>
      </c>
      <c r="C32" s="735"/>
      <c r="D32" s="736">
        <v>7</v>
      </c>
      <c r="E32" s="735">
        <v>38464</v>
      </c>
      <c r="F32" s="735">
        <v>59010</v>
      </c>
      <c r="G32" s="735"/>
      <c r="H32" s="735">
        <v>28353</v>
      </c>
      <c r="I32" s="1778">
        <f>((E32+F32)-H32)+G32</f>
        <v>69121</v>
      </c>
      <c r="J32" s="735">
        <v>60492</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5850000</v>
      </c>
      <c r="D49" s="746"/>
      <c r="E49" s="1778">
        <f t="shared" ref="E49:J49" si="2">SUM(E31:E48)</f>
        <v>2248464</v>
      </c>
      <c r="F49" s="1778">
        <f t="shared" si="2"/>
        <v>59010</v>
      </c>
      <c r="G49" s="1778">
        <f t="shared" si="2"/>
        <v>0</v>
      </c>
      <c r="H49" s="1778">
        <f t="shared" si="2"/>
        <v>363353</v>
      </c>
      <c r="I49" s="1778">
        <f t="shared" si="2"/>
        <v>1944121</v>
      </c>
      <c r="J49" s="1778">
        <f t="shared" si="2"/>
        <v>1701412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2091</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68" sqref="D6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333779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333779</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333779</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333779</v>
      </c>
      <c r="I23" s="1780">
        <f>SUM(I14:I16,I21,I22)</f>
        <v>0</v>
      </c>
      <c r="J23" s="1780">
        <f>SUM(J14:J16,J21,J22)</f>
        <v>0</v>
      </c>
      <c r="K23" s="1780">
        <f>SUM(K14:K16,K21,K22)</f>
        <v>0</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68" sqref="D6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314014</v>
      </c>
      <c r="D5" s="842"/>
      <c r="E5" s="842"/>
      <c r="F5" s="1782">
        <f>(C5+D5)-E5</f>
        <v>314014</v>
      </c>
      <c r="G5" s="838"/>
      <c r="H5" s="843"/>
      <c r="I5" s="843"/>
      <c r="J5" s="843"/>
      <c r="K5" s="794"/>
      <c r="L5" s="1791">
        <f>F5-K5</f>
        <v>314014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11837045</v>
      </c>
      <c r="D8" s="845">
        <v>361865</v>
      </c>
      <c r="E8" s="845"/>
      <c r="F8" s="1782">
        <f>(C8+D8)-E8</f>
        <v>12198910</v>
      </c>
      <c r="G8" s="844">
        <v>50</v>
      </c>
      <c r="H8" s="766">
        <v>4207246</v>
      </c>
      <c r="I8" s="766">
        <v>304815</v>
      </c>
      <c r="J8" s="766"/>
      <c r="K8" s="1791">
        <f>(H8+I8)-J8</f>
        <v>4512061</v>
      </c>
      <c r="L8" s="1791">
        <f>F8-K8</f>
        <v>7686849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328356</v>
      </c>
      <c r="D10" s="847"/>
      <c r="E10" s="847"/>
      <c r="F10" s="1786">
        <f>(C10+D10)-E10</f>
        <v>328356</v>
      </c>
      <c r="G10" s="844">
        <v>20</v>
      </c>
      <c r="H10" s="848">
        <v>174676</v>
      </c>
      <c r="I10" s="848">
        <v>15500</v>
      </c>
      <c r="J10" s="848"/>
      <c r="K10" s="1791">
        <f>(H10+I10)-J10</f>
        <v>190176</v>
      </c>
      <c r="L10" s="1791">
        <f>F10-K10</f>
        <v>138180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1737397</v>
      </c>
      <c r="D12" s="845">
        <v>161051</v>
      </c>
      <c r="E12" s="845"/>
      <c r="F12" s="1782">
        <f>(C12+D12)-E12</f>
        <v>1898448</v>
      </c>
      <c r="G12" s="844">
        <v>10</v>
      </c>
      <c r="H12" s="766">
        <v>1443233</v>
      </c>
      <c r="I12" s="766">
        <v>63566</v>
      </c>
      <c r="J12" s="766"/>
      <c r="K12" s="1791">
        <f>(H12+I12)-J12</f>
        <v>1506799</v>
      </c>
      <c r="L12" s="1791">
        <f>F12-K12</f>
        <v>391649</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14216812</v>
      </c>
      <c r="D16" s="1782">
        <f>SUM(D3,D5:D6,D8:D10,D12:D15)</f>
        <v>522916</v>
      </c>
      <c r="E16" s="1782">
        <f>SUM(E3,E5:E6,E8:E10,E12:E15)</f>
        <v>0</v>
      </c>
      <c r="F16" s="1782">
        <f>SUM(F3,F5:F6,F8:F10,F12:F15)</f>
        <v>14739728</v>
      </c>
      <c r="G16" s="844"/>
      <c r="H16" s="1782">
        <f>SUM(H3,H6,H8:H10,H12:H14,)</f>
        <v>5825155</v>
      </c>
      <c r="I16" s="1782">
        <f>SUM(I3,I6,I8:I10,I12:I14,)</f>
        <v>383881</v>
      </c>
      <c r="J16" s="1782">
        <f>SUM(J3,J6,J8:J10,J12:J14,)</f>
        <v>0</v>
      </c>
      <c r="K16" s="1782">
        <f>(H16+I16)-J16</f>
        <v>6209036</v>
      </c>
      <c r="L16" s="1782">
        <f>F16-K16</f>
        <v>8530692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15067</v>
      </c>
      <c r="G17" s="838">
        <v>10</v>
      </c>
      <c r="H17" s="770"/>
      <c r="I17" s="1791">
        <f>F17/G17</f>
        <v>1506.7</v>
      </c>
      <c r="J17" s="770"/>
      <c r="K17" s="796"/>
      <c r="L17" s="796"/>
    </row>
    <row r="18" spans="1:12" ht="14.25" thickTop="1" thickBot="1" x14ac:dyDescent="0.25">
      <c r="A18" s="1789" t="s">
        <v>706</v>
      </c>
      <c r="B18" s="1790"/>
      <c r="C18" s="772"/>
      <c r="D18" s="772"/>
      <c r="E18" s="772"/>
      <c r="F18" s="851"/>
      <c r="G18" s="852"/>
      <c r="H18" s="774"/>
      <c r="I18" s="1782">
        <f>SUM(I16,I17)</f>
        <v>385387.7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D68" sqref="D68"/>
      <selection pane="bottomLeft" activeCell="D68" sqref="D6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6118142</v>
      </c>
      <c r="G8" s="866"/>
    </row>
    <row r="9" spans="1:7" x14ac:dyDescent="0.2">
      <c r="A9" s="870" t="s">
        <v>480</v>
      </c>
      <c r="B9" s="871" t="s">
        <v>1988</v>
      </c>
      <c r="C9" s="872"/>
      <c r="D9" s="870" t="s">
        <v>522</v>
      </c>
      <c r="E9" s="869"/>
      <c r="F9" s="1934">
        <f>'Expenditures 15-22'!K151</f>
        <v>745100</v>
      </c>
      <c r="G9" s="873"/>
    </row>
    <row r="10" spans="1:7" x14ac:dyDescent="0.2">
      <c r="A10" s="870" t="s">
        <v>520</v>
      </c>
      <c r="B10" s="871" t="s">
        <v>1989</v>
      </c>
      <c r="C10" s="872"/>
      <c r="D10" s="870" t="s">
        <v>522</v>
      </c>
      <c r="E10" s="869"/>
      <c r="F10" s="1934">
        <f>'Expenditures 15-22'!K174</f>
        <v>451862</v>
      </c>
      <c r="G10" s="873"/>
    </row>
    <row r="11" spans="1:7" x14ac:dyDescent="0.2">
      <c r="A11" s="870" t="s">
        <v>481</v>
      </c>
      <c r="B11" s="871" t="s">
        <v>1990</v>
      </c>
      <c r="C11" s="872"/>
      <c r="D11" s="870" t="s">
        <v>522</v>
      </c>
      <c r="E11" s="869"/>
      <c r="F11" s="1934">
        <f>'Expenditures 15-22'!K210</f>
        <v>215502</v>
      </c>
      <c r="G11" s="873"/>
    </row>
    <row r="12" spans="1:7" x14ac:dyDescent="0.2">
      <c r="A12" s="870" t="s">
        <v>482</v>
      </c>
      <c r="B12" s="871" t="s">
        <v>1991</v>
      </c>
      <c r="C12" s="872"/>
      <c r="D12" s="870" t="s">
        <v>522</v>
      </c>
      <c r="E12" s="869"/>
      <c r="F12" s="1934">
        <f>'Expenditures 15-22'!K295</f>
        <v>179210</v>
      </c>
      <c r="G12" s="873"/>
    </row>
    <row r="13" spans="1:7" x14ac:dyDescent="0.2">
      <c r="A13" s="870" t="s">
        <v>108</v>
      </c>
      <c r="B13" s="871" t="s">
        <v>1992</v>
      </c>
      <c r="C13" s="872"/>
      <c r="D13" s="870" t="s">
        <v>522</v>
      </c>
      <c r="E13" s="869"/>
      <c r="F13" s="1934">
        <f>'Expenditures 15-22'!K342</f>
        <v>215397</v>
      </c>
      <c r="G13" s="874"/>
    </row>
    <row r="14" spans="1:7" ht="12" customHeight="1" thickBot="1" x14ac:dyDescent="0.25">
      <c r="A14" s="1792"/>
      <c r="B14" s="1793"/>
      <c r="C14" s="1794"/>
      <c r="D14" s="1795" t="s">
        <v>522</v>
      </c>
      <c r="E14" s="1796" t="s">
        <v>1015</v>
      </c>
      <c r="F14" s="1797">
        <f>SUM(F8:F13)</f>
        <v>7925213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331528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36991</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20749</v>
      </c>
      <c r="G52" s="866"/>
    </row>
    <row r="53" spans="1:7" x14ac:dyDescent="0.2">
      <c r="A53" s="870" t="s">
        <v>479</v>
      </c>
      <c r="B53" s="870" t="s">
        <v>1551</v>
      </c>
      <c r="C53" s="890">
        <f>'Expenditures 15-22'!B102</f>
        <v>4000</v>
      </c>
      <c r="D53" s="889" t="str">
        <f>'Expenditures 15-22'!A102</f>
        <v>Total Payments to Other Govt Units</v>
      </c>
      <c r="E53" s="869"/>
      <c r="F53" s="1938">
        <f>'Expenditures 15-22'!K102</f>
        <v>829482</v>
      </c>
      <c r="G53" s="866"/>
    </row>
    <row r="54" spans="1:7" x14ac:dyDescent="0.2">
      <c r="A54" s="870" t="s">
        <v>479</v>
      </c>
      <c r="B54" s="870" t="s">
        <v>1552</v>
      </c>
      <c r="C54" s="890" t="s">
        <v>1039</v>
      </c>
      <c r="D54" s="886" t="s">
        <v>1157</v>
      </c>
      <c r="E54" s="869"/>
      <c r="F54" s="1938">
        <f>'Expenditures 15-22'!G114</f>
        <v>131405</v>
      </c>
      <c r="G54" s="866"/>
    </row>
    <row r="55" spans="1:7" x14ac:dyDescent="0.2">
      <c r="A55" s="870" t="s">
        <v>479</v>
      </c>
      <c r="B55" s="870" t="s">
        <v>1553</v>
      </c>
      <c r="C55" s="890" t="s">
        <v>1039</v>
      </c>
      <c r="D55" s="886" t="s">
        <v>309</v>
      </c>
      <c r="E55" s="869"/>
      <c r="F55" s="1938">
        <f>'Expenditures 15-22'!I114</f>
        <v>15067</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36608</v>
      </c>
      <c r="G57" s="866"/>
    </row>
    <row r="58" spans="1:7" x14ac:dyDescent="0.2">
      <c r="A58" s="870" t="s">
        <v>480</v>
      </c>
      <c r="B58" s="870" t="s">
        <v>1994</v>
      </c>
      <c r="C58" s="887" t="s">
        <v>1039</v>
      </c>
      <c r="D58" s="886" t="s">
        <v>1157</v>
      </c>
      <c r="E58" s="869"/>
      <c r="F58" s="1940">
        <f>'Expenditures 15-22'!G151</f>
        <v>29646</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363353</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85626</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10280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755</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1891490</v>
      </c>
      <c r="G76" s="866"/>
    </row>
    <row r="77" spans="1:8" s="894" customFormat="1" ht="12" customHeight="1" thickTop="1" thickBot="1" x14ac:dyDescent="0.25">
      <c r="A77" s="1801"/>
      <c r="B77" s="1798"/>
      <c r="C77" s="1794"/>
      <c r="D77" s="1799" t="s">
        <v>2011</v>
      </c>
      <c r="E77" s="1796"/>
      <c r="F77" s="1802">
        <f>(F14-F76)</f>
        <v>6033723</v>
      </c>
      <c r="G77" s="870"/>
    </row>
    <row r="78" spans="1:8" s="894" customFormat="1" ht="12" customHeight="1" thickTop="1" x14ac:dyDescent="0.2">
      <c r="A78" s="1803"/>
      <c r="B78" s="1798"/>
      <c r="C78" s="1794"/>
      <c r="D78" s="1799" t="s">
        <v>2057</v>
      </c>
      <c r="E78" s="1796"/>
      <c r="F78" s="899">
        <v>354.89</v>
      </c>
      <c r="G78" s="900"/>
      <c r="H78" s="870"/>
    </row>
    <row r="79" spans="1:8" s="894" customFormat="1" ht="12" customHeight="1" thickBot="1" x14ac:dyDescent="0.25">
      <c r="A79" s="1804"/>
      <c r="B79" s="1798"/>
      <c r="C79" s="1794"/>
      <c r="D79" s="1799" t="s">
        <v>2012</v>
      </c>
      <c r="E79" s="1796" t="s">
        <v>1015</v>
      </c>
      <c r="F79" s="1805">
        <f>IF(F78&gt;0,F77/F78," Complete Line 78")</f>
        <v>17001.670940291358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v>
      </c>
      <c r="G94" s="913"/>
    </row>
    <row r="95" spans="1:7" x14ac:dyDescent="0.2">
      <c r="A95" s="909" t="s">
        <v>142</v>
      </c>
      <c r="B95" s="909" t="s">
        <v>177</v>
      </c>
      <c r="C95" s="911">
        <v>1700</v>
      </c>
      <c r="D95" s="919" t="str">
        <f>'Revenues 9-14'!A82</f>
        <v>Total District/School Activity Income</v>
      </c>
      <c r="E95" s="907"/>
      <c r="F95" s="1811">
        <f>SUM('Revenues 9-14'!C82,'Revenues 9-14'!D82)</f>
        <v>51500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80087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10372</v>
      </c>
      <c r="G107" s="913"/>
    </row>
    <row r="108" spans="1:7" x14ac:dyDescent="0.2">
      <c r="A108" s="909" t="s">
        <v>479</v>
      </c>
      <c r="B108" s="909" t="s">
        <v>844</v>
      </c>
      <c r="C108" s="921">
        <f>'Revenues 9-14'!B145</f>
        <v>3360</v>
      </c>
      <c r="D108" s="912" t="str">
        <f>'Revenues 9-14'!A145</f>
        <v>State Free Lunch &amp; Breakfast</v>
      </c>
      <c r="E108" s="907"/>
      <c r="F108" s="1811">
        <f>'Revenues 9-14'!C145</f>
        <v>2830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18715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264303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144952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7800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11520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27894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619991</v>
      </c>
    </row>
    <row r="179" spans="1:7" ht="12" customHeight="1" x14ac:dyDescent="0.2">
      <c r="A179" s="1792"/>
      <c r="B179" s="1806"/>
      <c r="C179" s="1807"/>
      <c r="D179" s="1808" t="s">
        <v>2014</v>
      </c>
      <c r="E179" s="1809"/>
      <c r="F179" s="1811">
        <f>'PCTC-OEPP 27-28'!F77-F178</f>
        <v>5413732</v>
      </c>
    </row>
    <row r="180" spans="1:7" ht="12" customHeight="1" x14ac:dyDescent="0.2">
      <c r="A180" s="1792"/>
      <c r="B180" s="1806"/>
      <c r="C180" s="1807"/>
      <c r="D180" s="1808" t="s">
        <v>1924</v>
      </c>
      <c r="E180" s="1809"/>
      <c r="F180" s="1811">
        <f>'Cap Outlay Deprec 26'!I18</f>
        <v>385387.7</v>
      </c>
    </row>
    <row r="181" spans="1:7" ht="12" customHeight="1" x14ac:dyDescent="0.2">
      <c r="A181" s="1792"/>
      <c r="B181" s="1806"/>
      <c r="C181" s="1807"/>
      <c r="D181" s="1808" t="s">
        <v>2015</v>
      </c>
      <c r="E181" s="1809"/>
      <c r="F181" s="1811">
        <f>F179+F180</f>
        <v>5799119.7000000002</v>
      </c>
    </row>
    <row r="182" spans="1:7" ht="12" customHeight="1" x14ac:dyDescent="0.2">
      <c r="A182" s="1792"/>
      <c r="B182" s="1812"/>
      <c r="C182" s="1807"/>
      <c r="D182" s="1808" t="str">
        <f>D78</f>
        <v>9 Month ADA from District Average Daily Attendance/Prior General State Aid Inquiry 2017-2018</v>
      </c>
      <c r="E182" s="1809"/>
      <c r="F182" s="1813">
        <f>'PCTC-OEPP 27-28'!F78</f>
        <v>354.89</v>
      </c>
      <c r="G182" s="931"/>
    </row>
    <row r="183" spans="1:7" ht="12" customHeight="1" thickBot="1" x14ac:dyDescent="0.25">
      <c r="A183" s="1792"/>
      <c r="B183" s="1812"/>
      <c r="C183" s="1807"/>
      <c r="D183" s="1808" t="s">
        <v>2016</v>
      </c>
      <c r="E183" s="1809" t="s">
        <v>1626</v>
      </c>
      <c r="F183" s="1814">
        <f>F181/F182</f>
        <v>16340.611738848658</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44" activePane="bottomLeft" state="frozen"/>
      <selection activeCell="D68" sqref="D68"/>
      <selection pane="bottomLeft" activeCell="D68" sqref="D6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5" t="s">
        <v>2095</v>
      </c>
      <c r="B17" s="1956" t="s">
        <v>2103</v>
      </c>
      <c r="C17" s="1957" t="s">
        <v>2118</v>
      </c>
      <c r="D17" s="1867">
        <v>32584</v>
      </c>
      <c r="E17" s="1562">
        <f t="shared" ref="E17:E141" si="1">IF(D17&lt;=25000,D17,IF(D17&gt;25000,25000,0))</f>
        <v>25000</v>
      </c>
      <c r="F17" s="1815">
        <f t="shared" si="0"/>
        <v>25000</v>
      </c>
      <c r="G17" s="1816">
        <f>IF(F17=0,0,D17-F17)</f>
        <v>7584</v>
      </c>
      <c r="H17" s="1669"/>
    </row>
    <row r="18" spans="1:8" x14ac:dyDescent="0.25">
      <c r="A18" s="1955" t="s">
        <v>2100</v>
      </c>
      <c r="B18" s="1956" t="s">
        <v>2117</v>
      </c>
      <c r="C18" s="1957" t="s">
        <v>2114</v>
      </c>
      <c r="D18" s="1867">
        <v>54823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29823</v>
      </c>
    </row>
    <row r="19" spans="1:8" x14ac:dyDescent="0.25">
      <c r="A19" s="1955" t="s">
        <v>2093</v>
      </c>
      <c r="B19" s="1956" t="s">
        <v>2101</v>
      </c>
      <c r="C19" s="1957" t="s">
        <v>2105</v>
      </c>
      <c r="D19" s="1867">
        <v>144474</v>
      </c>
      <c r="E19" s="1562">
        <f t="shared" si="2"/>
        <v>25000</v>
      </c>
      <c r="F19" s="1815">
        <f t="shared" si="3"/>
        <v>25000</v>
      </c>
      <c r="G19" s="1816">
        <f t="shared" si="4"/>
        <v>119474</v>
      </c>
    </row>
    <row r="20" spans="1:8" ht="30" x14ac:dyDescent="0.25">
      <c r="A20" s="1955" t="s">
        <v>2094</v>
      </c>
      <c r="B20" s="1956" t="s">
        <v>2102</v>
      </c>
      <c r="C20" s="1957" t="s">
        <v>2106</v>
      </c>
      <c r="D20" s="1867">
        <v>58000</v>
      </c>
      <c r="E20" s="1562">
        <f t="shared" si="2"/>
        <v>25000</v>
      </c>
      <c r="F20" s="1815">
        <f t="shared" si="3"/>
        <v>25000</v>
      </c>
      <c r="G20" s="1816">
        <f t="shared" si="4"/>
        <v>33000</v>
      </c>
    </row>
    <row r="21" spans="1:8" ht="30" x14ac:dyDescent="0.25">
      <c r="A21" s="1955" t="s">
        <v>2095</v>
      </c>
      <c r="B21" s="1956" t="s">
        <v>2103</v>
      </c>
      <c r="C21" s="1957" t="s">
        <v>2107</v>
      </c>
      <c r="D21" s="1867">
        <v>95015</v>
      </c>
      <c r="E21" s="1562">
        <f t="shared" si="2"/>
        <v>25000</v>
      </c>
      <c r="F21" s="1815">
        <f t="shared" si="3"/>
        <v>25000</v>
      </c>
      <c r="G21" s="1816">
        <f t="shared" si="4"/>
        <v>70015</v>
      </c>
    </row>
    <row r="22" spans="1:8" x14ac:dyDescent="0.25">
      <c r="A22" s="1955" t="s">
        <v>2096</v>
      </c>
      <c r="B22" s="1956" t="s">
        <v>2104</v>
      </c>
      <c r="C22" s="1957" t="s">
        <v>2108</v>
      </c>
      <c r="D22" s="1867">
        <v>23091</v>
      </c>
      <c r="E22" s="1562">
        <f t="shared" si="2"/>
        <v>23091</v>
      </c>
      <c r="F22" s="1815">
        <f t="shared" si="3"/>
        <v>23091</v>
      </c>
      <c r="G22" s="1816">
        <f t="shared" si="4"/>
        <v>0</v>
      </c>
    </row>
    <row r="23" spans="1:8" x14ac:dyDescent="0.25">
      <c r="A23" s="1955" t="s">
        <v>2099</v>
      </c>
      <c r="B23" s="1956" t="s">
        <v>2117</v>
      </c>
      <c r="C23" s="1957" t="s">
        <v>2113</v>
      </c>
      <c r="D23" s="1867">
        <v>135565</v>
      </c>
      <c r="E23" s="1562">
        <f t="shared" si="2"/>
        <v>25000</v>
      </c>
      <c r="F23" s="1815">
        <f t="shared" si="3"/>
        <v>25000</v>
      </c>
      <c r="G23" s="1816">
        <f t="shared" si="4"/>
        <v>110565</v>
      </c>
    </row>
    <row r="24" spans="1:8" x14ac:dyDescent="0.25">
      <c r="A24" s="1955" t="s">
        <v>2093</v>
      </c>
      <c r="B24" s="1956" t="s">
        <v>2101</v>
      </c>
      <c r="C24" s="1957" t="s">
        <v>2109</v>
      </c>
      <c r="D24" s="1867">
        <v>40523</v>
      </c>
      <c r="E24" s="1562">
        <f t="shared" si="2"/>
        <v>25000</v>
      </c>
      <c r="F24" s="1815">
        <f t="shared" si="3"/>
        <v>25000</v>
      </c>
      <c r="G24" s="1816">
        <f t="shared" si="4"/>
        <v>15523</v>
      </c>
    </row>
    <row r="25" spans="1:8" x14ac:dyDescent="0.25">
      <c r="A25" s="1955" t="s">
        <v>2098</v>
      </c>
      <c r="B25" s="1956" t="s">
        <v>2116</v>
      </c>
      <c r="C25" s="1957" t="s">
        <v>2112</v>
      </c>
      <c r="D25" s="1867">
        <v>1080</v>
      </c>
      <c r="E25" s="1562">
        <f t="shared" si="2"/>
        <v>1080</v>
      </c>
      <c r="F25" s="1815">
        <f t="shared" si="3"/>
        <v>1080</v>
      </c>
      <c r="G25" s="1816">
        <f t="shared" si="4"/>
        <v>0</v>
      </c>
    </row>
    <row r="26" spans="1:8" x14ac:dyDescent="0.25">
      <c r="A26" s="1955" t="s">
        <v>2097</v>
      </c>
      <c r="B26" s="1956" t="s">
        <v>2115</v>
      </c>
      <c r="C26" s="1957" t="s">
        <v>2110</v>
      </c>
      <c r="D26" s="1867">
        <v>83205</v>
      </c>
      <c r="E26" s="1562">
        <f t="shared" si="2"/>
        <v>25000</v>
      </c>
      <c r="F26" s="1815">
        <f t="shared" si="3"/>
        <v>25000</v>
      </c>
      <c r="G26" s="1816">
        <f t="shared" si="4"/>
        <v>58205</v>
      </c>
    </row>
    <row r="27" spans="1:8" x14ac:dyDescent="0.25">
      <c r="A27" s="1955" t="s">
        <v>2096</v>
      </c>
      <c r="B27" s="1956" t="s">
        <v>2104</v>
      </c>
      <c r="C27" s="1957" t="s">
        <v>2112</v>
      </c>
      <c r="D27" s="1867">
        <v>106148</v>
      </c>
      <c r="E27" s="1562">
        <f t="shared" si="2"/>
        <v>25000</v>
      </c>
      <c r="F27" s="1815">
        <f t="shared" si="3"/>
        <v>25000</v>
      </c>
      <c r="G27" s="1816">
        <f t="shared" si="4"/>
        <v>81148</v>
      </c>
    </row>
    <row r="28" spans="1:8" x14ac:dyDescent="0.25">
      <c r="A28" s="1955"/>
      <c r="B28" s="1956"/>
      <c r="C28" s="1957"/>
      <c r="D28" s="1867"/>
      <c r="E28" s="1562">
        <f t="shared" si="2"/>
        <v>0</v>
      </c>
      <c r="F28" s="1815">
        <f t="shared" si="3"/>
        <v>0</v>
      </c>
      <c r="G28" s="1816">
        <f t="shared" si="4"/>
        <v>0</v>
      </c>
    </row>
    <row r="29" spans="1:8" x14ac:dyDescent="0.25">
      <c r="A29" s="1955"/>
      <c r="B29" s="1956"/>
      <c r="C29" s="1957"/>
      <c r="D29" s="1867"/>
      <c r="E29" s="1562">
        <f t="shared" si="2"/>
        <v>0</v>
      </c>
      <c r="F29" s="1815">
        <f t="shared" si="3"/>
        <v>0</v>
      </c>
      <c r="G29" s="1816">
        <f t="shared" si="4"/>
        <v>0</v>
      </c>
    </row>
    <row r="30" spans="1:8" x14ac:dyDescent="0.25">
      <c r="A30" s="1955"/>
      <c r="B30" s="1956"/>
      <c r="C30" s="1957"/>
      <c r="D30" s="1867"/>
      <c r="E30" s="1562">
        <f t="shared" si="2"/>
        <v>0</v>
      </c>
      <c r="F30" s="1815">
        <f t="shared" si="3"/>
        <v>0</v>
      </c>
      <c r="G30" s="1816">
        <f t="shared" si="4"/>
        <v>0</v>
      </c>
    </row>
    <row r="31" spans="1:8" x14ac:dyDescent="0.25">
      <c r="A31" s="1955"/>
      <c r="B31" s="1956"/>
      <c r="C31" s="1957"/>
      <c r="D31" s="1867"/>
      <c r="E31" s="1562">
        <f t="shared" si="2"/>
        <v>0</v>
      </c>
      <c r="F31" s="1815">
        <f t="shared" si="3"/>
        <v>0</v>
      </c>
      <c r="G31" s="1816">
        <f t="shared" si="4"/>
        <v>0</v>
      </c>
    </row>
    <row r="32" spans="1:8" x14ac:dyDescent="0.25">
      <c r="A32" s="1955"/>
      <c r="B32" s="1956"/>
      <c r="C32" s="1957"/>
      <c r="D32" s="1867"/>
      <c r="E32" s="1562">
        <f t="shared" si="2"/>
        <v>0</v>
      </c>
      <c r="F32" s="1815">
        <f t="shared" si="3"/>
        <v>0</v>
      </c>
      <c r="G32" s="1816">
        <f t="shared" si="4"/>
        <v>0</v>
      </c>
    </row>
    <row r="33" spans="1:7" x14ac:dyDescent="0.25">
      <c r="A33" s="1955"/>
      <c r="B33" s="1956"/>
      <c r="C33" s="1957"/>
      <c r="D33" s="1867"/>
      <c r="E33" s="1562">
        <f t="shared" si="2"/>
        <v>0</v>
      </c>
      <c r="F33" s="1815">
        <f t="shared" si="3"/>
        <v>0</v>
      </c>
      <c r="G33" s="1816">
        <f t="shared" si="4"/>
        <v>0</v>
      </c>
    </row>
    <row r="34" spans="1:7" x14ac:dyDescent="0.25">
      <c r="A34" s="1955"/>
      <c r="B34" s="1956"/>
      <c r="C34" s="1957"/>
      <c r="D34" s="1867"/>
      <c r="E34" s="1562">
        <f t="shared" si="2"/>
        <v>0</v>
      </c>
      <c r="F34" s="1815">
        <f t="shared" si="3"/>
        <v>0</v>
      </c>
      <c r="G34" s="1816">
        <f t="shared" si="4"/>
        <v>0</v>
      </c>
    </row>
    <row r="35" spans="1:7" x14ac:dyDescent="0.25">
      <c r="A35" s="1955"/>
      <c r="B35" s="1956"/>
      <c r="C35" s="1957"/>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774508</v>
      </c>
      <c r="E141" s="1563">
        <f t="shared" si="1"/>
        <v>25000</v>
      </c>
      <c r="F141" s="1817">
        <f>SUM(F17:F140)</f>
        <v>249171</v>
      </c>
      <c r="G141" s="1818">
        <f>SUM(G17:G140)</f>
        <v>525337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D68" sqref="D6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v>18185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3198024</v>
      </c>
      <c r="F19" s="1822"/>
      <c r="G19" s="1824">
        <f>'Expenditures 15-22'!K33-SUM('Expenditures 15-22'!G33,'Expenditures 15-22'!I33)+'Expenditures 15-22'!D229</f>
        <v>3198024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250101</v>
      </c>
      <c r="F21" s="1825"/>
      <c r="G21" s="1828">
        <f>'Expenditures 15-22'!K42-SUM('Expenditures 15-22'!G42,'Expenditures 15-22'!I42)+'Expenditures 15-22'!K120-SUM('Expenditures 15-22'!G120,'Expenditures 15-22'!I120)+'Expenditures 15-22'!K180-SUM('Expenditures 15-22'!G180,'Expenditures 15-22'!I180)+'Expenditures 15-22'!D238</f>
        <v>250101</v>
      </c>
      <c r="H21" s="988"/>
      <c r="I21" s="162"/>
    </row>
    <row r="22" spans="1:9" s="669" customFormat="1" ht="12" customHeight="1" x14ac:dyDescent="0.2">
      <c r="A22" s="995" t="s">
        <v>585</v>
      </c>
      <c r="B22" s="996"/>
      <c r="C22" s="994">
        <v>2200</v>
      </c>
      <c r="D22" s="1825"/>
      <c r="E22" s="1827">
        <f>'Expenditures 15-22'!K47-SUM('Expenditures 15-22'!G47,'Expenditures 15-22'!I47)+'Expenditures 15-22'!D243</f>
        <v>184347</v>
      </c>
      <c r="F22" s="1825"/>
      <c r="G22" s="1828">
        <f>'Expenditures 15-22'!K47-SUM('Expenditures 15-22'!G47,'Expenditures 15-22'!I47)+'Expenditures 15-22'!D243</f>
        <v>184347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710851</v>
      </c>
      <c r="F23" s="1825"/>
      <c r="G23" s="1827">
        <f>'Expenditures 15-22'!K53-SUM('Expenditures 15-22'!G53,'Expenditures 15-22'!I53)+'Expenditures 15-22'!D257+'Expenditures 15-22'!K330-SUM('Expenditures 15-22'!G330,'Expenditures 15-22'!I330)</f>
        <v>710851</v>
      </c>
      <c r="H23" s="988"/>
      <c r="I23" s="162"/>
    </row>
    <row r="24" spans="1:9" s="669" customFormat="1" ht="12" customHeight="1" x14ac:dyDescent="0.2">
      <c r="A24" s="995" t="s">
        <v>587</v>
      </c>
      <c r="B24" s="996"/>
      <c r="C24" s="994">
        <v>2400</v>
      </c>
      <c r="D24" s="1825"/>
      <c r="E24" s="1827">
        <f>'Expenditures 15-22'!K57-SUM('Expenditures 15-22'!G57,'Expenditures 15-22'!I57)+'Expenditures 15-22'!D261</f>
        <v>336657</v>
      </c>
      <c r="F24" s="1825"/>
      <c r="G24" s="1828">
        <f>'Expenditures 15-22'!K57-SUM('Expenditures 15-22'!G57,'Expenditures 15-22'!I57)+'Expenditures 15-22'!D261</f>
        <v>336657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67562</v>
      </c>
      <c r="E26" s="1827">
        <f>'Expenditures 15-22'!K122-SUM('Expenditures 15-22'!G122,'Expenditures 15-22'!I122)+E7</f>
        <v>0</v>
      </c>
      <c r="F26" s="1827">
        <f>'Expenditures 15-22'!K59-SUM('Expenditures 15-22'!G59,'Expenditures 15-22'!I59)+'Expenditures 15-22'!D263-E7</f>
        <v>67562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141742</v>
      </c>
      <c r="E27" s="1827">
        <f>E8</f>
        <v>0</v>
      </c>
      <c r="F27" s="1827">
        <f>'Expenditures 15-22'!K60-SUM('Expenditures 15-22'!G60,'Expenditures 15-22'!I60)+'Expenditures 15-22'!D264-E8</f>
        <v>141742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693568</v>
      </c>
      <c r="F28" s="1829">
        <f>'Expenditures 15-22'!K61-SUM('Expenditures 15-22'!G61,'Expenditures 15-22'!I61)+'Expenditures 15-22'!K124-SUM('Expenditures 15-22'!G124,'Expenditures 15-22'!I124)+'Expenditures 15-22'!D266-E9</f>
        <v>693568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129876</v>
      </c>
      <c r="F29" s="1825"/>
      <c r="G29" s="1828">
        <f>'Expenditures 15-22'!K62-SUM('Expenditures 15-22'!G62,'Expenditures 15-22'!I62)+'Expenditures 15-22'!K125-SUM('Expenditures 15-22'!G125,'Expenditures 15-22'!I125)+'Expenditures 15-22'!K182-SUM('Expenditures 15-22'!G182,'Expenditures 15-22'!I182)+'Expenditures 15-22'!D267</f>
        <v>129876</v>
      </c>
      <c r="H29" s="986"/>
    </row>
    <row r="30" spans="1:9" ht="12" customHeight="1" x14ac:dyDescent="0.2">
      <c r="A30" s="995" t="s">
        <v>102</v>
      </c>
      <c r="B30" s="998"/>
      <c r="C30" s="994">
        <v>2560</v>
      </c>
      <c r="D30" s="1825"/>
      <c r="E30" s="1827">
        <f>'Expenditures 15-22'!K63-SUM('Expenditures 15-22'!G63,'Expenditures 15-22'!I63)+'Expenditures 15-22'!D268-E10</f>
        <v>362236</v>
      </c>
      <c r="F30" s="1825"/>
      <c r="G30" s="1827">
        <f>'Expenditures 15-22'!K63-SUM('Expenditures 15-22'!G63,'Expenditures 15-22'!I63)+'Expenditures 15-22'!D268-E10</f>
        <v>362236</v>
      </c>
    </row>
    <row r="31" spans="1:9" ht="12" customHeight="1" x14ac:dyDescent="0.2">
      <c r="A31" s="995" t="s">
        <v>103</v>
      </c>
      <c r="B31" s="998"/>
      <c r="C31" s="994">
        <v>2570</v>
      </c>
      <c r="D31" s="1827">
        <f>'Expenditures 15-22'!K64-SUM('Expenditures 15-22'!G64,'Expenditures 15-22'!I64)+'Expenditures 15-22'!D269-E12</f>
        <v>24093</v>
      </c>
      <c r="E31" s="1827">
        <f>E12</f>
        <v>0</v>
      </c>
      <c r="F31" s="1827">
        <f>'Expenditures 15-22'!K64-SUM('Expenditures 15-22'!G64,'Expenditures 15-22'!I64)+'Expenditures 15-22'!D269-E12</f>
        <v>24093</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2296</v>
      </c>
      <c r="F35" s="1825"/>
      <c r="G35" s="1827">
        <f>'Expenditures 15-22'!K69-SUM('Expenditures 15-22'!G69,'Expenditures 15-22'!I69)+'Expenditures 15-22'!D274</f>
        <v>2296</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193092</v>
      </c>
      <c r="E37" s="1827">
        <f>E14</f>
        <v>0</v>
      </c>
      <c r="F37" s="1827">
        <f>'Expenditures 15-22'!K71-SUM('Expenditures 15-22'!G71,'Expenditures 15-22'!I71)+'Expenditures 15-22'!D276-E14</f>
        <v>193092</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5365</v>
      </c>
      <c r="F38" s="1825"/>
      <c r="G38" s="1827">
        <f>'Expenditures 15-22'!K73-SUM('Expenditures 15-22'!G73,'Expenditures 15-22'!I73)+'Expenditures 15-22'!K128-SUM('Expenditures 15-22'!G128,'Expenditures 15-22'!I128)+'Expenditures 15-22'!K183-SUM('Expenditures 15-22'!G183,'Expenditures 15-22'!I183)+'Expenditures 15-22'!D278</f>
        <v>5365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20749</v>
      </c>
      <c r="F39" s="1825"/>
      <c r="G39" s="1827">
        <f>'Expenditures 15-22'!K75-SUM('Expenditures 15-22'!G75,'Expenditures 15-22'!I75)+'Expenditures 15-22'!K130-SUM('Expenditures 15-22'!G130,'Expenditures 15-22'!I130)+'Expenditures 15-22'!K185-SUM('Expenditures 15-22'!G185,'Expenditures 15-22'!I185)+'Expenditures 15-22'!D280</f>
        <v>20749</v>
      </c>
    </row>
    <row r="40" spans="1:7" ht="12" customHeight="1" x14ac:dyDescent="0.2">
      <c r="A40" s="991" t="s">
        <v>1930</v>
      </c>
      <c r="B40" s="992"/>
      <c r="C40" s="994"/>
      <c r="D40" s="1825"/>
      <c r="E40" s="1829">
        <f>-'Contracts Paid in CY 29'!G141</f>
        <v>-525337</v>
      </c>
      <c r="F40" s="1825"/>
      <c r="G40" s="1829">
        <f>-'Contracts Paid in CY 29'!G141</f>
        <v>-525337</v>
      </c>
    </row>
    <row r="41" spans="1:7" ht="12" customHeight="1" x14ac:dyDescent="0.2">
      <c r="A41" s="999" t="s">
        <v>158</v>
      </c>
      <c r="B41" s="1000"/>
      <c r="C41" s="1001"/>
      <c r="D41" s="1829">
        <f>SUM(D19:D39)</f>
        <v>426489</v>
      </c>
      <c r="E41" s="1829">
        <f>SUM(E19:E40)</f>
        <v>5368733</v>
      </c>
      <c r="F41" s="1829">
        <f>SUM(F19:F39)</f>
        <v>1120057</v>
      </c>
      <c r="G41" s="1829">
        <f>SUM(G19:G40)</f>
        <v>4675165</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426489</v>
      </c>
      <c r="F43" s="1830" t="s">
        <v>495</v>
      </c>
      <c r="G43" s="1831">
        <f>F41</f>
        <v>1120057</v>
      </c>
    </row>
    <row r="44" spans="1:7" ht="12" customHeight="1" x14ac:dyDescent="0.2">
      <c r="A44" s="988"/>
      <c r="B44" s="162"/>
      <c r="C44" s="1002"/>
      <c r="D44" s="1830" t="s">
        <v>494</v>
      </c>
      <c r="E44" s="1831">
        <f>E41</f>
        <v>5368733</v>
      </c>
      <c r="F44" s="1830" t="s">
        <v>494</v>
      </c>
      <c r="G44" s="1831">
        <f>G41</f>
        <v>4675165</v>
      </c>
    </row>
    <row r="45" spans="1:7" ht="12" customHeight="1" x14ac:dyDescent="0.2">
      <c r="A45" s="988"/>
      <c r="B45" s="162"/>
      <c r="C45" s="162"/>
      <c r="D45" s="1832" t="s">
        <v>1063</v>
      </c>
      <c r="E45" s="1833">
        <f>(E43/E44)</f>
        <v>7.9439413358794342E-2</v>
      </c>
      <c r="F45" s="1832" t="s">
        <v>1063</v>
      </c>
      <c r="G45" s="1833">
        <f>(G43/G44)</f>
        <v>0.23957592940570013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68" sqref="D68"/>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Lindop SD 92</v>
      </c>
      <c r="D6" s="2314"/>
      <c r="E6" s="2314"/>
      <c r="F6" s="1876"/>
    </row>
    <row r="7" spans="1:10" ht="11.25" customHeight="1" thickBot="1" x14ac:dyDescent="0.3">
      <c r="A7" s="1874"/>
      <c r="B7" s="1875"/>
      <c r="C7" s="2315">
        <f>COVER!A13</f>
        <v>6016092002</v>
      </c>
      <c r="D7" s="2315"/>
      <c r="E7" s="2315"/>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2077</v>
      </c>
      <c r="D14" s="1889" t="s">
        <v>2077</v>
      </c>
      <c r="E14" s="1892"/>
      <c r="F14" s="1891" t="s">
        <v>2119</v>
      </c>
      <c r="H14" s="1902">
        <f t="shared" si="0"/>
        <v>5</v>
      </c>
      <c r="I14" s="1902">
        <f t="shared" si="1"/>
        <v>5</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c r="F19" s="1891" t="s">
        <v>2120</v>
      </c>
      <c r="H19" s="1902">
        <f t="shared" si="0"/>
        <v>5</v>
      </c>
      <c r="I19" s="1902">
        <f t="shared" si="1"/>
        <v>5</v>
      </c>
      <c r="J19" s="1902">
        <f t="shared" si="2"/>
        <v>0</v>
      </c>
    </row>
    <row r="20" spans="1:12" ht="12" customHeight="1" x14ac:dyDescent="0.2">
      <c r="A20" s="1887" t="s">
        <v>1609</v>
      </c>
      <c r="B20" s="1888"/>
      <c r="C20" s="1889" t="s">
        <v>2077</v>
      </c>
      <c r="D20" s="1889" t="s">
        <v>2077</v>
      </c>
      <c r="E20" s="1892"/>
      <c r="F20" s="1891" t="s">
        <v>2121</v>
      </c>
      <c r="H20" s="1902">
        <f t="shared" si="0"/>
        <v>5</v>
      </c>
      <c r="I20" s="1902">
        <f t="shared" si="1"/>
        <v>5</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2077</v>
      </c>
      <c r="D25" s="1889" t="s">
        <v>2077</v>
      </c>
      <c r="E25" s="1892"/>
      <c r="F25" s="1891" t="s">
        <v>2111</v>
      </c>
      <c r="H25" s="1902">
        <f t="shared" si="0"/>
        <v>5</v>
      </c>
      <c r="I25" s="1902">
        <f t="shared" si="1"/>
        <v>5</v>
      </c>
      <c r="J25" s="1902">
        <f t="shared" si="2"/>
        <v>0</v>
      </c>
    </row>
    <row r="26" spans="1:12" ht="12" customHeight="1" x14ac:dyDescent="0.2">
      <c r="A26" s="1887" t="s">
        <v>1615</v>
      </c>
      <c r="B26" s="1888"/>
      <c r="C26" s="1889" t="s">
        <v>2077</v>
      </c>
      <c r="D26" s="1889" t="s">
        <v>2077</v>
      </c>
      <c r="E26" s="1892"/>
      <c r="F26" s="1891" t="s">
        <v>2111</v>
      </c>
      <c r="H26" s="1902">
        <f t="shared" si="0"/>
        <v>5</v>
      </c>
      <c r="I26" s="1902">
        <f t="shared" si="1"/>
        <v>5</v>
      </c>
      <c r="J26" s="1902">
        <f t="shared" si="2"/>
        <v>0</v>
      </c>
    </row>
    <row r="27" spans="1:12" ht="18.75" x14ac:dyDescent="0.2">
      <c r="A27" s="1887" t="s">
        <v>1616</v>
      </c>
      <c r="B27" s="1888"/>
      <c r="C27" s="1889" t="s">
        <v>2077</v>
      </c>
      <c r="D27" s="1889" t="s">
        <v>2077</v>
      </c>
      <c r="E27" s="1892"/>
      <c r="F27" s="1891" t="s">
        <v>2122</v>
      </c>
      <c r="H27" s="1902">
        <f t="shared" si="0"/>
        <v>5</v>
      </c>
      <c r="I27" s="1902">
        <f t="shared" si="1"/>
        <v>5</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c r="F30" s="1891" t="s">
        <v>2111</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35</v>
      </c>
      <c r="I34" s="1902">
        <f>SUM(I11:I32)</f>
        <v>35</v>
      </c>
      <c r="J34" s="1902">
        <f>SUM(J11:J32)</f>
        <v>0</v>
      </c>
      <c r="K34" s="1902">
        <f>SUM(H34:J34)</f>
        <v>70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68" sqref="D6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Lindop SD 92</v>
      </c>
      <c r="J6" s="2335"/>
      <c r="Q6" s="1686"/>
    </row>
    <row r="7" spans="1:17" x14ac:dyDescent="0.2">
      <c r="A7" s="2336" t="s">
        <v>924</v>
      </c>
      <c r="B7" s="2337"/>
      <c r="C7" s="2337"/>
      <c r="D7" s="2337"/>
      <c r="E7" s="2338"/>
      <c r="F7" s="1018"/>
      <c r="G7" s="1010"/>
      <c r="H7" s="1017" t="s">
        <v>390</v>
      </c>
      <c r="I7" s="2339">
        <f>COVER!A13</f>
        <v>6016092002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242915</v>
      </c>
      <c r="F12" s="1040"/>
      <c r="G12" s="1834">
        <f t="shared" ref="G12:G18" si="0">SUM(E12:F12)</f>
        <v>242915</v>
      </c>
      <c r="H12" s="1041">
        <v>238918</v>
      </c>
      <c r="I12" s="1040"/>
      <c r="J12" s="1834">
        <f t="shared" ref="J12:J18" si="1">SUM(H12:I12)</f>
        <v>238918</v>
      </c>
    </row>
    <row r="13" spans="1:17" ht="15" customHeight="1" x14ac:dyDescent="0.2">
      <c r="A13" s="1036">
        <v>2</v>
      </c>
      <c r="B13" s="1037" t="s">
        <v>44</v>
      </c>
      <c r="C13" s="1038"/>
      <c r="D13" s="1039">
        <v>2330</v>
      </c>
      <c r="E13" s="1834">
        <f>'Expenditures 15-22'!K51</f>
        <v>135001</v>
      </c>
      <c r="F13" s="1040"/>
      <c r="G13" s="1834">
        <f t="shared" si="0"/>
        <v>135001</v>
      </c>
      <c r="H13" s="1041">
        <v>157259</v>
      </c>
      <c r="I13" s="1040"/>
      <c r="J13" s="1834">
        <f t="shared" si="1"/>
        <v>157259</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67562</v>
      </c>
      <c r="F15" s="1834">
        <f>'Expenditures 15-22'!K122</f>
        <v>0</v>
      </c>
      <c r="G15" s="1834">
        <f t="shared" si="0"/>
        <v>67562</v>
      </c>
      <c r="H15" s="1041">
        <v>73668</v>
      </c>
      <c r="I15" s="1041"/>
      <c r="J15" s="1834">
        <f t="shared" si="1"/>
        <v>73668</v>
      </c>
    </row>
    <row r="16" spans="1:17" ht="15" customHeight="1" x14ac:dyDescent="0.2">
      <c r="A16" s="1036">
        <v>5</v>
      </c>
      <c r="B16" s="1037" t="s">
        <v>103</v>
      </c>
      <c r="C16" s="1038"/>
      <c r="D16" s="1039">
        <v>2570</v>
      </c>
      <c r="E16" s="1834">
        <f>'Expenditures 15-22'!K64</f>
        <v>63880</v>
      </c>
      <c r="F16" s="1040"/>
      <c r="G16" s="1834">
        <f t="shared" si="0"/>
        <v>63880</v>
      </c>
      <c r="H16" s="1041">
        <v>19134</v>
      </c>
      <c r="I16" s="1040"/>
      <c r="J16" s="1834">
        <f t="shared" si="1"/>
        <v>19134</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509358</v>
      </c>
      <c r="F19" s="1836">
        <f t="shared" si="2"/>
        <v>0</v>
      </c>
      <c r="G19" s="1836">
        <f t="shared" si="2"/>
        <v>509358</v>
      </c>
      <c r="H19" s="1836">
        <f t="shared" si="2"/>
        <v>488979</v>
      </c>
      <c r="I19" s="1836">
        <f t="shared" si="2"/>
        <v>0</v>
      </c>
      <c r="J19" s="1836">
        <f t="shared" si="2"/>
        <v>488979</v>
      </c>
    </row>
    <row r="20" spans="1:10" ht="13.5" thickTop="1" x14ac:dyDescent="0.2">
      <c r="A20" s="1036">
        <v>9</v>
      </c>
      <c r="B20" s="2346" t="s">
        <v>1703</v>
      </c>
      <c r="C20" s="2346"/>
      <c r="D20" s="2347"/>
      <c r="E20" s="1047"/>
      <c r="F20" s="1047"/>
      <c r="G20" s="1047"/>
      <c r="H20" s="1047"/>
      <c r="I20" s="1047"/>
      <c r="J20" s="1837">
        <f>IF(AND(G19&gt;0,J19&gt;0),(((J19-G19)/G19)),"Enter Budget Data")</f>
        <v>-4.0009188036705029E-2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D68" sqref="D6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2123</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Lindop SD 92</v>
      </c>
    </row>
    <row r="65" spans="2:2" x14ac:dyDescent="0.2">
      <c r="B65" s="1071">
        <f>COVER!A13</f>
        <v>6016092002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D68" sqref="D6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68" sqref="D6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4</xdr:col>
                <xdr:colOff>0</xdr:colOff>
                <xdr:row>7</xdr:row>
                <xdr:rowOff>0</xdr:rowOff>
              </from>
              <to>
                <xdr:col>5</xdr:col>
                <xdr:colOff>304800</xdr:colOff>
                <xdr:row>11</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7</xdr:col>
                <xdr:colOff>0</xdr:colOff>
                <xdr:row>8</xdr:row>
                <xdr:rowOff>0</xdr:rowOff>
              </from>
              <to>
                <xdr:col>8</xdr:col>
                <xdr:colOff>304800</xdr:colOff>
                <xdr:row>12</xdr:row>
                <xdr:rowOff>38100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68" sqref="D6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6515313</v>
      </c>
      <c r="C8" s="1838">
        <f>'Acct Summary 7-8'!D8</f>
        <v>473668</v>
      </c>
      <c r="D8" s="1838">
        <f>'Acct Summary 7-8'!F8</f>
        <v>276127</v>
      </c>
      <c r="E8" s="1838">
        <f>'Acct Summary 7-8'!I8</f>
        <v>57013</v>
      </c>
      <c r="F8" s="1838">
        <f>SUM(B8:E8)</f>
        <v>7322121</v>
      </c>
    </row>
    <row r="9" spans="1:8" s="1080" customFormat="1" ht="14.25" customHeight="1" thickBot="1" x14ac:dyDescent="0.25">
      <c r="A9" s="1079" t="s">
        <v>1436</v>
      </c>
      <c r="B9" s="1839">
        <f>'Acct Summary 7-8'!C17</f>
        <v>6118142</v>
      </c>
      <c r="C9" s="1839">
        <f>'Acct Summary 7-8'!D17</f>
        <v>745100</v>
      </c>
      <c r="D9" s="1839">
        <f>'Acct Summary 7-8'!F17</f>
        <v>215502</v>
      </c>
      <c r="E9" s="1838"/>
      <c r="F9" s="1838">
        <f>SUM(B9:E9)</f>
        <v>7078744</v>
      </c>
    </row>
    <row r="10" spans="1:8" s="1080" customFormat="1" ht="14.25" thickTop="1" thickBot="1" x14ac:dyDescent="0.25">
      <c r="A10" s="1081" t="s">
        <v>1437</v>
      </c>
      <c r="B10" s="1840">
        <f>(B8-B9)</f>
        <v>397171</v>
      </c>
      <c r="C10" s="1840">
        <f>(C8-C9)</f>
        <v>-271432</v>
      </c>
      <c r="D10" s="1840">
        <f>(D8-D9)</f>
        <v>60625</v>
      </c>
      <c r="E10" s="1839">
        <f>(E8-E9)</f>
        <v>57013</v>
      </c>
      <c r="F10" s="1841">
        <f>SUM(F8-F9)</f>
        <v>243377</v>
      </c>
    </row>
    <row r="11" spans="1:8" s="1080" customFormat="1" ht="14.25" thickTop="1" thickBot="1" x14ac:dyDescent="0.25">
      <c r="A11" s="1082" t="s">
        <v>1785</v>
      </c>
      <c r="B11" s="1842">
        <f>'Acct Summary 7-8'!C81</f>
        <v>8079893</v>
      </c>
      <c r="C11" s="1842">
        <f>'Acct Summary 7-8'!D81</f>
        <v>283416</v>
      </c>
      <c r="D11" s="1842">
        <f>'Acct Summary 7-8'!F81</f>
        <v>399289</v>
      </c>
      <c r="E11" s="1842">
        <f>'Acct Summary 7-8'!I81</f>
        <v>1426590</v>
      </c>
      <c r="F11" s="1843">
        <f>SUM(B11:E11)</f>
        <v>10189188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6016092002</v>
      </c>
    </row>
    <row r="3" spans="1:2" x14ac:dyDescent="0.2">
      <c r="A3" t="s">
        <v>1013</v>
      </c>
      <c r="B3" s="138" t="str">
        <f>COVER!A15</f>
        <v>Cook</v>
      </c>
    </row>
    <row r="4" spans="1:2" x14ac:dyDescent="0.2">
      <c r="A4" t="s">
        <v>1064</v>
      </c>
      <c r="B4" s="138" t="str">
        <f>COVER!A17</f>
        <v>Lindop SD 92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090-003973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1947623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8456854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196560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376961</v>
      </c>
      <c r="C91" s="2" t="s">
        <v>594</v>
      </c>
      <c r="D91" s="2" t="str">
        <f t="shared" si="0"/>
        <v>Error?</v>
      </c>
    </row>
    <row r="92" spans="1:4" x14ac:dyDescent="0.2">
      <c r="A92" s="5">
        <v>31</v>
      </c>
      <c r="B92" s="138">
        <f>'Assets-Liab 5-6'!C39</f>
        <v>8079893</v>
      </c>
      <c r="D92" s="2" t="str">
        <f t="shared" si="0"/>
        <v>Error?</v>
      </c>
    </row>
    <row r="93" spans="1:4" x14ac:dyDescent="0.2">
      <c r="A93" s="5">
        <v>32</v>
      </c>
      <c r="B93" s="138">
        <f>'Assets-Liab 5-6'!C41</f>
        <v>8456854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229721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350285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23513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66869</v>
      </c>
      <c r="C122" s="2" t="s">
        <v>594</v>
      </c>
      <c r="D122" s="2" t="str">
        <f t="shared" si="0"/>
        <v>Error?</v>
      </c>
    </row>
    <row r="123" spans="1:4" x14ac:dyDescent="0.2">
      <c r="A123" s="5">
        <v>62</v>
      </c>
      <c r="B123" s="138">
        <f>'Assets-Liab 5-6'!D39</f>
        <v>283416</v>
      </c>
      <c r="D123" s="2" t="str">
        <f t="shared" si="0"/>
        <v>Error?</v>
      </c>
    </row>
    <row r="124" spans="1:4" x14ac:dyDescent="0.2">
      <c r="A124" s="5">
        <v>63</v>
      </c>
      <c r="B124" s="138">
        <f>'Assets-Liab 5-6'!D41</f>
        <v>350285</v>
      </c>
      <c r="C124" s="2" t="s">
        <v>594</v>
      </c>
      <c r="D124" s="2" t="str">
        <f t="shared" si="0"/>
        <v>Error?</v>
      </c>
    </row>
    <row r="125" spans="1:4" x14ac:dyDescent="0.2">
      <c r="A125" s="10">
        <v>64</v>
      </c>
      <c r="D125" s="2" t="str">
        <f t="shared" si="0"/>
        <v>OK</v>
      </c>
    </row>
    <row r="126" spans="1:4" x14ac:dyDescent="0.2">
      <c r="A126" s="5">
        <v>65</v>
      </c>
      <c r="B126" s="138">
        <f>'Assets-Liab 5-6'!E6</f>
        <v>210549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264212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21503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21503</v>
      </c>
      <c r="C139" s="2" t="s">
        <v>594</v>
      </c>
      <c r="D139" s="2" t="str">
        <f t="shared" si="1"/>
        <v>Error?</v>
      </c>
    </row>
    <row r="140" spans="1:4" x14ac:dyDescent="0.2">
      <c r="A140" s="5">
        <v>79</v>
      </c>
      <c r="B140" s="138">
        <f>'Assets-Liab 5-6'!E39</f>
        <v>242709</v>
      </c>
      <c r="D140" s="2" t="str">
        <f t="shared" si="1"/>
        <v>Error?</v>
      </c>
    </row>
    <row r="141" spans="1:4" x14ac:dyDescent="0.2">
      <c r="A141" s="5">
        <v>80</v>
      </c>
      <c r="B141" s="138">
        <f>'Assets-Liab 5-6'!E41</f>
        <v>264212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116096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427360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12039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28071</v>
      </c>
      <c r="C169" s="2" t="s">
        <v>594</v>
      </c>
      <c r="D169" s="2" t="str">
        <f t="shared" si="1"/>
        <v>Error?</v>
      </c>
    </row>
    <row r="170" spans="1:4" x14ac:dyDescent="0.2">
      <c r="A170" s="5">
        <v>109</v>
      </c>
      <c r="B170" s="138">
        <f>'Assets-Liab 5-6'!F39</f>
        <v>399289</v>
      </c>
      <c r="D170" s="2" t="str">
        <f t="shared" si="1"/>
        <v>Error?</v>
      </c>
    </row>
    <row r="171" spans="1:4" x14ac:dyDescent="0.2">
      <c r="A171" s="5">
        <v>110</v>
      </c>
      <c r="B171" s="138">
        <f>'Assets-Liab 5-6'!F41</f>
        <v>427360</v>
      </c>
      <c r="C171" s="2" t="s">
        <v>594</v>
      </c>
      <c r="D171" s="2" t="str">
        <f t="shared" si="1"/>
        <v>Error?</v>
      </c>
    </row>
    <row r="172" spans="1:4" x14ac:dyDescent="0.2">
      <c r="A172" s="10">
        <v>111</v>
      </c>
      <c r="D172" s="2" t="str">
        <f t="shared" si="1"/>
        <v>OK</v>
      </c>
    </row>
    <row r="173" spans="1:4" x14ac:dyDescent="0.2">
      <c r="A173" s="5">
        <v>112</v>
      </c>
      <c r="B173" s="138">
        <f>'Assets-Liab 5-6'!G6</f>
        <v>307246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1011595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31576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31232</v>
      </c>
      <c r="C188" s="2" t="s">
        <v>594</v>
      </c>
      <c r="D188" s="2" t="str">
        <f t="shared" si="1"/>
        <v>Error?</v>
      </c>
    </row>
    <row r="189" spans="1:4" x14ac:dyDescent="0.2">
      <c r="A189" s="5">
        <v>128</v>
      </c>
      <c r="B189" s="138">
        <f>'Assets-Liab 5-6'!G39</f>
        <v>980363</v>
      </c>
      <c r="D189" s="2" t="str">
        <f t="shared" si="1"/>
        <v>Error?</v>
      </c>
    </row>
    <row r="190" spans="1:4" x14ac:dyDescent="0.2">
      <c r="A190" s="5">
        <v>129</v>
      </c>
      <c r="B190" s="138">
        <f>'Assets-Liab 5-6'!G41</f>
        <v>1011595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211396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211396</v>
      </c>
      <c r="D212" s="2" t="str">
        <f t="shared" si="2"/>
        <v>Error?</v>
      </c>
    </row>
    <row r="213" spans="1:4" x14ac:dyDescent="0.2">
      <c r="A213" s="12">
        <v>152</v>
      </c>
      <c r="B213" s="138">
        <f>'Assets-Liab 5-6'!H41</f>
        <v>211396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314014</v>
      </c>
      <c r="D273" s="2" t="str">
        <f t="shared" si="3"/>
        <v>Error?</v>
      </c>
    </row>
    <row r="274" spans="1:4" x14ac:dyDescent="0.2">
      <c r="A274" s="5">
        <v>213</v>
      </c>
      <c r="B274" s="138">
        <f>'Assets-Liab 5-6'!M17</f>
        <v>12198910</v>
      </c>
      <c r="D274" s="2" t="str">
        <f t="shared" si="3"/>
        <v>Error?</v>
      </c>
    </row>
    <row r="275" spans="1:4" x14ac:dyDescent="0.2">
      <c r="A275" s="5">
        <v>214</v>
      </c>
      <c r="B275" s="138">
        <f>'Assets-Liab 5-6'!M18</f>
        <v>328356</v>
      </c>
      <c r="D275" s="2" t="str">
        <f t="shared" si="3"/>
        <v>Error?</v>
      </c>
    </row>
    <row r="276" spans="1:4" x14ac:dyDescent="0.2">
      <c r="A276" s="5">
        <v>215</v>
      </c>
      <c r="B276" s="138">
        <f>'Assets-Liab 5-6'!M19</f>
        <v>1898448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14739728</v>
      </c>
      <c r="C279" s="2" t="s">
        <v>594</v>
      </c>
      <c r="D279" s="2" t="str">
        <f t="shared" si="3"/>
        <v>Error?</v>
      </c>
    </row>
    <row r="280" spans="1:4" x14ac:dyDescent="0.2">
      <c r="A280" s="5">
        <v>219</v>
      </c>
      <c r="B280" s="138">
        <f>'Assets-Liab 5-6'!M40</f>
        <v>14739728</v>
      </c>
      <c r="D280" s="2" t="str">
        <f t="shared" si="3"/>
        <v>Error?</v>
      </c>
    </row>
    <row r="281" spans="1:4" x14ac:dyDescent="0.2">
      <c r="A281" s="5">
        <v>220</v>
      </c>
      <c r="B281" s="138">
        <f>'Assets-Liab 5-6'!M41</f>
        <v>14739728</v>
      </c>
      <c r="C281" s="2" t="s">
        <v>594</v>
      </c>
      <c r="D281" s="2" t="str">
        <f t="shared" si="3"/>
        <v>Error?</v>
      </c>
    </row>
    <row r="282" spans="1:4" x14ac:dyDescent="0.2">
      <c r="A282" s="5">
        <v>221</v>
      </c>
      <c r="B282" s="138">
        <f>'Assets-Liab 5-6'!N21</f>
        <v>242709</v>
      </c>
      <c r="D282" s="2" t="str">
        <f t="shared" si="3"/>
        <v>Error?</v>
      </c>
    </row>
    <row r="283" spans="1:4" x14ac:dyDescent="0.2">
      <c r="A283" s="5">
        <v>222</v>
      </c>
      <c r="B283" s="138">
        <f>'Assets-Liab 5-6'!N22</f>
        <v>1701412</v>
      </c>
      <c r="D283" s="2" t="str">
        <f t="shared" si="3"/>
        <v>Error?</v>
      </c>
    </row>
    <row r="284" spans="1:4" x14ac:dyDescent="0.2">
      <c r="A284" s="5">
        <v>223</v>
      </c>
      <c r="B284" s="138">
        <f>'Assets-Liab 5-6'!N23</f>
        <v>1944121</v>
      </c>
      <c r="C284" s="2" t="s">
        <v>594</v>
      </c>
      <c r="D284" s="2" t="str">
        <f t="shared" si="3"/>
        <v>Error?</v>
      </c>
    </row>
    <row r="285" spans="1:4" x14ac:dyDescent="0.2">
      <c r="A285" s="5">
        <v>224</v>
      </c>
      <c r="B285" s="138">
        <f>'Assets-Liab 5-6'!N36</f>
        <v>1944121</v>
      </c>
      <c r="D285" s="2" t="str">
        <f t="shared" si="3"/>
        <v>Error?</v>
      </c>
    </row>
    <row r="286" spans="1:4" x14ac:dyDescent="0.2">
      <c r="A286" s="10">
        <v>225</v>
      </c>
      <c r="D286" s="2" t="str">
        <f t="shared" si="3"/>
        <v>OK</v>
      </c>
    </row>
    <row r="287" spans="1:4" x14ac:dyDescent="0.2">
      <c r="A287" s="5">
        <v>226</v>
      </c>
      <c r="B287" s="138">
        <f>'Assets-Liab 5-6'!N37</f>
        <v>1944121</v>
      </c>
      <c r="C287" s="2" t="s">
        <v>594</v>
      </c>
      <c r="D287" s="2" t="str">
        <f t="shared" si="3"/>
        <v>Error?</v>
      </c>
    </row>
    <row r="288" spans="1:4" x14ac:dyDescent="0.2">
      <c r="A288" s="5">
        <v>227</v>
      </c>
      <c r="B288" s="138">
        <f>'Assets-Liab 5-6'!N41</f>
        <v>1944121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1837939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62439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84310</v>
      </c>
      <c r="D718" s="2" t="str">
        <f t="shared" si="10"/>
        <v>Error?</v>
      </c>
    </row>
    <row r="719" spans="1:4" x14ac:dyDescent="0.2">
      <c r="A719" s="5">
        <v>658</v>
      </c>
      <c r="B719" s="138">
        <f>'Expenditures 15-22'!C15</f>
        <v>36747</v>
      </c>
      <c r="D719" s="2" t="str">
        <f t="shared" si="10"/>
        <v>Error?</v>
      </c>
    </row>
    <row r="720" spans="1:4" x14ac:dyDescent="0.2">
      <c r="A720" s="5">
        <v>659</v>
      </c>
      <c r="B720" s="138">
        <f>'Expenditures 15-22'!C33</f>
        <v>2501392</v>
      </c>
      <c r="C720" s="2" t="s">
        <v>594</v>
      </c>
      <c r="D720" s="2" t="str">
        <f t="shared" si="10"/>
        <v>Error?</v>
      </c>
    </row>
    <row r="721" spans="1:4" x14ac:dyDescent="0.2">
      <c r="A721" s="5">
        <v>660</v>
      </c>
      <c r="B721" s="138">
        <f>'Expenditures 15-22'!C36</f>
        <v>51358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58155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109513</v>
      </c>
      <c r="C727" s="2" t="s">
        <v>594</v>
      </c>
      <c r="D727" s="2" t="str">
        <f t="shared" si="10"/>
        <v>Error?</v>
      </c>
    </row>
    <row r="728" spans="1:4" x14ac:dyDescent="0.2">
      <c r="A728" s="5">
        <v>667</v>
      </c>
      <c r="B728" s="138">
        <f>'Expenditures 15-22'!C44</f>
        <v>6925</v>
      </c>
      <c r="D728" s="2" t="str">
        <f t="shared" si="10"/>
        <v>Error?</v>
      </c>
    </row>
    <row r="729" spans="1:4" x14ac:dyDescent="0.2">
      <c r="A729" s="5">
        <v>668</v>
      </c>
      <c r="B729" s="138">
        <f>'Expenditures 15-22'!C45</f>
        <v>55250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62175</v>
      </c>
      <c r="C731" s="2" t="s">
        <v>594</v>
      </c>
      <c r="D731" s="2" t="str">
        <f t="shared" si="10"/>
        <v>Error?</v>
      </c>
    </row>
    <row r="732" spans="1:4" x14ac:dyDescent="0.2">
      <c r="A732" s="5">
        <v>671</v>
      </c>
      <c r="B732" s="138">
        <f>'Expenditures 15-22'!C49</f>
        <v>1867</v>
      </c>
      <c r="D732" s="2" t="str">
        <f t="shared" si="10"/>
        <v>Error?</v>
      </c>
    </row>
    <row r="733" spans="1:4" x14ac:dyDescent="0.2">
      <c r="A733" s="5">
        <v>672</v>
      </c>
      <c r="B733" s="138">
        <f>'Expenditures 15-22'!C50</f>
        <v>172878</v>
      </c>
      <c r="D733" s="2" t="str">
        <f t="shared" si="10"/>
        <v>Error?</v>
      </c>
    </row>
    <row r="734" spans="1:4" x14ac:dyDescent="0.2">
      <c r="A734" s="5">
        <v>673</v>
      </c>
      <c r="B734" s="138">
        <f>'Expenditures 15-22'!C53</f>
        <v>272089</v>
      </c>
      <c r="C734" s="2" t="s">
        <v>594</v>
      </c>
      <c r="D734" s="2" t="str">
        <f t="shared" si="10"/>
        <v>Error?</v>
      </c>
    </row>
    <row r="735" spans="1:4" x14ac:dyDescent="0.2">
      <c r="A735" s="5">
        <v>674</v>
      </c>
      <c r="B735" s="138">
        <f>'Expenditures 15-22'!C55</f>
        <v>241901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241901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107574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103329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210903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85016</v>
      </c>
      <c r="D751" s="2" t="str">
        <f t="shared" si="10"/>
        <v>Error?</v>
      </c>
    </row>
    <row r="752" spans="1:4" x14ac:dyDescent="0.2">
      <c r="A752" s="10">
        <v>691</v>
      </c>
      <c r="D752" s="2" t="str">
        <f t="shared" si="10"/>
        <v>OK</v>
      </c>
    </row>
    <row r="753" spans="1:4" x14ac:dyDescent="0.2">
      <c r="A753" s="5">
        <v>692</v>
      </c>
      <c r="B753" s="138">
        <f>'Expenditures 15-22'!C72</f>
        <v>85016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981597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3482989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324349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21628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447</v>
      </c>
      <c r="D776" s="2" t="str">
        <f t="shared" si="11"/>
        <v>Error?</v>
      </c>
    </row>
    <row r="777" spans="1:4" x14ac:dyDescent="0.2">
      <c r="A777" s="5">
        <v>716</v>
      </c>
      <c r="B777" s="138">
        <f>'Expenditures 15-22'!D15</f>
        <v>205</v>
      </c>
      <c r="D777" s="2" t="str">
        <f t="shared" si="11"/>
        <v>Error?</v>
      </c>
    </row>
    <row r="778" spans="1:4" x14ac:dyDescent="0.2">
      <c r="A778" s="5">
        <v>717</v>
      </c>
      <c r="B778" s="138">
        <f>'Expenditures 15-22'!D33</f>
        <v>422950</v>
      </c>
      <c r="C778" s="2" t="s">
        <v>594</v>
      </c>
      <c r="D778" s="2" t="str">
        <f t="shared" si="11"/>
        <v>Error?</v>
      </c>
    </row>
    <row r="779" spans="1:4" x14ac:dyDescent="0.2">
      <c r="A779" s="5">
        <v>718</v>
      </c>
      <c r="B779" s="138">
        <f>'Expenditures 15-22'!D36</f>
        <v>15768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11343</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27111</v>
      </c>
      <c r="C785" s="2" t="s">
        <v>594</v>
      </c>
      <c r="D785" s="2" t="str">
        <f t="shared" si="11"/>
        <v>Error?</v>
      </c>
    </row>
    <row r="786" spans="1:4" x14ac:dyDescent="0.2">
      <c r="A786" s="5">
        <v>725</v>
      </c>
      <c r="B786" s="138">
        <f>'Expenditures 15-22'!D44</f>
        <v>4789</v>
      </c>
      <c r="D786" s="2" t="str">
        <f t="shared" si="11"/>
        <v>Error?</v>
      </c>
    </row>
    <row r="787" spans="1:4" x14ac:dyDescent="0.2">
      <c r="A787" s="5">
        <v>726</v>
      </c>
      <c r="B787" s="138">
        <f>'Expenditures 15-22'!D45</f>
        <v>11326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16115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43526</v>
      </c>
      <c r="D791" s="2" t="str">
        <f t="shared" si="11"/>
        <v>Error?</v>
      </c>
    </row>
    <row r="792" spans="1:4" x14ac:dyDescent="0.2">
      <c r="A792" s="5">
        <v>731</v>
      </c>
      <c r="B792" s="138">
        <f>'Expenditures 15-22'!D53</f>
        <v>79379</v>
      </c>
      <c r="C792" s="2" t="s">
        <v>594</v>
      </c>
      <c r="D792" s="2" t="str">
        <f t="shared" si="11"/>
        <v>Error?</v>
      </c>
    </row>
    <row r="793" spans="1:4" x14ac:dyDescent="0.2">
      <c r="A793" s="5">
        <v>732</v>
      </c>
      <c r="B793" s="138">
        <f>'Expenditures 15-22'!D55</f>
        <v>71994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71994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8017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8858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16875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20508</v>
      </c>
      <c r="D809" s="2" t="str">
        <f t="shared" si="11"/>
        <v>Error?</v>
      </c>
    </row>
    <row r="810" spans="1:4" x14ac:dyDescent="0.2">
      <c r="A810" s="10">
        <v>749</v>
      </c>
      <c r="D810" s="2" t="str">
        <f t="shared" si="11"/>
        <v>OK</v>
      </c>
    </row>
    <row r="811" spans="1:4" x14ac:dyDescent="0.2">
      <c r="A811" s="5">
        <v>750</v>
      </c>
      <c r="B811" s="138">
        <f>'Expenditures 15-22'!D72</f>
        <v>20508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231982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654932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73492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97108</v>
      </c>
      <c r="C836" s="2" t="s">
        <v>594</v>
      </c>
      <c r="D836" s="2" t="str">
        <f t="shared" si="12"/>
        <v>Error?</v>
      </c>
    </row>
    <row r="837" spans="1:4" x14ac:dyDescent="0.2">
      <c r="A837" s="5">
        <v>776</v>
      </c>
      <c r="B837" s="138">
        <f>'Expenditures 15-22'!E36</f>
        <v>460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95911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5120</v>
      </c>
      <c r="D842" s="2" t="str">
        <f t="shared" si="12"/>
        <v>Error?</v>
      </c>
    </row>
    <row r="843" spans="1:4" x14ac:dyDescent="0.2">
      <c r="A843" s="5">
        <v>782</v>
      </c>
      <c r="B843" s="138">
        <f>'Expenditures 15-22'!E42</f>
        <v>101491</v>
      </c>
      <c r="C843" s="2" t="s">
        <v>594</v>
      </c>
      <c r="D843" s="2" t="str">
        <f t="shared" si="12"/>
        <v>Error?</v>
      </c>
    </row>
    <row r="844" spans="1:4" x14ac:dyDescent="0.2">
      <c r="A844" s="5">
        <v>783</v>
      </c>
      <c r="B844" s="138">
        <f>'Expenditures 15-22'!E44</f>
        <v>85329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10045</v>
      </c>
      <c r="D846" s="2" t="str">
        <f t="shared" si="12"/>
        <v>Error?</v>
      </c>
    </row>
    <row r="847" spans="1:4" x14ac:dyDescent="0.2">
      <c r="A847" s="5">
        <v>786</v>
      </c>
      <c r="B847" s="138">
        <f>'Expenditures 15-22'!E47</f>
        <v>95374</v>
      </c>
      <c r="C847" s="2" t="s">
        <v>594</v>
      </c>
      <c r="D847" s="2" t="str">
        <f t="shared" si="12"/>
        <v>Error?</v>
      </c>
    </row>
    <row r="848" spans="1:4" x14ac:dyDescent="0.2">
      <c r="A848" s="5">
        <v>787</v>
      </c>
      <c r="B848" s="138">
        <f>'Expenditures 15-22'!E49</f>
        <v>84516</v>
      </c>
      <c r="D848" s="2" t="str">
        <f t="shared" si="12"/>
        <v>Error?</v>
      </c>
    </row>
    <row r="849" spans="1:4" x14ac:dyDescent="0.2">
      <c r="A849" s="5">
        <v>788</v>
      </c>
      <c r="B849" s="138">
        <f>'Expenditures 15-22'!E50</f>
        <v>8415</v>
      </c>
      <c r="D849" s="2" t="str">
        <f t="shared" si="12"/>
        <v>Error?</v>
      </c>
    </row>
    <row r="850" spans="1:4" x14ac:dyDescent="0.2">
      <c r="A850" s="5">
        <v>789</v>
      </c>
      <c r="B850" s="138">
        <f>'Expenditures 15-22'!E53</f>
        <v>94735</v>
      </c>
      <c r="C850" s="2" t="s">
        <v>594</v>
      </c>
      <c r="D850" s="2" t="str">
        <f t="shared" si="12"/>
        <v>Error?</v>
      </c>
    </row>
    <row r="851" spans="1:4" x14ac:dyDescent="0.2">
      <c r="A851" s="5">
        <v>790</v>
      </c>
      <c r="B851" s="138">
        <f>'Expenditures 15-22'!E55</f>
        <v>5903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5903</v>
      </c>
      <c r="C853" s="2" t="s">
        <v>594</v>
      </c>
      <c r="D853" s="2" t="str">
        <f t="shared" si="12"/>
        <v>Error?</v>
      </c>
    </row>
    <row r="854" spans="1:4" x14ac:dyDescent="0.2">
      <c r="A854" s="5">
        <v>793</v>
      </c>
      <c r="B854" s="138">
        <f>'Expenditures 15-22'!E59</f>
        <v>66730</v>
      </c>
      <c r="D854" s="2" t="str">
        <f t="shared" si="12"/>
        <v>Error?</v>
      </c>
    </row>
    <row r="855" spans="1:4" x14ac:dyDescent="0.2">
      <c r="A855" s="5">
        <v>794</v>
      </c>
      <c r="B855" s="138">
        <f>'Expenditures 15-22'!E60</f>
        <v>8420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212647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287797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2296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10409</v>
      </c>
      <c r="D867" s="2" t="str">
        <f t="shared" si="12"/>
        <v>Error?</v>
      </c>
    </row>
    <row r="868" spans="1:4" x14ac:dyDescent="0.2">
      <c r="A868" s="10">
        <v>807</v>
      </c>
      <c r="D868" s="2" t="str">
        <f t="shared" si="12"/>
        <v>OK</v>
      </c>
    </row>
    <row r="869" spans="1:4" x14ac:dyDescent="0.2">
      <c r="A869" s="5">
        <v>808</v>
      </c>
      <c r="B869" s="138">
        <f>'Expenditures 15-22'!E72</f>
        <v>12705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598005</v>
      </c>
      <c r="C871" s="2" t="s">
        <v>594</v>
      </c>
      <c r="D871" s="2" t="str">
        <f t="shared" si="12"/>
        <v>Error?</v>
      </c>
    </row>
    <row r="872" spans="1:4" x14ac:dyDescent="0.2">
      <c r="A872" s="5">
        <v>811</v>
      </c>
      <c r="B872" s="138">
        <f>'Expenditures 15-22'!E75</f>
        <v>12753</v>
      </c>
      <c r="D872" s="2" t="str">
        <f t="shared" si="12"/>
        <v>Error?</v>
      </c>
    </row>
    <row r="873" spans="1:4" x14ac:dyDescent="0.2">
      <c r="A873" s="5">
        <v>812</v>
      </c>
      <c r="B873" s="138">
        <f>'Expenditures 15-22'!E114</f>
        <v>755989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68469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6600</v>
      </c>
      <c r="D892" s="2" t="str">
        <f t="shared" si="12"/>
        <v>Error?</v>
      </c>
    </row>
    <row r="893" spans="1:4" x14ac:dyDescent="0.2">
      <c r="A893" s="5">
        <v>832</v>
      </c>
      <c r="B893" s="138">
        <f>'Expenditures 15-22'!F15</f>
        <v>39</v>
      </c>
      <c r="D893" s="2" t="str">
        <f t="shared" si="12"/>
        <v>Error?</v>
      </c>
    </row>
    <row r="894" spans="1:4" x14ac:dyDescent="0.2">
      <c r="A894" s="5">
        <v>833</v>
      </c>
      <c r="B894" s="138">
        <f>'Expenditures 15-22'!F33</f>
        <v>111504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3526</v>
      </c>
      <c r="D897" s="2" t="str">
        <f t="shared" si="13"/>
        <v>Error?</v>
      </c>
    </row>
    <row r="898" spans="1:4" x14ac:dyDescent="0.2">
      <c r="A898" s="5">
        <v>837</v>
      </c>
      <c r="B898" s="138">
        <f>'Expenditures 15-22'!F39</f>
        <v>2045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4846</v>
      </c>
      <c r="D900" s="2" t="str">
        <f t="shared" si="13"/>
        <v>Error?</v>
      </c>
    </row>
    <row r="901" spans="1:4" x14ac:dyDescent="0.2">
      <c r="A901" s="5">
        <v>840</v>
      </c>
      <c r="B901" s="138">
        <f>'Expenditures 15-22'!F42</f>
        <v>10417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9796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9796</v>
      </c>
      <c r="C905" s="2" t="s">
        <v>594</v>
      </c>
      <c r="D905" s="2" t="str">
        <f t="shared" si="13"/>
        <v>Error?</v>
      </c>
    </row>
    <row r="906" spans="1:4" x14ac:dyDescent="0.2">
      <c r="A906" s="5">
        <v>845</v>
      </c>
      <c r="B906" s="138">
        <f>'Expenditures 15-22'!F49</f>
        <v>9737</v>
      </c>
      <c r="D906" s="2" t="str">
        <f t="shared" si="13"/>
        <v>Error?</v>
      </c>
    </row>
    <row r="907" spans="1:4" x14ac:dyDescent="0.2">
      <c r="A907" s="5">
        <v>846</v>
      </c>
      <c r="B907" s="138">
        <f>'Expenditures 15-22'!F50</f>
        <v>14490</v>
      </c>
      <c r="D907" s="2" t="str">
        <f t="shared" si="13"/>
        <v>Error?</v>
      </c>
    </row>
    <row r="908" spans="1:4" x14ac:dyDescent="0.2">
      <c r="A908" s="5">
        <v>847</v>
      </c>
      <c r="B908" s="138">
        <f>'Expenditures 15-22'!F53</f>
        <v>24227</v>
      </c>
      <c r="C908" s="2" t="s">
        <v>594</v>
      </c>
      <c r="D908" s="2" t="str">
        <f t="shared" si="13"/>
        <v>Error?</v>
      </c>
    </row>
    <row r="909" spans="1:4" x14ac:dyDescent="0.2">
      <c r="A909" s="5">
        <v>848</v>
      </c>
      <c r="B909" s="138">
        <f>'Expenditures 15-22'!F55</f>
        <v>6393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6393</v>
      </c>
      <c r="C911" s="2" t="s">
        <v>594</v>
      </c>
      <c r="D911" s="2" t="str">
        <f t="shared" si="13"/>
        <v>Error?</v>
      </c>
    </row>
    <row r="912" spans="1:4" x14ac:dyDescent="0.2">
      <c r="A912" s="5">
        <v>851</v>
      </c>
      <c r="B912" s="138">
        <f>'Expenditures 15-22'!F59</f>
        <v>682</v>
      </c>
      <c r="D912" s="2" t="str">
        <f t="shared" si="13"/>
        <v>Error?</v>
      </c>
    </row>
    <row r="913" spans="1:4" x14ac:dyDescent="0.2">
      <c r="A913" s="5">
        <v>852</v>
      </c>
      <c r="B913" s="138">
        <f>'Expenditures 15-22'!F60</f>
        <v>401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23853</v>
      </c>
      <c r="D916" s="2" t="str">
        <f t="shared" si="13"/>
        <v>Error?</v>
      </c>
    </row>
    <row r="917" spans="1:4" x14ac:dyDescent="0.2">
      <c r="A917" s="5">
        <v>856</v>
      </c>
      <c r="B917" s="138">
        <f>'Expenditures 15-22'!F64</f>
        <v>4870</v>
      </c>
      <c r="D917" s="2" t="str">
        <f t="shared" si="13"/>
        <v>Error?</v>
      </c>
    </row>
    <row r="918" spans="1:4" x14ac:dyDescent="0.2">
      <c r="A918" s="10">
        <v>857</v>
      </c>
      <c r="D918" s="2" t="str">
        <f t="shared" si="13"/>
        <v>OK</v>
      </c>
    </row>
    <row r="919" spans="1:4" x14ac:dyDescent="0.2">
      <c r="A919" s="5">
        <v>858</v>
      </c>
      <c r="B919" s="138">
        <f>'Expenditures 15-22'!F65</f>
        <v>29806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77159</v>
      </c>
      <c r="D925" s="2" t="str">
        <f t="shared" si="13"/>
        <v>Error?</v>
      </c>
    </row>
    <row r="926" spans="1:4" x14ac:dyDescent="0.2">
      <c r="A926" s="10">
        <v>865</v>
      </c>
      <c r="D926" s="2" t="str">
        <f t="shared" si="13"/>
        <v>OK</v>
      </c>
    </row>
    <row r="927" spans="1:4" x14ac:dyDescent="0.2">
      <c r="A927" s="5">
        <v>866</v>
      </c>
      <c r="B927" s="138">
        <f>'Expenditures 15-22'!F72</f>
        <v>77159</v>
      </c>
      <c r="C927" s="2" t="s">
        <v>594</v>
      </c>
      <c r="D927" s="2" t="str">
        <f t="shared" si="13"/>
        <v>Error?</v>
      </c>
    </row>
    <row r="928" spans="1:4" x14ac:dyDescent="0.2">
      <c r="A928" s="5">
        <v>867</v>
      </c>
      <c r="B928" s="138">
        <f>'Expenditures 15-22'!F73</f>
        <v>855</v>
      </c>
      <c r="D928" s="2" t="str">
        <f t="shared" si="13"/>
        <v>Error?</v>
      </c>
    </row>
    <row r="929" spans="1:4" x14ac:dyDescent="0.2">
      <c r="A929" s="5">
        <v>868</v>
      </c>
      <c r="B929" s="138">
        <f>'Expenditures 15-22'!F74</f>
        <v>158653</v>
      </c>
      <c r="C929" s="2" t="s">
        <v>594</v>
      </c>
      <c r="D929" s="2" t="str">
        <f t="shared" si="13"/>
        <v>Error?</v>
      </c>
    </row>
    <row r="930" spans="1:4" x14ac:dyDescent="0.2">
      <c r="A930" s="5">
        <v>869</v>
      </c>
      <c r="B930" s="138">
        <f>'Expenditures 15-22'!F75</f>
        <v>7996</v>
      </c>
      <c r="D930" s="2" t="str">
        <f t="shared" si="13"/>
        <v>Error?</v>
      </c>
    </row>
    <row r="931" spans="1:4" x14ac:dyDescent="0.2">
      <c r="A931" s="5">
        <v>870</v>
      </c>
      <c r="B931" s="138">
        <f>'Expenditures 15-22'!F114</f>
        <v>278153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1832</v>
      </c>
      <c r="D965" s="2" t="str">
        <f t="shared" si="14"/>
        <v>Error?</v>
      </c>
    </row>
    <row r="966" spans="1:4" x14ac:dyDescent="0.2">
      <c r="A966" s="5">
        <v>905</v>
      </c>
      <c r="B966" s="138">
        <f>'Expenditures 15-22'!G53</f>
        <v>1832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13283</v>
      </c>
      <c r="D974" s="2" t="str">
        <f t="shared" si="14"/>
        <v>Error?</v>
      </c>
    </row>
    <row r="975" spans="1:4" x14ac:dyDescent="0.2">
      <c r="A975" s="5">
        <v>914</v>
      </c>
      <c r="B975" s="138">
        <f>'Expenditures 15-22'!G64</f>
        <v>59010</v>
      </c>
      <c r="D975" s="2" t="str">
        <f t="shared" si="14"/>
        <v>Error?</v>
      </c>
    </row>
    <row r="976" spans="1:4" x14ac:dyDescent="0.2">
      <c r="A976" s="10">
        <v>915</v>
      </c>
      <c r="D976" s="2" t="str">
        <f t="shared" si="14"/>
        <v>OK</v>
      </c>
    </row>
    <row r="977" spans="1:4" x14ac:dyDescent="0.2">
      <c r="A977" s="5">
        <v>916</v>
      </c>
      <c r="B977" s="138">
        <f>'Expenditures 15-22'!G65</f>
        <v>72293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57280</v>
      </c>
      <c r="D983" s="2" t="str">
        <f t="shared" si="14"/>
        <v>Error?</v>
      </c>
    </row>
    <row r="984" spans="1:4" x14ac:dyDescent="0.2">
      <c r="A984" s="10">
        <v>923</v>
      </c>
      <c r="D984" s="2" t="str">
        <f t="shared" si="14"/>
        <v>OK</v>
      </c>
    </row>
    <row r="985" spans="1:4" x14ac:dyDescent="0.2">
      <c r="A985" s="5">
        <v>924</v>
      </c>
      <c r="B985" s="138">
        <f>'Expenditures 15-22'!G72</f>
        <v>57280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131405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131405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10882</v>
      </c>
      <c r="D1022" s="2" t="str">
        <f t="shared" si="14"/>
        <v>Error?</v>
      </c>
    </row>
    <row r="1023" spans="1:4" x14ac:dyDescent="0.2">
      <c r="A1023" s="5">
        <v>962</v>
      </c>
      <c r="B1023" s="138">
        <f>'Expenditures 15-22'!H50</f>
        <v>1774</v>
      </c>
      <c r="D1023" s="2" t="str">
        <f t="shared" ref="D1023:D1086" si="15">IF(ISBLANK(B1023),"OK",IF(A1023-B1023=0,"OK","Error?"))</f>
        <v>Error?</v>
      </c>
    </row>
    <row r="1024" spans="1:4" x14ac:dyDescent="0.2">
      <c r="A1024" s="5">
        <v>963</v>
      </c>
      <c r="B1024" s="138">
        <f>'Expenditures 15-22'!H53</f>
        <v>12656</v>
      </c>
      <c r="C1024" s="2" t="s">
        <v>594</v>
      </c>
      <c r="D1024" s="2" t="str">
        <f t="shared" si="15"/>
        <v>Error?</v>
      </c>
    </row>
    <row r="1025" spans="1:4" x14ac:dyDescent="0.2">
      <c r="A1025" s="5">
        <v>964</v>
      </c>
      <c r="B1025" s="138">
        <f>'Expenditures 15-22'!H55</f>
        <v>799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799</v>
      </c>
      <c r="C1027" s="2" t="s">
        <v>594</v>
      </c>
      <c r="D1027" s="2" t="str">
        <f t="shared" si="15"/>
        <v>Error?</v>
      </c>
    </row>
    <row r="1028" spans="1:4" x14ac:dyDescent="0.2">
      <c r="A1028" s="5">
        <v>967</v>
      </c>
      <c r="B1028" s="138">
        <f>'Expenditures 15-22'!H59</f>
        <v>150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4510</v>
      </c>
      <c r="D1044" s="2" t="str">
        <f t="shared" si="15"/>
        <v>Error?</v>
      </c>
    </row>
    <row r="1045" spans="1:4" x14ac:dyDescent="0.2">
      <c r="A1045" s="5">
        <v>984</v>
      </c>
      <c r="B1045" s="138">
        <f>'Expenditures 15-22'!H74</f>
        <v>18115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781359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799607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2304382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84165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97835</v>
      </c>
      <c r="C1106" s="2" t="s">
        <v>594</v>
      </c>
      <c r="D1106" s="2" t="str">
        <f t="shared" si="16"/>
        <v>Error?</v>
      </c>
    </row>
    <row r="1107" spans="1:4" x14ac:dyDescent="0.2">
      <c r="A1107" s="5">
        <v>1046</v>
      </c>
      <c r="B1107" s="138">
        <f>'Expenditures 15-22'!K15</f>
        <v>36991</v>
      </c>
      <c r="C1107" s="2" t="s">
        <v>594</v>
      </c>
      <c r="D1107" s="2" t="str">
        <f t="shared" si="16"/>
        <v>Error?</v>
      </c>
    </row>
    <row r="1108" spans="1:4" x14ac:dyDescent="0.2">
      <c r="A1108" s="5">
        <v>1047</v>
      </c>
      <c r="B1108" s="138">
        <f>'Expenditures 15-22'!K33</f>
        <v>3133087</v>
      </c>
      <c r="C1108" s="2" t="s">
        <v>594</v>
      </c>
      <c r="D1108" s="2" t="str">
        <f t="shared" si="16"/>
        <v>Error?</v>
      </c>
    </row>
    <row r="1109" spans="1:4" x14ac:dyDescent="0.2">
      <c r="A1109" s="5">
        <v>1048</v>
      </c>
      <c r="B1109" s="138">
        <f>'Expenditures 15-22'!K36</f>
        <v>67586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99437</v>
      </c>
      <c r="C1111" s="2" t="s">
        <v>594</v>
      </c>
      <c r="D1111" s="2" t="str">
        <f t="shared" si="16"/>
        <v>Error?</v>
      </c>
    </row>
    <row r="1112" spans="1:4" x14ac:dyDescent="0.2">
      <c r="A1112" s="5">
        <v>1051</v>
      </c>
      <c r="B1112" s="138">
        <f>'Expenditures 15-22'!K39</f>
        <v>71543</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9966</v>
      </c>
      <c r="C1114" s="2" t="s">
        <v>594</v>
      </c>
      <c r="D1114" s="2" t="str">
        <f t="shared" si="16"/>
        <v>Error?</v>
      </c>
    </row>
    <row r="1115" spans="1:4" x14ac:dyDescent="0.2">
      <c r="A1115" s="5">
        <v>1054</v>
      </c>
      <c r="B1115" s="138">
        <f>'Expenditures 15-22'!K42</f>
        <v>248532</v>
      </c>
      <c r="C1115" s="2" t="s">
        <v>594</v>
      </c>
      <c r="D1115" s="2" t="str">
        <f t="shared" si="16"/>
        <v>Error?</v>
      </c>
    </row>
    <row r="1116" spans="1:4" x14ac:dyDescent="0.2">
      <c r="A1116" s="5">
        <v>1055</v>
      </c>
      <c r="B1116" s="138">
        <f>'Expenditures 15-22'!K44</f>
        <v>97043</v>
      </c>
      <c r="C1116" s="2" t="s">
        <v>594</v>
      </c>
      <c r="D1116" s="2" t="str">
        <f t="shared" si="16"/>
        <v>Error?</v>
      </c>
    </row>
    <row r="1117" spans="1:4" x14ac:dyDescent="0.2">
      <c r="A1117" s="5">
        <v>1056</v>
      </c>
      <c r="B1117" s="138">
        <f>'Expenditures 15-22'!K45</f>
        <v>76372</v>
      </c>
      <c r="C1117" s="2" t="s">
        <v>594</v>
      </c>
      <c r="D1117" s="2" t="str">
        <f t="shared" si="16"/>
        <v>Error?</v>
      </c>
    </row>
    <row r="1118" spans="1:4" x14ac:dyDescent="0.2">
      <c r="A1118" s="5">
        <v>1057</v>
      </c>
      <c r="B1118" s="138">
        <f>'Expenditures 15-22'!K46</f>
        <v>10045</v>
      </c>
      <c r="C1118" s="2" t="s">
        <v>594</v>
      </c>
      <c r="D1118" s="2" t="str">
        <f t="shared" si="16"/>
        <v>Error?</v>
      </c>
    </row>
    <row r="1119" spans="1:4" x14ac:dyDescent="0.2">
      <c r="A1119" s="5">
        <v>1058</v>
      </c>
      <c r="B1119" s="138">
        <f>'Expenditures 15-22'!K47</f>
        <v>183460</v>
      </c>
      <c r="C1119" s="2" t="s">
        <v>594</v>
      </c>
      <c r="D1119" s="2" t="str">
        <f t="shared" si="16"/>
        <v>Error?</v>
      </c>
    </row>
    <row r="1120" spans="1:4" x14ac:dyDescent="0.2">
      <c r="A1120" s="5">
        <v>1059</v>
      </c>
      <c r="B1120" s="138">
        <f>'Expenditures 15-22'!K49</f>
        <v>107002</v>
      </c>
      <c r="C1120" s="2" t="s">
        <v>594</v>
      </c>
      <c r="D1120" s="2" t="str">
        <f t="shared" si="16"/>
        <v>Error?</v>
      </c>
    </row>
    <row r="1121" spans="1:4" x14ac:dyDescent="0.2">
      <c r="A1121" s="5">
        <v>1060</v>
      </c>
      <c r="B1121" s="138">
        <f>'Expenditures 15-22'!K50</f>
        <v>242915</v>
      </c>
      <c r="C1121" s="2" t="s">
        <v>594</v>
      </c>
      <c r="D1121" s="2" t="str">
        <f t="shared" si="16"/>
        <v>Error?</v>
      </c>
    </row>
    <row r="1122" spans="1:4" x14ac:dyDescent="0.2">
      <c r="A1122" s="5">
        <v>1061</v>
      </c>
      <c r="B1122" s="138">
        <f>'Expenditures 15-22'!K53</f>
        <v>484918</v>
      </c>
      <c r="C1122" s="2" t="s">
        <v>594</v>
      </c>
      <c r="D1122" s="2" t="str">
        <f t="shared" si="16"/>
        <v>Error?</v>
      </c>
    </row>
    <row r="1123" spans="1:4" x14ac:dyDescent="0.2">
      <c r="A1123" s="5">
        <v>1062</v>
      </c>
      <c r="B1123" s="138">
        <f>'Expenditures 15-22'!K55</f>
        <v>326990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326990</v>
      </c>
      <c r="C1125" s="2" t="s">
        <v>594</v>
      </c>
      <c r="D1125" s="2" t="str">
        <f t="shared" si="16"/>
        <v>Error?</v>
      </c>
    </row>
    <row r="1126" spans="1:4" x14ac:dyDescent="0.2">
      <c r="A1126" s="5">
        <v>1065</v>
      </c>
      <c r="B1126" s="138">
        <f>'Expenditures 15-22'!K59</f>
        <v>67562</v>
      </c>
      <c r="C1126" s="2" t="s">
        <v>594</v>
      </c>
      <c r="D1126" s="2" t="str">
        <f t="shared" si="16"/>
        <v>Error?</v>
      </c>
    </row>
    <row r="1127" spans="1:4" x14ac:dyDescent="0.2">
      <c r="A1127" s="5">
        <v>1066</v>
      </c>
      <c r="B1127" s="138">
        <f>'Expenditures 15-22'!K60</f>
        <v>124412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361970</v>
      </c>
      <c r="C1130" s="2" t="s">
        <v>594</v>
      </c>
      <c r="D1130" s="2" t="str">
        <f t="shared" si="16"/>
        <v>Error?</v>
      </c>
    </row>
    <row r="1131" spans="1:4" x14ac:dyDescent="0.2">
      <c r="A1131" s="5">
        <v>1070</v>
      </c>
      <c r="B1131" s="138">
        <f>'Expenditures 15-22'!K64</f>
        <v>63880</v>
      </c>
      <c r="C1131" s="2" t="s">
        <v>594</v>
      </c>
      <c r="D1131" s="2" t="str">
        <f t="shared" si="16"/>
        <v>Error?</v>
      </c>
    </row>
    <row r="1132" spans="1:4" x14ac:dyDescent="0.2">
      <c r="A1132" s="10">
        <v>1071</v>
      </c>
      <c r="D1132" s="2" t="str">
        <f t="shared" si="16"/>
        <v>OK</v>
      </c>
    </row>
    <row r="1133" spans="1:4" x14ac:dyDescent="0.2">
      <c r="A1133" s="5">
        <v>1072</v>
      </c>
      <c r="B1133" s="138">
        <f>'Expenditures 15-22'!K65</f>
        <v>617824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2296</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265439</v>
      </c>
      <c r="C1139" s="2" t="s">
        <v>594</v>
      </c>
      <c r="D1139" s="2" t="str">
        <f t="shared" si="16"/>
        <v>Error?</v>
      </c>
    </row>
    <row r="1140" spans="1:4" x14ac:dyDescent="0.2">
      <c r="A1140" s="10">
        <v>1079</v>
      </c>
      <c r="D1140" s="2" t="str">
        <f t="shared" si="16"/>
        <v>OK</v>
      </c>
    </row>
    <row r="1141" spans="1:4" x14ac:dyDescent="0.2">
      <c r="A1141" s="5">
        <v>1080</v>
      </c>
      <c r="B1141" s="138">
        <f>'Expenditures 15-22'!K72</f>
        <v>267735</v>
      </c>
      <c r="C1141" s="2" t="s">
        <v>594</v>
      </c>
      <c r="D1141" s="2" t="str">
        <f t="shared" si="16"/>
        <v>Error?</v>
      </c>
    </row>
    <row r="1142" spans="1:4" x14ac:dyDescent="0.2">
      <c r="A1142" s="5">
        <v>1081</v>
      </c>
      <c r="B1142" s="138">
        <f>'Expenditures 15-22'!K73</f>
        <v>5365</v>
      </c>
      <c r="C1142" s="2" t="s">
        <v>594</v>
      </c>
      <c r="D1142" s="2" t="str">
        <f t="shared" si="16"/>
        <v>Error?</v>
      </c>
    </row>
    <row r="1143" spans="1:4" x14ac:dyDescent="0.2">
      <c r="A1143" s="5">
        <v>1082</v>
      </c>
      <c r="B1143" s="138">
        <f>'Expenditures 15-22'!K74</f>
        <v>2134824</v>
      </c>
      <c r="C1143" s="2" t="s">
        <v>594</v>
      </c>
      <c r="D1143" s="2" t="str">
        <f t="shared" si="16"/>
        <v>Error?</v>
      </c>
    </row>
    <row r="1144" spans="1:4" x14ac:dyDescent="0.2">
      <c r="A1144" s="5">
        <v>1083</v>
      </c>
      <c r="B1144" s="138">
        <f>'Expenditures 15-22'!K75</f>
        <v>20749</v>
      </c>
      <c r="C1144" s="2" t="s">
        <v>594</v>
      </c>
      <c r="D1144" s="2" t="str">
        <f t="shared" si="16"/>
        <v>Error?</v>
      </c>
    </row>
    <row r="1145" spans="1:4" x14ac:dyDescent="0.2">
      <c r="A1145" s="5">
        <v>1084</v>
      </c>
      <c r="B1145" s="138">
        <f>'Expenditures 15-22'!K102</f>
        <v>829482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6118142</v>
      </c>
      <c r="C1152" s="2" t="s">
        <v>594</v>
      </c>
      <c r="D1152" s="2" t="str">
        <f t="shared" si="17"/>
        <v>Error?</v>
      </c>
    </row>
    <row r="1153" spans="1:4" x14ac:dyDescent="0.2">
      <c r="A1153" s="5">
        <v>1092</v>
      </c>
      <c r="B1153" s="138">
        <f>'Expenditures 15-22'!K115</f>
        <v>397171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190067</v>
      </c>
      <c r="D1221" s="2" t="str">
        <f t="shared" si="18"/>
        <v>Error?</v>
      </c>
    </row>
    <row r="1222" spans="1:4" x14ac:dyDescent="0.2">
      <c r="A1222" s="10">
        <v>1161</v>
      </c>
      <c r="D1222" s="2" t="str">
        <f t="shared" si="18"/>
        <v>OK</v>
      </c>
    </row>
    <row r="1223" spans="1:4" x14ac:dyDescent="0.2">
      <c r="A1223" s="5">
        <v>1162</v>
      </c>
      <c r="B1223" s="138">
        <f>'Expenditures 15-22'!C127</f>
        <v>190067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190067</v>
      </c>
      <c r="C1225" s="2" t="s">
        <v>594</v>
      </c>
      <c r="D1225" s="2" t="str">
        <f t="shared" si="18"/>
        <v>Error?</v>
      </c>
    </row>
    <row r="1226" spans="1:4" x14ac:dyDescent="0.2">
      <c r="A1226" s="5">
        <v>1165</v>
      </c>
      <c r="B1226" s="138">
        <f>'Expenditures 15-22'!C151</f>
        <v>190067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61959</v>
      </c>
      <c r="D1229" s="2" t="str">
        <f t="shared" si="18"/>
        <v>Error?</v>
      </c>
    </row>
    <row r="1230" spans="1:4" x14ac:dyDescent="0.2">
      <c r="A1230" s="10">
        <v>1169</v>
      </c>
      <c r="D1230" s="2" t="str">
        <f t="shared" si="18"/>
        <v>OK</v>
      </c>
    </row>
    <row r="1231" spans="1:4" x14ac:dyDescent="0.2">
      <c r="A1231" s="5">
        <v>1170</v>
      </c>
      <c r="B1231" s="138">
        <f>'Expenditures 15-22'!D127</f>
        <v>61959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61959</v>
      </c>
      <c r="C1233" s="2" t="s">
        <v>594</v>
      </c>
      <c r="D1233" s="2" t="str">
        <f t="shared" si="18"/>
        <v>Error?</v>
      </c>
    </row>
    <row r="1234" spans="1:4" x14ac:dyDescent="0.2">
      <c r="A1234" s="5">
        <v>1173</v>
      </c>
      <c r="B1234" s="138">
        <f>'Expenditures 15-22'!D151</f>
        <v>61959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24958</v>
      </c>
      <c r="D1236" s="2" t="str">
        <f t="shared" si="18"/>
        <v>Error?</v>
      </c>
    </row>
    <row r="1237" spans="1:4" x14ac:dyDescent="0.2">
      <c r="A1237" s="5">
        <v>1176</v>
      </c>
      <c r="B1237" s="138">
        <f>'Expenditures 15-22'!E124</f>
        <v>195090</v>
      </c>
      <c r="D1237" s="2" t="str">
        <f t="shared" si="18"/>
        <v>Error?</v>
      </c>
    </row>
    <row r="1238" spans="1:4" x14ac:dyDescent="0.2">
      <c r="A1238" s="10">
        <v>1177</v>
      </c>
      <c r="D1238" s="2" t="str">
        <f t="shared" si="18"/>
        <v>OK</v>
      </c>
    </row>
    <row r="1239" spans="1:4" x14ac:dyDescent="0.2">
      <c r="A1239" s="5">
        <v>1178</v>
      </c>
      <c r="B1239" s="138">
        <f>'Expenditures 15-22'!E127</f>
        <v>220048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220048</v>
      </c>
      <c r="C1241" s="2" t="s">
        <v>594</v>
      </c>
      <c r="D1241" s="2" t="str">
        <f t="shared" si="18"/>
        <v>Error?</v>
      </c>
    </row>
    <row r="1242" spans="1:4" x14ac:dyDescent="0.2">
      <c r="A1242" s="5">
        <v>1181</v>
      </c>
      <c r="B1242" s="138">
        <f>'Expenditures 15-22'!E151</f>
        <v>256656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206772</v>
      </c>
      <c r="D1245" s="2" t="str">
        <f t="shared" si="18"/>
        <v>Error?</v>
      </c>
    </row>
    <row r="1246" spans="1:4" x14ac:dyDescent="0.2">
      <c r="A1246" s="10">
        <v>1185</v>
      </c>
      <c r="D1246" s="2" t="str">
        <f t="shared" si="18"/>
        <v>OK</v>
      </c>
    </row>
    <row r="1247" spans="1:4" x14ac:dyDescent="0.2">
      <c r="A1247" s="5">
        <v>1186</v>
      </c>
      <c r="B1247" s="138">
        <f>'Expenditures 15-22'!F127</f>
        <v>206772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206772</v>
      </c>
      <c r="C1249" s="2" t="s">
        <v>594</v>
      </c>
      <c r="D1249" s="2" t="str">
        <f t="shared" si="18"/>
        <v>Error?</v>
      </c>
    </row>
    <row r="1250" spans="1:4" x14ac:dyDescent="0.2">
      <c r="A1250" s="5">
        <v>1189</v>
      </c>
      <c r="B1250" s="138">
        <f>'Expenditures 15-22'!F151</f>
        <v>206772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29646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29646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29646</v>
      </c>
      <c r="C1258" s="2" t="s">
        <v>594</v>
      </c>
      <c r="D1258" s="2" t="str">
        <f t="shared" si="18"/>
        <v>Error?</v>
      </c>
    </row>
    <row r="1259" spans="1:4" x14ac:dyDescent="0.2">
      <c r="A1259" s="5">
        <v>1198</v>
      </c>
      <c r="B1259" s="138">
        <f>'Expenditures 15-22'!G151</f>
        <v>29646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24958</v>
      </c>
      <c r="C1275" s="2" t="s">
        <v>594</v>
      </c>
      <c r="D1275" s="2" t="str">
        <f t="shared" si="18"/>
        <v>Error?</v>
      </c>
    </row>
    <row r="1276" spans="1:4" x14ac:dyDescent="0.2">
      <c r="A1276" s="5">
        <v>1215</v>
      </c>
      <c r="B1276" s="138">
        <f>'Expenditures 15-22'!K124</f>
        <v>683534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708492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708492</v>
      </c>
      <c r="C1281" s="2" t="s">
        <v>594</v>
      </c>
      <c r="D1281" s="2" t="str">
        <f t="shared" si="19"/>
        <v>Error?</v>
      </c>
    </row>
    <row r="1282" spans="1:4" x14ac:dyDescent="0.2">
      <c r="A1282" s="5">
        <v>1221</v>
      </c>
      <c r="B1282" s="138">
        <f>'Expenditures 15-22'!K139</f>
        <v>36608</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745100</v>
      </c>
      <c r="C1288" s="2" t="s">
        <v>594</v>
      </c>
      <c r="D1288" s="2" t="str">
        <f t="shared" si="19"/>
        <v>Error?</v>
      </c>
    </row>
    <row r="1289" spans="1:4" x14ac:dyDescent="0.2">
      <c r="A1289" s="5">
        <v>1228</v>
      </c>
      <c r="B1289" s="138">
        <f>'Expenditures 15-22'!K152</f>
        <v>-271432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88059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363353</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451862</v>
      </c>
      <c r="C1317" s="2" t="s">
        <v>594</v>
      </c>
      <c r="D1317" s="2" t="str">
        <f t="shared" si="19"/>
        <v>Error?</v>
      </c>
    </row>
    <row r="1318" spans="1:4" x14ac:dyDescent="0.2">
      <c r="A1318" s="5">
        <v>1257</v>
      </c>
      <c r="B1318" s="138">
        <f>'Expenditures 15-22'!H174</f>
        <v>451862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88059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363353</v>
      </c>
      <c r="C1329" s="2" t="s">
        <v>594</v>
      </c>
      <c r="D1329" s="2" t="str">
        <f t="shared" si="19"/>
        <v>Error?</v>
      </c>
    </row>
    <row r="1330" spans="1:4" x14ac:dyDescent="0.2">
      <c r="A1330" s="5">
        <v>1269</v>
      </c>
      <c r="B1330" s="138">
        <f>'Expenditures 15-22'!K171</f>
        <v>450</v>
      </c>
      <c r="C1330" s="2" t="s">
        <v>594</v>
      </c>
      <c r="D1330" s="2" t="str">
        <f t="shared" si="19"/>
        <v>Error?</v>
      </c>
    </row>
    <row r="1331" spans="1:4" x14ac:dyDescent="0.2">
      <c r="A1331" s="5">
        <v>1270</v>
      </c>
      <c r="B1331" s="138">
        <f>'Expenditures 15-22'!K172</f>
        <v>451862</v>
      </c>
      <c r="C1331" s="2" t="s">
        <v>594</v>
      </c>
      <c r="D1331" s="2" t="str">
        <f t="shared" si="19"/>
        <v>Error?</v>
      </c>
    </row>
    <row r="1332" spans="1:4" x14ac:dyDescent="0.2">
      <c r="A1332" s="5">
        <v>1271</v>
      </c>
      <c r="B1332" s="138">
        <f>'Expenditures 15-22'!K174</f>
        <v>451862</v>
      </c>
      <c r="C1332" s="2" t="s">
        <v>594</v>
      </c>
      <c r="D1332" s="2" t="str">
        <f t="shared" si="19"/>
        <v>Error?</v>
      </c>
    </row>
    <row r="1333" spans="1:4" x14ac:dyDescent="0.2">
      <c r="A1333" s="5">
        <v>1272</v>
      </c>
      <c r="B1333" s="138">
        <f>'Expenditures 15-22'!K175</f>
        <v>-27672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129876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129876</v>
      </c>
      <c r="C1351" s="2" t="s">
        <v>594</v>
      </c>
      <c r="D1351" s="2" t="str">
        <f t="shared" si="20"/>
        <v>Error?</v>
      </c>
    </row>
    <row r="1352" spans="1:4" x14ac:dyDescent="0.2">
      <c r="A1352" s="5">
        <v>1291</v>
      </c>
      <c r="B1352" s="138">
        <f>'Expenditures 15-22'!E196</f>
        <v>85626</v>
      </c>
      <c r="C1352" s="2" t="s">
        <v>594</v>
      </c>
      <c r="D1352" s="2" t="str">
        <f t="shared" si="20"/>
        <v>Error?</v>
      </c>
    </row>
    <row r="1353" spans="1:4" x14ac:dyDescent="0.2">
      <c r="A1353" s="5">
        <v>1292</v>
      </c>
      <c r="B1353" s="138">
        <f>'Expenditures 15-22'!E210</f>
        <v>215502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129876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129876</v>
      </c>
      <c r="C1381" s="2" t="s">
        <v>594</v>
      </c>
      <c r="D1381" s="2" t="str">
        <f t="shared" si="20"/>
        <v>Error?</v>
      </c>
    </row>
    <row r="1382" spans="1:4" x14ac:dyDescent="0.2">
      <c r="A1382" s="5">
        <v>1321</v>
      </c>
      <c r="B1382" s="138">
        <f>'Expenditures 15-22'!K196</f>
        <v>85626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215502</v>
      </c>
      <c r="C1388" s="2" t="s">
        <v>594</v>
      </c>
      <c r="D1388" s="2" t="str">
        <f t="shared" si="20"/>
        <v>Error?</v>
      </c>
    </row>
    <row r="1389" spans="1:4" x14ac:dyDescent="0.2">
      <c r="A1389" s="5">
        <v>1328</v>
      </c>
      <c r="B1389" s="138">
        <f>'Expenditures 15-22'!K211</f>
        <v>60625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2077</v>
      </c>
      <c r="D1408" s="2" t="str">
        <f t="shared" si="21"/>
        <v>Error?</v>
      </c>
    </row>
    <row r="1409" spans="1:4" x14ac:dyDescent="0.2">
      <c r="A1409" s="5">
        <v>1348</v>
      </c>
      <c r="B1409" s="138">
        <f>'Expenditures 15-22'!D224</f>
        <v>755</v>
      </c>
      <c r="D1409" s="2" t="str">
        <f t="shared" si="21"/>
        <v>Error?</v>
      </c>
    </row>
    <row r="1410" spans="1:4" x14ac:dyDescent="0.2">
      <c r="A1410" s="5">
        <v>1349</v>
      </c>
      <c r="B1410" s="138">
        <f>'Expenditures 15-22'!D229</f>
        <v>64937</v>
      </c>
      <c r="C1410" s="2" t="s">
        <v>594</v>
      </c>
      <c r="D1410" s="2" t="str">
        <f t="shared" si="21"/>
        <v>Error?</v>
      </c>
    </row>
    <row r="1411" spans="1:4" x14ac:dyDescent="0.2">
      <c r="A1411" s="5">
        <v>1350</v>
      </c>
      <c r="B1411" s="138">
        <f>'Expenditures 15-22'!D232</f>
        <v>735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834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1569</v>
      </c>
      <c r="C1417" s="2" t="s">
        <v>594</v>
      </c>
      <c r="D1417" s="2" t="str">
        <f t="shared" si="21"/>
        <v>Error?</v>
      </c>
    </row>
    <row r="1418" spans="1:4" x14ac:dyDescent="0.2">
      <c r="A1418" s="5">
        <v>1357</v>
      </c>
      <c r="B1418" s="138">
        <f>'Expenditures 15-22'!D240</f>
        <v>96</v>
      </c>
      <c r="D1418" s="2" t="str">
        <f t="shared" si="21"/>
        <v>Error?</v>
      </c>
    </row>
    <row r="1419" spans="1:4" x14ac:dyDescent="0.2">
      <c r="A1419" s="5">
        <v>1358</v>
      </c>
      <c r="B1419" s="138">
        <f>'Expenditures 15-22'!D241</f>
        <v>791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887</v>
      </c>
      <c r="C1421" s="2" t="s">
        <v>594</v>
      </c>
      <c r="D1421" s="2" t="str">
        <f t="shared" si="21"/>
        <v>Error?</v>
      </c>
    </row>
    <row r="1422" spans="1:4" x14ac:dyDescent="0.2">
      <c r="A1422" s="5">
        <v>1361</v>
      </c>
      <c r="B1422" s="138">
        <f>'Expenditures 15-22'!D245</f>
        <v>286</v>
      </c>
      <c r="D1422" s="2" t="str">
        <f t="shared" si="21"/>
        <v>Error?</v>
      </c>
    </row>
    <row r="1423" spans="1:4" x14ac:dyDescent="0.2">
      <c r="A1423" s="5">
        <v>1362</v>
      </c>
      <c r="B1423" s="138">
        <f>'Expenditures 15-22'!D246</f>
        <v>10675</v>
      </c>
      <c r="D1423" s="2" t="str">
        <f t="shared" si="21"/>
        <v>Error?</v>
      </c>
    </row>
    <row r="1424" spans="1:4" x14ac:dyDescent="0.2">
      <c r="A1424" s="5">
        <v>1363</v>
      </c>
      <c r="B1424" s="138">
        <f>'Expenditures 15-22'!D257</f>
        <v>12368</v>
      </c>
      <c r="C1424" s="2" t="s">
        <v>594</v>
      </c>
      <c r="D1424" s="2" t="str">
        <f t="shared" si="21"/>
        <v>Error?</v>
      </c>
    </row>
    <row r="1425" spans="1:4" x14ac:dyDescent="0.2">
      <c r="A1425" s="5">
        <v>1364</v>
      </c>
      <c r="B1425" s="138">
        <f>'Expenditures 15-22'!D259</f>
        <v>9667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17330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39680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13549</v>
      </c>
      <c r="D1433" s="2" t="str">
        <f t="shared" si="21"/>
        <v>Error?</v>
      </c>
    </row>
    <row r="1434" spans="1:4" x14ac:dyDescent="0.2">
      <c r="A1434" s="5">
        <v>1373</v>
      </c>
      <c r="B1434" s="138">
        <f>'Expenditures 15-22'!D269</f>
        <v>19223</v>
      </c>
      <c r="D1434" s="2" t="str">
        <f t="shared" si="21"/>
        <v>Error?</v>
      </c>
    </row>
    <row r="1435" spans="1:4" x14ac:dyDescent="0.2">
      <c r="A1435" s="10">
        <v>1374</v>
      </c>
      <c r="D1435" s="2" t="str">
        <f t="shared" si="21"/>
        <v>OK</v>
      </c>
    </row>
    <row r="1436" spans="1:4" x14ac:dyDescent="0.2">
      <c r="A1436" s="5">
        <v>1375</v>
      </c>
      <c r="B1436" s="138">
        <f>'Expenditures 15-22'!D270</f>
        <v>89782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114273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179210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2077</v>
      </c>
      <c r="C1472" s="2" t="s">
        <v>594</v>
      </c>
      <c r="D1472" s="2" t="str">
        <f t="shared" si="22"/>
        <v>Error?</v>
      </c>
    </row>
    <row r="1473" spans="1:4" x14ac:dyDescent="0.2">
      <c r="A1473" s="5">
        <v>1412</v>
      </c>
      <c r="B1473" s="138">
        <f>'Expenditures 15-22'!K224</f>
        <v>755</v>
      </c>
      <c r="C1473" s="2" t="s">
        <v>594</v>
      </c>
      <c r="D1473" s="2" t="str">
        <f t="shared" si="22"/>
        <v>Error?</v>
      </c>
    </row>
    <row r="1474" spans="1:4" x14ac:dyDescent="0.2">
      <c r="A1474" s="5">
        <v>1413</v>
      </c>
      <c r="B1474" s="138">
        <f>'Expenditures 15-22'!K229</f>
        <v>64937</v>
      </c>
      <c r="C1474" s="2" t="s">
        <v>594</v>
      </c>
      <c r="D1474" s="2" t="str">
        <f t="shared" si="22"/>
        <v>Error?</v>
      </c>
    </row>
    <row r="1475" spans="1:4" x14ac:dyDescent="0.2">
      <c r="A1475" s="5">
        <v>1414</v>
      </c>
      <c r="B1475" s="138">
        <f>'Expenditures 15-22'!K232</f>
        <v>735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834</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1569</v>
      </c>
      <c r="C1481" s="2" t="s">
        <v>594</v>
      </c>
      <c r="D1481" s="2" t="str">
        <f t="shared" si="22"/>
        <v>Error?</v>
      </c>
    </row>
    <row r="1482" spans="1:4" x14ac:dyDescent="0.2">
      <c r="A1482" s="5">
        <v>1421</v>
      </c>
      <c r="B1482" s="138">
        <f>'Expenditures 15-22'!K240</f>
        <v>96</v>
      </c>
      <c r="C1482" s="2" t="s">
        <v>594</v>
      </c>
      <c r="D1482" s="2" t="str">
        <f t="shared" si="22"/>
        <v>Error?</v>
      </c>
    </row>
    <row r="1483" spans="1:4" x14ac:dyDescent="0.2">
      <c r="A1483" s="5">
        <v>1422</v>
      </c>
      <c r="B1483" s="138">
        <f>'Expenditures 15-22'!K241</f>
        <v>791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887</v>
      </c>
      <c r="C1485" s="2" t="s">
        <v>594</v>
      </c>
      <c r="D1485" s="2" t="str">
        <f t="shared" si="22"/>
        <v>Error?</v>
      </c>
    </row>
    <row r="1486" spans="1:4" x14ac:dyDescent="0.2">
      <c r="A1486" s="5">
        <v>1425</v>
      </c>
      <c r="B1486" s="138">
        <f>'Expenditures 15-22'!K245</f>
        <v>286</v>
      </c>
      <c r="C1486" s="2" t="s">
        <v>594</v>
      </c>
      <c r="D1486" s="2" t="str">
        <f t="shared" si="22"/>
        <v>Error?</v>
      </c>
    </row>
    <row r="1487" spans="1:4" x14ac:dyDescent="0.2">
      <c r="A1487" s="5">
        <v>1426</v>
      </c>
      <c r="B1487" s="138">
        <f>'Expenditures 15-22'!K246</f>
        <v>10675</v>
      </c>
      <c r="C1487" s="2" t="s">
        <v>594</v>
      </c>
      <c r="D1487" s="2" t="str">
        <f t="shared" si="22"/>
        <v>Error?</v>
      </c>
    </row>
    <row r="1488" spans="1:4" x14ac:dyDescent="0.2">
      <c r="A1488" s="5">
        <v>1427</v>
      </c>
      <c r="B1488" s="138">
        <f>'Expenditures 15-22'!K257</f>
        <v>12368</v>
      </c>
      <c r="C1488" s="2" t="s">
        <v>594</v>
      </c>
      <c r="D1488" s="2" t="str">
        <f t="shared" si="22"/>
        <v>Error?</v>
      </c>
    </row>
    <row r="1489" spans="1:4" x14ac:dyDescent="0.2">
      <c r="A1489" s="5">
        <v>1428</v>
      </c>
      <c r="B1489" s="138">
        <f>'Expenditures 15-22'!K259</f>
        <v>9667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9667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17330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39680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13549</v>
      </c>
      <c r="C1497" s="2" t="s">
        <v>594</v>
      </c>
      <c r="D1497" s="2" t="str">
        <f t="shared" si="22"/>
        <v>Error?</v>
      </c>
    </row>
    <row r="1498" spans="1:4" x14ac:dyDescent="0.2">
      <c r="A1498" s="5">
        <v>1437</v>
      </c>
      <c r="B1498" s="138">
        <f>'Expenditures 15-22'!K269</f>
        <v>19223</v>
      </c>
      <c r="C1498" s="2" t="s">
        <v>594</v>
      </c>
      <c r="D1498" s="2" t="str">
        <f t="shared" si="22"/>
        <v>Error?</v>
      </c>
    </row>
    <row r="1499" spans="1:4" x14ac:dyDescent="0.2">
      <c r="A1499" s="10">
        <v>1438</v>
      </c>
      <c r="D1499" s="2" t="str">
        <f t="shared" si="22"/>
        <v>OK</v>
      </c>
    </row>
    <row r="1500" spans="1:4" x14ac:dyDescent="0.2">
      <c r="A1500" s="5">
        <v>1439</v>
      </c>
      <c r="B1500" s="138">
        <f>'Expenditures 15-22'!K270</f>
        <v>89782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114273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179210</v>
      </c>
      <c r="C1517" s="2" t="s">
        <v>594</v>
      </c>
      <c r="D1517" s="2" t="str">
        <f t="shared" si="22"/>
        <v>Error?</v>
      </c>
    </row>
    <row r="1518" spans="1:4" x14ac:dyDescent="0.2">
      <c r="A1518" s="5">
        <v>1457</v>
      </c>
      <c r="B1518" s="138">
        <f>'Expenditures 15-22'!K296</f>
        <v>488800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361865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361865</v>
      </c>
      <c r="C1547" s="2" t="s">
        <v>594</v>
      </c>
      <c r="D1547" s="2" t="str">
        <f t="shared" si="23"/>
        <v>Error?</v>
      </c>
    </row>
    <row r="1548" spans="1:4" x14ac:dyDescent="0.2">
      <c r="A1548" s="5">
        <v>1487</v>
      </c>
      <c r="B1548" s="138">
        <f>'Expenditures 15-22'!G312</f>
        <v>361865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361865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361865</v>
      </c>
      <c r="C1559" s="2" t="s">
        <v>594</v>
      </c>
      <c r="D1559" s="2" t="str">
        <f t="shared" si="23"/>
        <v>Error?</v>
      </c>
    </row>
    <row r="1560" spans="1:4" x14ac:dyDescent="0.2">
      <c r="A1560" s="5">
        <v>1499</v>
      </c>
      <c r="B1560" s="138">
        <f>'Expenditures 15-22'!K312</f>
        <v>361865</v>
      </c>
      <c r="C1560" s="2" t="s">
        <v>594</v>
      </c>
      <c r="D1560" s="2" t="str">
        <f t="shared" si="23"/>
        <v>Error?</v>
      </c>
    </row>
    <row r="1561" spans="1:4" x14ac:dyDescent="0.2">
      <c r="A1561" s="5">
        <v>1500</v>
      </c>
      <c r="B1561" s="138">
        <f>'Expenditures 15-22'!K313</f>
        <v>-359943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7656135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8079893</v>
      </c>
      <c r="C1630" s="2" t="s">
        <v>594</v>
      </c>
      <c r="D1630" s="2" t="str">
        <f t="shared" si="24"/>
        <v>Error?</v>
      </c>
    </row>
    <row r="1631" spans="1:4" x14ac:dyDescent="0.2">
      <c r="A1631" s="5">
        <v>1570</v>
      </c>
      <c r="B1631" s="138">
        <f>'Acct Summary 7-8'!D79</f>
        <v>554848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283416</v>
      </c>
      <c r="C1644" s="2" t="s">
        <v>594</v>
      </c>
      <c r="D1644" s="2" t="str">
        <f t="shared" si="24"/>
        <v>Error?</v>
      </c>
    </row>
    <row r="1645" spans="1:4" x14ac:dyDescent="0.2">
      <c r="A1645" s="5">
        <v>1584</v>
      </c>
      <c r="B1645" s="138">
        <f>'Acct Summary 7-8'!E79</f>
        <v>237958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242709</v>
      </c>
      <c r="C1658" s="2" t="s">
        <v>594</v>
      </c>
      <c r="D1658" s="2" t="str">
        <f t="shared" si="24"/>
        <v>Error?</v>
      </c>
    </row>
    <row r="1659" spans="1:4" x14ac:dyDescent="0.2">
      <c r="A1659" s="5">
        <v>1598</v>
      </c>
      <c r="B1659" s="138">
        <f>'Acct Summary 7-8'!F79</f>
        <v>338664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399289</v>
      </c>
      <c r="C1672" s="2" t="s">
        <v>594</v>
      </c>
      <c r="D1672" s="2" t="str">
        <f t="shared" si="25"/>
        <v>Error?</v>
      </c>
    </row>
    <row r="1673" spans="1:4" x14ac:dyDescent="0.2">
      <c r="A1673" s="5">
        <v>1612</v>
      </c>
      <c r="B1673" s="138">
        <f>'Acct Summary 7-8'!G79</f>
        <v>491563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980363</v>
      </c>
      <c r="C1686" s="2" t="s">
        <v>594</v>
      </c>
      <c r="D1686" s="2" t="str">
        <f t="shared" si="25"/>
        <v>Error?</v>
      </c>
    </row>
    <row r="1687" spans="1:4" x14ac:dyDescent="0.2">
      <c r="A1687" s="5">
        <v>1626</v>
      </c>
      <c r="B1687" s="138">
        <f>'Acct Summary 7-8'!H79</f>
        <v>59339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211396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3492539</v>
      </c>
      <c r="C1744" s="2" t="s">
        <v>594</v>
      </c>
      <c r="D1744" s="2" t="str">
        <f t="shared" si="26"/>
        <v>Error?</v>
      </c>
    </row>
    <row r="1745" spans="1:5" x14ac:dyDescent="0.2">
      <c r="A1745" s="5">
        <v>1684</v>
      </c>
      <c r="B1745" s="138">
        <f>'Tax Sched 23'!B5</f>
        <v>461232</v>
      </c>
      <c r="C1745" s="2" t="s">
        <v>594</v>
      </c>
      <c r="D1745" s="2" t="str">
        <f t="shared" si="26"/>
        <v>Error?</v>
      </c>
    </row>
    <row r="1746" spans="1:5" x14ac:dyDescent="0.2">
      <c r="A1746" s="5">
        <v>1685</v>
      </c>
      <c r="B1746" s="138">
        <f>'Tax Sched 23'!B6</f>
        <v>422707</v>
      </c>
      <c r="C1746" s="2" t="s">
        <v>594</v>
      </c>
      <c r="D1746" s="2" t="str">
        <f t="shared" si="26"/>
        <v>Error?</v>
      </c>
    </row>
    <row r="1747" spans="1:5" x14ac:dyDescent="0.2">
      <c r="A1747" s="5">
        <v>1686</v>
      </c>
      <c r="B1747" s="138">
        <f>'Tax Sched 23'!B7</f>
        <v>212842</v>
      </c>
      <c r="C1747" s="2" t="s">
        <v>594</v>
      </c>
      <c r="D1747" s="2" t="str">
        <f t="shared" si="26"/>
        <v>Error?</v>
      </c>
    </row>
    <row r="1748" spans="1:5" x14ac:dyDescent="0.2">
      <c r="A1748" s="5">
        <v>1687</v>
      </c>
      <c r="B1748" s="138">
        <f>'Tax Sched 23'!B8</f>
        <v>315840</v>
      </c>
      <c r="C1748" s="2" t="s">
        <v>594</v>
      </c>
      <c r="D1748" s="2" t="str">
        <f t="shared" si="26"/>
        <v>Error?</v>
      </c>
    </row>
    <row r="1749" spans="1:5" x14ac:dyDescent="0.2">
      <c r="A1749" s="5">
        <v>1688</v>
      </c>
      <c r="B1749" s="138">
        <f>'Tax Sched 23'!B10</f>
        <v>41441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399999</v>
      </c>
      <c r="C1752" s="2" t="s">
        <v>594</v>
      </c>
      <c r="D1752" s="2" t="str">
        <f t="shared" si="26"/>
        <v>Error?</v>
      </c>
    </row>
    <row r="1753" spans="1:5" x14ac:dyDescent="0.2">
      <c r="A1753" s="5">
        <v>1692</v>
      </c>
      <c r="B1753" s="138">
        <f>'Tax Sched 23'!B12</f>
        <v>82285</v>
      </c>
      <c r="C1753" s="2" t="s">
        <v>594</v>
      </c>
      <c r="D1753" s="2" t="str">
        <f t="shared" si="26"/>
        <v>Error?</v>
      </c>
    </row>
    <row r="1754" spans="1:5" x14ac:dyDescent="0.2">
      <c r="A1754" s="5">
        <v>1693</v>
      </c>
      <c r="B1754" s="138">
        <f>'Tax Sched 23'!B14</f>
        <v>333779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6078504</v>
      </c>
      <c r="C1759" s="2" t="s">
        <v>594</v>
      </c>
      <c r="D1759" s="2" t="str">
        <f t="shared" si="26"/>
        <v>Error?</v>
      </c>
    </row>
    <row r="1760" spans="1:5" x14ac:dyDescent="0.2">
      <c r="A1760" s="5">
        <v>1699</v>
      </c>
      <c r="B1760" s="138">
        <f>'Tax Sched 23'!D4</f>
        <v>1593632</v>
      </c>
      <c r="C1760" s="2" t="s">
        <v>594</v>
      </c>
      <c r="D1760" s="2" t="str">
        <f t="shared" si="26"/>
        <v>Error?</v>
      </c>
    </row>
    <row r="1761" spans="1:5" x14ac:dyDescent="0.2">
      <c r="A1761" s="5">
        <v>1700</v>
      </c>
      <c r="B1761" s="138">
        <f>'Tax Sched 23'!D5</f>
        <v>211887</v>
      </c>
      <c r="C1761" s="2" t="s">
        <v>594</v>
      </c>
      <c r="D1761" s="2" t="str">
        <f t="shared" si="26"/>
        <v>Error?</v>
      </c>
    </row>
    <row r="1762" spans="1:5" s="8" customFormat="1" x14ac:dyDescent="0.2">
      <c r="A1762" s="5">
        <v>1701</v>
      </c>
      <c r="B1762" s="138">
        <f>'Tax Sched 23'!D6</f>
        <v>194113</v>
      </c>
      <c r="C1762" s="2" t="s">
        <v>594</v>
      </c>
      <c r="D1762" s="2" t="str">
        <f t="shared" si="26"/>
        <v>Error?</v>
      </c>
      <c r="E1762" s="9"/>
    </row>
    <row r="1763" spans="1:5" x14ac:dyDescent="0.2">
      <c r="A1763" s="5">
        <v>1702</v>
      </c>
      <c r="B1763" s="138">
        <f>'Tax Sched 23'!D7</f>
        <v>87017</v>
      </c>
      <c r="C1763" s="2" t="s">
        <v>594</v>
      </c>
      <c r="D1763" s="2" t="str">
        <f t="shared" si="26"/>
        <v>Error?</v>
      </c>
    </row>
    <row r="1764" spans="1:5" x14ac:dyDescent="0.2">
      <c r="A1764" s="5">
        <v>1703</v>
      </c>
      <c r="B1764" s="138">
        <f>'Tax Sched 23'!D8</f>
        <v>149171</v>
      </c>
      <c r="C1764" s="2" t="s">
        <v>594</v>
      </c>
      <c r="D1764" s="2" t="str">
        <f t="shared" si="26"/>
        <v>Error?</v>
      </c>
    </row>
    <row r="1765" spans="1:5" x14ac:dyDescent="0.2">
      <c r="A1765" s="5">
        <v>1704</v>
      </c>
      <c r="B1765" s="138">
        <f>'Tax Sched 23'!D10</f>
        <v>19043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187875</v>
      </c>
      <c r="C1768" s="2" t="s">
        <v>594</v>
      </c>
      <c r="D1768" s="2" t="str">
        <f t="shared" si="26"/>
        <v>Error?</v>
      </c>
    </row>
    <row r="1769" spans="1:5" x14ac:dyDescent="0.2">
      <c r="A1769" s="5">
        <v>1708</v>
      </c>
      <c r="B1769" s="138">
        <f>'Tax Sched 23'!D12</f>
        <v>37818</v>
      </c>
      <c r="C1769" s="2" t="s">
        <v>594</v>
      </c>
      <c r="D1769" s="2" t="str">
        <f t="shared" si="26"/>
        <v>Error?</v>
      </c>
    </row>
    <row r="1770" spans="1:5" x14ac:dyDescent="0.2">
      <c r="A1770" s="5">
        <v>1709</v>
      </c>
      <c r="B1770" s="138">
        <f>'Tax Sched 23'!D14</f>
        <v>154923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2784650</v>
      </c>
      <c r="C1775" s="2" t="s">
        <v>594</v>
      </c>
      <c r="D1775" s="2" t="str">
        <f t="shared" si="26"/>
        <v>Error?</v>
      </c>
    </row>
    <row r="1776" spans="1:5" x14ac:dyDescent="0.2">
      <c r="A1776" s="5">
        <v>1715</v>
      </c>
      <c r="B1776" s="138">
        <f>'Tax Sched 23'!C4</f>
        <v>1898907</v>
      </c>
      <c r="D1776" s="2" t="str">
        <f t="shared" si="26"/>
        <v>Error?</v>
      </c>
    </row>
    <row r="1777" spans="1:4" x14ac:dyDescent="0.2">
      <c r="A1777" s="5">
        <v>1716</v>
      </c>
      <c r="B1777" s="138">
        <f>'Tax Sched 23'!C5</f>
        <v>249345</v>
      </c>
      <c r="D1777" s="2" t="str">
        <f t="shared" si="26"/>
        <v>Error?</v>
      </c>
    </row>
    <row r="1778" spans="1:4" x14ac:dyDescent="0.2">
      <c r="A1778" s="5">
        <v>1717</v>
      </c>
      <c r="B1778" s="138">
        <f>'Tax Sched 23'!C6</f>
        <v>228594</v>
      </c>
      <c r="D1778" s="2" t="str">
        <f t="shared" si="26"/>
        <v>Error?</v>
      </c>
    </row>
    <row r="1779" spans="1:4" x14ac:dyDescent="0.2">
      <c r="A1779" s="5">
        <v>1718</v>
      </c>
      <c r="B1779" s="138">
        <f>'Tax Sched 23'!C7</f>
        <v>125825</v>
      </c>
      <c r="D1779" s="2" t="str">
        <f t="shared" si="26"/>
        <v>Error?</v>
      </c>
    </row>
    <row r="1780" spans="1:4" x14ac:dyDescent="0.2">
      <c r="A1780" s="5">
        <v>1719</v>
      </c>
      <c r="B1780" s="138">
        <f>'Tax Sched 23'!C8</f>
        <v>166669</v>
      </c>
      <c r="D1780" s="2" t="str">
        <f t="shared" si="26"/>
        <v>Error?</v>
      </c>
    </row>
    <row r="1781" spans="1:4" x14ac:dyDescent="0.2">
      <c r="A1781" s="5">
        <v>1720</v>
      </c>
      <c r="B1781" s="138">
        <f>'Tax Sched 23'!C10</f>
        <v>22398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212124</v>
      </c>
      <c r="D1784" s="2" t="str">
        <f t="shared" si="26"/>
        <v>Error?</v>
      </c>
    </row>
    <row r="1785" spans="1:4" x14ac:dyDescent="0.2">
      <c r="A1785" s="5">
        <v>1724</v>
      </c>
      <c r="B1785" s="138">
        <f>'Tax Sched 23'!C12</f>
        <v>44467</v>
      </c>
      <c r="D1785" s="2" t="str">
        <f t="shared" si="26"/>
        <v>Error?</v>
      </c>
    </row>
    <row r="1786" spans="1:4" x14ac:dyDescent="0.2">
      <c r="A1786" s="5">
        <v>1725</v>
      </c>
      <c r="B1786" s="138">
        <f>'Tax Sched 23'!C14</f>
        <v>178856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3293854</v>
      </c>
      <c r="C1791" s="2" t="s">
        <v>594</v>
      </c>
      <c r="D1791" s="2" t="str">
        <f t="shared" ref="D1791:D1854" si="27">IF(ISBLANK(B1791),"OK",IF(A1791-B1791=0,"OK","Error?"))</f>
        <v>Error?</v>
      </c>
    </row>
    <row r="1792" spans="1:4" x14ac:dyDescent="0.2">
      <c r="A1792" s="5">
        <v>1731</v>
      </c>
      <c r="B1792" s="138">
        <f>'Tax Sched 23'!F4</f>
        <v>1786601</v>
      </c>
      <c r="C1792" s="2" t="s">
        <v>594</v>
      </c>
      <c r="D1792" s="2" t="str">
        <f t="shared" si="27"/>
        <v>Error?</v>
      </c>
    </row>
    <row r="1793" spans="1:4" x14ac:dyDescent="0.2">
      <c r="A1793" s="5">
        <v>1732</v>
      </c>
      <c r="B1793" s="138">
        <f>'Tax Sched 23'!F5</f>
        <v>234560</v>
      </c>
      <c r="C1793" s="2" t="s">
        <v>594</v>
      </c>
      <c r="D1793" s="2" t="str">
        <f t="shared" si="27"/>
        <v>Error?</v>
      </c>
    </row>
    <row r="1794" spans="1:4" x14ac:dyDescent="0.2">
      <c r="A1794" s="5">
        <v>1733</v>
      </c>
      <c r="B1794" s="138">
        <f>'Tax Sched 23'!F6</f>
        <v>214985</v>
      </c>
      <c r="C1794" s="2" t="s">
        <v>594</v>
      </c>
      <c r="D1794" s="2" t="str">
        <f t="shared" si="27"/>
        <v>Error?</v>
      </c>
    </row>
    <row r="1795" spans="1:4" x14ac:dyDescent="0.2">
      <c r="A1795" s="5">
        <v>1734</v>
      </c>
      <c r="B1795" s="138">
        <f>'Tax Sched 23'!F7</f>
        <v>118540</v>
      </c>
      <c r="C1795" s="2" t="s">
        <v>594</v>
      </c>
      <c r="D1795" s="2" t="str">
        <f t="shared" si="27"/>
        <v>Error?</v>
      </c>
    </row>
    <row r="1796" spans="1:4" x14ac:dyDescent="0.2">
      <c r="A1796" s="5">
        <v>1735</v>
      </c>
      <c r="B1796" s="138">
        <f>'Tax Sched 23'!F8</f>
        <v>156858</v>
      </c>
      <c r="C1796" s="2" t="s">
        <v>594</v>
      </c>
      <c r="D1796" s="2" t="str">
        <f t="shared" si="27"/>
        <v>Error?</v>
      </c>
    </row>
    <row r="1797" spans="1:4" x14ac:dyDescent="0.2">
      <c r="A1797" s="5">
        <v>1736</v>
      </c>
      <c r="B1797" s="138">
        <f>'Tax Sched 23'!F10</f>
        <v>21136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199601</v>
      </c>
      <c r="C1800" s="2" t="s">
        <v>594</v>
      </c>
      <c r="D1800" s="2" t="str">
        <f t="shared" si="27"/>
        <v>Error?</v>
      </c>
    </row>
    <row r="1801" spans="1:4" x14ac:dyDescent="0.2">
      <c r="A1801" s="5">
        <v>1740</v>
      </c>
      <c r="B1801" s="138">
        <f>'Tax Sched 23'!F12</f>
        <v>41882</v>
      </c>
      <c r="C1801" s="2" t="s">
        <v>594</v>
      </c>
      <c r="D1801" s="2" t="str">
        <f t="shared" si="27"/>
        <v>Error?</v>
      </c>
    </row>
    <row r="1802" spans="1:4" x14ac:dyDescent="0.2">
      <c r="A1802" s="5">
        <v>1741</v>
      </c>
      <c r="B1802" s="138">
        <f>'Tax Sched 23'!F14</f>
        <v>168595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3099616</v>
      </c>
      <c r="C1807" s="2" t="s">
        <v>594</v>
      </c>
      <c r="D1807" s="2" t="str">
        <f t="shared" si="27"/>
        <v>Error?</v>
      </c>
    </row>
    <row r="1808" spans="1:4" x14ac:dyDescent="0.2">
      <c r="A1808" s="5">
        <v>1747</v>
      </c>
      <c r="B1808" s="138">
        <f>'Tax Sched 23'!E4</f>
        <v>3685508</v>
      </c>
      <c r="D1808" s="2" t="str">
        <f t="shared" si="27"/>
        <v>Error?</v>
      </c>
    </row>
    <row r="1809" spans="1:4" x14ac:dyDescent="0.2">
      <c r="A1809" s="5">
        <v>1748</v>
      </c>
      <c r="B1809" s="138">
        <f>'Tax Sched 23'!E5</f>
        <v>483905</v>
      </c>
      <c r="D1809" s="2" t="str">
        <f t="shared" si="27"/>
        <v>Error?</v>
      </c>
    </row>
    <row r="1810" spans="1:4" x14ac:dyDescent="0.2">
      <c r="A1810" s="5">
        <v>1749</v>
      </c>
      <c r="B1810" s="138">
        <f>'Tax Sched 23'!E6</f>
        <v>443579</v>
      </c>
      <c r="D1810" s="2" t="str">
        <f t="shared" si="27"/>
        <v>Error?</v>
      </c>
    </row>
    <row r="1811" spans="1:4" x14ac:dyDescent="0.2">
      <c r="A1811" s="5">
        <v>1750</v>
      </c>
      <c r="B1811" s="138">
        <f>'Tax Sched 23'!E7</f>
        <v>244365</v>
      </c>
      <c r="D1811" s="2" t="str">
        <f t="shared" si="27"/>
        <v>Error?</v>
      </c>
    </row>
    <row r="1812" spans="1:4" x14ac:dyDescent="0.2">
      <c r="A1812" s="5">
        <v>1751</v>
      </c>
      <c r="B1812" s="138">
        <f>'Tax Sched 23'!E8</f>
        <v>323527</v>
      </c>
      <c r="D1812" s="2" t="str">
        <f t="shared" si="27"/>
        <v>Error?</v>
      </c>
    </row>
    <row r="1813" spans="1:4" x14ac:dyDescent="0.2">
      <c r="A1813" s="5">
        <v>1752</v>
      </c>
      <c r="B1813" s="138">
        <f>'Tax Sched 23'!E10</f>
        <v>43534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411725</v>
      </c>
      <c r="D1816" s="2" t="str">
        <f t="shared" si="27"/>
        <v>Error?</v>
      </c>
    </row>
    <row r="1817" spans="1:4" x14ac:dyDescent="0.2">
      <c r="A1817" s="5">
        <v>1756</v>
      </c>
      <c r="B1817" s="138">
        <f>'Tax Sched 23'!E12</f>
        <v>86349</v>
      </c>
      <c r="D1817" s="2" t="str">
        <f t="shared" si="27"/>
        <v>Error?</v>
      </c>
    </row>
    <row r="1818" spans="1:4" x14ac:dyDescent="0.2">
      <c r="A1818" s="5">
        <v>1757</v>
      </c>
      <c r="B1818" s="138">
        <f>'Tax Sched 23'!E14</f>
        <v>347451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6393470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2248464</v>
      </c>
      <c r="C1939" s="2" t="s">
        <v>594</v>
      </c>
      <c r="D1939" s="2" t="str">
        <f t="shared" si="29"/>
        <v>Error?</v>
      </c>
    </row>
    <row r="1940" spans="1:5" x14ac:dyDescent="0.2">
      <c r="A1940" s="5">
        <v>1879</v>
      </c>
      <c r="B1940" s="138">
        <f>'Short-Term Long-Term Debt 24'!F49</f>
        <v>59010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333779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333779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333779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314014</v>
      </c>
      <c r="D2008" s="2" t="str">
        <f t="shared" si="30"/>
        <v>Error?</v>
      </c>
    </row>
    <row r="2009" spans="1:4" x14ac:dyDescent="0.2">
      <c r="A2009" s="5">
        <v>1948</v>
      </c>
      <c r="B2009" s="138">
        <f>'Cap Outlay Deprec 26'!C8</f>
        <v>11837045</v>
      </c>
      <c r="D2009" s="2" t="str">
        <f t="shared" si="30"/>
        <v>Error?</v>
      </c>
    </row>
    <row r="2010" spans="1:4" x14ac:dyDescent="0.2">
      <c r="A2010" s="5">
        <v>1949</v>
      </c>
      <c r="B2010" s="138">
        <f>'Cap Outlay Deprec 26'!C10</f>
        <v>328356</v>
      </c>
      <c r="D2010" s="2" t="str">
        <f t="shared" si="30"/>
        <v>Error?</v>
      </c>
    </row>
    <row r="2011" spans="1:4" x14ac:dyDescent="0.2">
      <c r="A2011" s="5">
        <v>1950</v>
      </c>
      <c r="B2011" s="138">
        <f>'Cap Outlay Deprec 26'!C12</f>
        <v>1737397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14216812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361865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161051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522916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314014</v>
      </c>
      <c r="C2026" s="2" t="s">
        <v>594</v>
      </c>
      <c r="D2026" s="2" t="str">
        <f t="shared" si="30"/>
        <v>Error?</v>
      </c>
    </row>
    <row r="2027" spans="1:4" x14ac:dyDescent="0.2">
      <c r="A2027" s="5">
        <v>1966</v>
      </c>
      <c r="B2027" s="138">
        <f>'Cap Outlay Deprec 26'!F8</f>
        <v>12198910</v>
      </c>
      <c r="C2027" s="2" t="s">
        <v>594</v>
      </c>
      <c r="D2027" s="2" t="str">
        <f t="shared" si="30"/>
        <v>Error?</v>
      </c>
    </row>
    <row r="2028" spans="1:4" x14ac:dyDescent="0.2">
      <c r="A2028" s="5">
        <v>1967</v>
      </c>
      <c r="B2028" s="138">
        <f>'Cap Outlay Deprec 26'!F10</f>
        <v>328356</v>
      </c>
      <c r="C2028" s="2" t="s">
        <v>594</v>
      </c>
      <c r="D2028" s="2" t="str">
        <f t="shared" si="30"/>
        <v>Error?</v>
      </c>
    </row>
    <row r="2029" spans="1:4" x14ac:dyDescent="0.2">
      <c r="A2029" s="5">
        <v>1968</v>
      </c>
      <c r="B2029" s="138">
        <f>'Cap Outlay Deprec 26'!F12</f>
        <v>1898448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14739728</v>
      </c>
      <c r="C2031" s="2" t="s">
        <v>594</v>
      </c>
      <c r="D2031" s="2" t="str">
        <f t="shared" si="30"/>
        <v>Error?</v>
      </c>
    </row>
    <row r="2032" spans="1:4" x14ac:dyDescent="0.2">
      <c r="A2032" s="10">
        <v>1971</v>
      </c>
      <c r="D2032" s="2" t="str">
        <f t="shared" si="30"/>
        <v>OK</v>
      </c>
    </row>
    <row r="2033" spans="1:4" x14ac:dyDescent="0.2">
      <c r="A2033" s="5">
        <v>1972</v>
      </c>
      <c r="B2033" s="138">
        <f>'Cap Outlay Deprec 26'!H8</f>
        <v>4207246</v>
      </c>
      <c r="D2033" s="2" t="str">
        <f t="shared" si="30"/>
        <v>Error?</v>
      </c>
    </row>
    <row r="2034" spans="1:4" x14ac:dyDescent="0.2">
      <c r="A2034" s="5">
        <v>1973</v>
      </c>
      <c r="B2034" s="138">
        <f>'Cap Outlay Deprec 26'!H10</f>
        <v>174676</v>
      </c>
      <c r="D2034" s="2" t="str">
        <f t="shared" si="30"/>
        <v>Error?</v>
      </c>
    </row>
    <row r="2035" spans="1:4" x14ac:dyDescent="0.2">
      <c r="A2035" s="5">
        <v>1974</v>
      </c>
      <c r="B2035" s="138">
        <f>'Cap Outlay Deprec 26'!H12</f>
        <v>1443233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5825155</v>
      </c>
      <c r="C2037" s="2" t="s">
        <v>594</v>
      </c>
      <c r="D2037" s="2" t="str">
        <f t="shared" si="30"/>
        <v>Error?</v>
      </c>
    </row>
    <row r="2038" spans="1:4" x14ac:dyDescent="0.2">
      <c r="A2038" s="10">
        <v>1977</v>
      </c>
      <c r="D2038" s="2" t="str">
        <f t="shared" si="30"/>
        <v>OK</v>
      </c>
    </row>
    <row r="2039" spans="1:4" x14ac:dyDescent="0.2">
      <c r="A2039" s="5">
        <v>1978</v>
      </c>
      <c r="B2039" s="138">
        <f>'Cap Outlay Deprec 26'!I8</f>
        <v>304815</v>
      </c>
      <c r="D2039" s="2" t="str">
        <f t="shared" si="30"/>
        <v>Error?</v>
      </c>
    </row>
    <row r="2040" spans="1:4" x14ac:dyDescent="0.2">
      <c r="A2040" s="5">
        <v>1979</v>
      </c>
      <c r="B2040" s="138">
        <f>'Cap Outlay Deprec 26'!I10</f>
        <v>15500</v>
      </c>
      <c r="D2040" s="2" t="str">
        <f t="shared" si="30"/>
        <v>Error?</v>
      </c>
    </row>
    <row r="2041" spans="1:4" x14ac:dyDescent="0.2">
      <c r="A2041" s="5">
        <v>1980</v>
      </c>
      <c r="B2041" s="138">
        <f>'Cap Outlay Deprec 26'!I12</f>
        <v>63566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383881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4512061</v>
      </c>
      <c r="C2051" s="2" t="s">
        <v>594</v>
      </c>
      <c r="D2051" s="2" t="str">
        <f t="shared" si="31"/>
        <v>Error?</v>
      </c>
    </row>
    <row r="2052" spans="1:4" x14ac:dyDescent="0.2">
      <c r="A2052" s="5">
        <v>1991</v>
      </c>
      <c r="B2052" s="138">
        <f>'Cap Outlay Deprec 26'!K10</f>
        <v>190176</v>
      </c>
      <c r="C2052" s="2" t="s">
        <v>594</v>
      </c>
      <c r="D2052" s="2" t="str">
        <f t="shared" si="31"/>
        <v>Error?</v>
      </c>
    </row>
    <row r="2053" spans="1:4" x14ac:dyDescent="0.2">
      <c r="A2053" s="5">
        <v>1992</v>
      </c>
      <c r="B2053" s="138">
        <f>'Cap Outlay Deprec 26'!K12</f>
        <v>1506799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6209036</v>
      </c>
      <c r="C2055" s="2" t="s">
        <v>594</v>
      </c>
      <c r="D2055" s="2" t="str">
        <f t="shared" si="31"/>
        <v>Error?</v>
      </c>
    </row>
    <row r="2056" spans="1:4" x14ac:dyDescent="0.2">
      <c r="A2056" s="5">
        <v>1995</v>
      </c>
      <c r="B2056" s="138">
        <f>'Cap Outlay Deprec 26'!L5</f>
        <v>314014</v>
      </c>
      <c r="C2056" s="2" t="s">
        <v>594</v>
      </c>
      <c r="D2056" s="2" t="str">
        <f t="shared" si="31"/>
        <v>Error?</v>
      </c>
    </row>
    <row r="2057" spans="1:4" x14ac:dyDescent="0.2">
      <c r="A2057" s="5">
        <v>1996</v>
      </c>
      <c r="B2057" s="138">
        <f>'Cap Outlay Deprec 26'!L8</f>
        <v>7686849</v>
      </c>
      <c r="C2057" s="2" t="s">
        <v>594</v>
      </c>
      <c r="D2057" s="2" t="str">
        <f t="shared" si="31"/>
        <v>Error?</v>
      </c>
    </row>
    <row r="2058" spans="1:4" x14ac:dyDescent="0.2">
      <c r="A2058" s="5">
        <v>1997</v>
      </c>
      <c r="B2058" s="138">
        <f>'Cap Outlay Deprec 26'!L10</f>
        <v>138180</v>
      </c>
      <c r="C2058" s="2" t="s">
        <v>594</v>
      </c>
      <c r="D2058" s="2" t="str">
        <f t="shared" si="31"/>
        <v>Error?</v>
      </c>
    </row>
    <row r="2059" spans="1:4" x14ac:dyDescent="0.2">
      <c r="A2059" s="5">
        <v>1998</v>
      </c>
      <c r="B2059" s="138">
        <f>'Cap Outlay Deprec 26'!L12</f>
        <v>391649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8530692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781359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829482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36608</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512000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4830890</v>
      </c>
      <c r="C2551" s="2" t="s">
        <v>594</v>
      </c>
      <c r="D2551" s="2" t="str">
        <f t="shared" si="38"/>
        <v>Error?</v>
      </c>
    </row>
    <row r="2552" spans="1:4" x14ac:dyDescent="0.2">
      <c r="A2552" s="10">
        <v>2491</v>
      </c>
      <c r="D2552" s="2" t="str">
        <f t="shared" si="38"/>
        <v>OK</v>
      </c>
    </row>
    <row r="2553" spans="1:4" x14ac:dyDescent="0.2">
      <c r="A2553" s="5">
        <v>2492</v>
      </c>
      <c r="B2553" s="138">
        <f>'Acct Summary 7-8'!C6</f>
        <v>1227954</v>
      </c>
      <c r="C2553" s="2" t="s">
        <v>594</v>
      </c>
      <c r="D2553" s="2" t="str">
        <f t="shared" si="38"/>
        <v>Error?</v>
      </c>
    </row>
    <row r="2554" spans="1:4" x14ac:dyDescent="0.2">
      <c r="A2554" s="5">
        <v>2493</v>
      </c>
      <c r="B2554" s="138">
        <f>'Acct Summary 7-8'!C7</f>
        <v>456469</v>
      </c>
      <c r="C2554" s="2" t="s">
        <v>594</v>
      </c>
      <c r="D2554" s="2" t="str">
        <f t="shared" si="38"/>
        <v>Error?</v>
      </c>
    </row>
    <row r="2555" spans="1:4" x14ac:dyDescent="0.2">
      <c r="A2555" s="5">
        <v>2494</v>
      </c>
      <c r="B2555" s="138">
        <f>'Acct Summary 7-8'!C8</f>
        <v>6515313</v>
      </c>
      <c r="C2555" s="2" t="s">
        <v>594</v>
      </c>
      <c r="D2555" s="2" t="str">
        <f t="shared" si="38"/>
        <v>Error?</v>
      </c>
    </row>
    <row r="2556" spans="1:4" x14ac:dyDescent="0.2">
      <c r="A2556" s="5">
        <v>2495</v>
      </c>
      <c r="B2556" s="138">
        <f>'Acct Summary 7-8'!C12</f>
        <v>3133087</v>
      </c>
      <c r="C2556" s="2" t="s">
        <v>594</v>
      </c>
      <c r="D2556" s="2" t="str">
        <f t="shared" si="38"/>
        <v>Error?</v>
      </c>
    </row>
    <row r="2557" spans="1:4" x14ac:dyDescent="0.2">
      <c r="A2557" s="5">
        <v>2496</v>
      </c>
      <c r="B2557" s="138">
        <f>'Acct Summary 7-8'!C13</f>
        <v>2134824</v>
      </c>
      <c r="C2557" s="2" t="s">
        <v>594</v>
      </c>
      <c r="D2557" s="2" t="str">
        <f t="shared" si="38"/>
        <v>Error?</v>
      </c>
    </row>
    <row r="2558" spans="1:4" x14ac:dyDescent="0.2">
      <c r="A2558" s="5">
        <v>2497</v>
      </c>
      <c r="B2558" s="138">
        <f>'Acct Summary 7-8'!C14</f>
        <v>20749</v>
      </c>
      <c r="C2558" s="2" t="s">
        <v>594</v>
      </c>
      <c r="D2558" s="2" t="str">
        <f t="shared" si="38"/>
        <v>Error?</v>
      </c>
    </row>
    <row r="2559" spans="1:4" x14ac:dyDescent="0.2">
      <c r="A2559" s="5">
        <v>2498</v>
      </c>
      <c r="B2559" s="138">
        <f>'Acct Summary 7-8'!C15</f>
        <v>829482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6118142</v>
      </c>
      <c r="C2561" s="2" t="s">
        <v>594</v>
      </c>
      <c r="D2561" s="2" t="str">
        <f t="shared" si="39"/>
        <v>Error?</v>
      </c>
    </row>
    <row r="2562" spans="1:4" x14ac:dyDescent="0.2">
      <c r="A2562" s="5">
        <v>2501</v>
      </c>
      <c r="B2562" s="138">
        <f>'Acct Summary 7-8'!C20</f>
        <v>397171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473668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473668</v>
      </c>
      <c r="C2568" s="2" t="s">
        <v>594</v>
      </c>
      <c r="D2568" s="2" t="str">
        <f t="shared" si="39"/>
        <v>Error?</v>
      </c>
    </row>
    <row r="2569" spans="1:4" x14ac:dyDescent="0.2">
      <c r="A2569" s="5">
        <v>2508</v>
      </c>
      <c r="B2569" s="138">
        <f>'Acct Summary 7-8'!D13</f>
        <v>708492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36608</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745100</v>
      </c>
      <c r="C2573" s="2" t="s">
        <v>594</v>
      </c>
      <c r="D2573" s="2" t="str">
        <f t="shared" si="39"/>
        <v>Error?</v>
      </c>
    </row>
    <row r="2574" spans="1:4" x14ac:dyDescent="0.2">
      <c r="A2574" s="5">
        <v>2513</v>
      </c>
      <c r="B2574" s="138">
        <f>'Acct Summary 7-8'!D20</f>
        <v>-271432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257412</v>
      </c>
      <c r="C2591" s="2" t="s">
        <v>594</v>
      </c>
      <c r="D2591" s="2" t="str">
        <f t="shared" si="39"/>
        <v>Error?</v>
      </c>
    </row>
    <row r="2592" spans="1:4" x14ac:dyDescent="0.2">
      <c r="A2592" s="10">
        <v>2531</v>
      </c>
      <c r="D2592" s="2" t="str">
        <f t="shared" si="39"/>
        <v>OK</v>
      </c>
    </row>
    <row r="2593" spans="1:4" x14ac:dyDescent="0.2">
      <c r="A2593" s="5">
        <v>2532</v>
      </c>
      <c r="B2593" s="138">
        <f>'Acct Summary 7-8'!F6</f>
        <v>18715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276127</v>
      </c>
      <c r="C2595" s="2" t="s">
        <v>594</v>
      </c>
      <c r="D2595" s="2" t="str">
        <f t="shared" si="39"/>
        <v>Error?</v>
      </c>
    </row>
    <row r="2596" spans="1:4" x14ac:dyDescent="0.2">
      <c r="A2596" s="5">
        <v>2535</v>
      </c>
      <c r="B2596" s="138">
        <f>'Acct Summary 7-8'!F13</f>
        <v>129876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85626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215502</v>
      </c>
      <c r="C2600" s="2" t="s">
        <v>594</v>
      </c>
      <c r="D2600" s="2" t="str">
        <f t="shared" si="39"/>
        <v>Error?</v>
      </c>
    </row>
    <row r="2601" spans="1:4" x14ac:dyDescent="0.2">
      <c r="A2601" s="5">
        <v>2540</v>
      </c>
      <c r="B2601" s="138">
        <f>'Acct Summary 7-8'!F20</f>
        <v>60625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668010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668010</v>
      </c>
      <c r="C2606" s="2" t="s">
        <v>594</v>
      </c>
      <c r="D2606" s="2" t="str">
        <f t="shared" si="39"/>
        <v>Error?</v>
      </c>
    </row>
    <row r="2607" spans="1:4" x14ac:dyDescent="0.2">
      <c r="A2607" s="5">
        <v>2546</v>
      </c>
      <c r="B2607" s="138">
        <f>'Acct Summary 7-8'!G12</f>
        <v>64937</v>
      </c>
      <c r="C2607" s="2" t="s">
        <v>594</v>
      </c>
      <c r="D2607" s="2" t="str">
        <f t="shared" si="39"/>
        <v>Error?</v>
      </c>
    </row>
    <row r="2608" spans="1:4" x14ac:dyDescent="0.2">
      <c r="A2608" s="5">
        <v>2547</v>
      </c>
      <c r="B2608" s="138">
        <f>'Acct Summary 7-8'!G13</f>
        <v>114273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179210</v>
      </c>
      <c r="C2612" s="2" t="s">
        <v>594</v>
      </c>
      <c r="D2612" s="2" t="str">
        <f t="shared" si="39"/>
        <v>Error?</v>
      </c>
    </row>
    <row r="2613" spans="1:4" x14ac:dyDescent="0.2">
      <c r="A2613" s="5">
        <v>2552</v>
      </c>
      <c r="B2613" s="138">
        <f>'Acct Summary 7-8'!G20</f>
        <v>488800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424190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424190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451862</v>
      </c>
      <c r="C2634" s="2" t="s">
        <v>594</v>
      </c>
      <c r="D2634" s="2" t="str">
        <f t="shared" si="40"/>
        <v>Error?</v>
      </c>
    </row>
    <row r="2635" spans="1:4" x14ac:dyDescent="0.2">
      <c r="A2635" s="5">
        <v>2574</v>
      </c>
      <c r="B2635" s="138">
        <f>'Acct Summary 7-8'!E17</f>
        <v>451862</v>
      </c>
      <c r="C2635" s="2" t="s">
        <v>594</v>
      </c>
      <c r="D2635" s="2" t="str">
        <f t="shared" si="40"/>
        <v>Error?</v>
      </c>
    </row>
    <row r="2636" spans="1:4" x14ac:dyDescent="0.2">
      <c r="A2636" s="5">
        <v>2575</v>
      </c>
      <c r="B2636" s="138">
        <f>'Acct Summary 7-8'!E20</f>
        <v>-27672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1922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1922</v>
      </c>
      <c r="C2658" s="2" t="s">
        <v>594</v>
      </c>
      <c r="D2658" s="2" t="str">
        <f t="shared" si="40"/>
        <v>Error?</v>
      </c>
    </row>
    <row r="2659" spans="1:4" x14ac:dyDescent="0.2">
      <c r="A2659" s="5">
        <v>2598</v>
      </c>
      <c r="B2659" s="138">
        <f>'Acct Summary 7-8'!H13</f>
        <v>361865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361865</v>
      </c>
      <c r="C2661" s="2" t="s">
        <v>594</v>
      </c>
      <c r="D2661" s="2" t="str">
        <f t="shared" si="40"/>
        <v>Error?</v>
      </c>
    </row>
    <row r="2662" spans="1:4" x14ac:dyDescent="0.2">
      <c r="A2662" s="5">
        <v>2601</v>
      </c>
      <c r="B2662" s="138">
        <f>'Acct Summary 7-8'!H20</f>
        <v>-359943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97344</v>
      </c>
      <c r="D2718" s="2" t="str">
        <f t="shared" si="41"/>
        <v>Error?</v>
      </c>
    </row>
    <row r="2719" spans="1:4" x14ac:dyDescent="0.2">
      <c r="A2719" s="5">
        <v>2658</v>
      </c>
      <c r="B2719" s="138">
        <f>'Expenditures 15-22'!D51</f>
        <v>35853</v>
      </c>
      <c r="D2719" s="2" t="str">
        <f t="shared" si="41"/>
        <v>Error?</v>
      </c>
    </row>
    <row r="2720" spans="1:4" x14ac:dyDescent="0.2">
      <c r="A2720" s="5">
        <v>2659</v>
      </c>
      <c r="B2720" s="138">
        <f>'Expenditures 15-22'!E51</f>
        <v>1804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135001</v>
      </c>
      <c r="C2724" s="2" t="s">
        <v>594</v>
      </c>
      <c r="D2724" s="2" t="str">
        <f t="shared" si="41"/>
        <v>Error?</v>
      </c>
    </row>
    <row r="2725" spans="1:4" x14ac:dyDescent="0.2">
      <c r="A2725" s="5">
        <v>2664</v>
      </c>
      <c r="B2725" s="138">
        <f>'Expenditures 15-22'!D247</f>
        <v>1407</v>
      </c>
      <c r="D2725" s="2" t="str">
        <f t="shared" si="41"/>
        <v>Error?</v>
      </c>
    </row>
    <row r="2726" spans="1:4" x14ac:dyDescent="0.2">
      <c r="A2726" s="5">
        <v>2665</v>
      </c>
      <c r="B2726" s="138">
        <f>'Expenditures 15-22'!K247</f>
        <v>1407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48123</v>
      </c>
      <c r="C2789" s="2" t="s">
        <v>594</v>
      </c>
      <c r="D2789" s="2" t="str">
        <f t="shared" si="42"/>
        <v>Error?</v>
      </c>
    </row>
    <row r="2790" spans="1:4" x14ac:dyDescent="0.2">
      <c r="A2790" s="5">
        <v>2729</v>
      </c>
      <c r="B2790" s="138">
        <f>'Expenditures 15-22'!E102</f>
        <v>48123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85626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85626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20701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1428768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23753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2178</v>
      </c>
      <c r="D2908" s="2" t="str">
        <f t="shared" si="44"/>
        <v>Error?</v>
      </c>
    </row>
    <row r="2909" spans="1:4" x14ac:dyDescent="0.2">
      <c r="A2909" s="10">
        <v>2848</v>
      </c>
      <c r="D2909" s="2" t="str">
        <f t="shared" si="44"/>
        <v>OK</v>
      </c>
    </row>
    <row r="2910" spans="1:4" x14ac:dyDescent="0.2">
      <c r="A2910" s="5">
        <v>2849</v>
      </c>
      <c r="B2910" s="138">
        <f>'Assets-Liab 5-6'!I34</f>
        <v>2178</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1426590</v>
      </c>
      <c r="D2912" s="2" t="str">
        <f t="shared" si="44"/>
        <v>Error?</v>
      </c>
    </row>
    <row r="2913" spans="1:4" x14ac:dyDescent="0.2">
      <c r="A2913" s="5">
        <v>2852</v>
      </c>
      <c r="B2913" s="138">
        <f>'Assets-Liab 5-6'!I41</f>
        <v>1428768</v>
      </c>
      <c r="C2913" s="2" t="s">
        <v>594</v>
      </c>
      <c r="D2913" s="2" t="str">
        <f t="shared" si="44"/>
        <v>Error?</v>
      </c>
    </row>
    <row r="2914" spans="1:4" x14ac:dyDescent="0.2">
      <c r="A2914" s="5">
        <v>2853</v>
      </c>
      <c r="B2914" s="138">
        <f>'Assets-Liab 5-6'!L33</f>
        <v>23753</v>
      </c>
      <c r="D2914" s="2" t="str">
        <f t="shared" si="44"/>
        <v>Error?</v>
      </c>
    </row>
    <row r="2915" spans="1:4" x14ac:dyDescent="0.2">
      <c r="A2915" s="10">
        <v>2854</v>
      </c>
      <c r="D2915" s="2" t="str">
        <f t="shared" si="44"/>
        <v>OK</v>
      </c>
    </row>
    <row r="2916" spans="1:4" x14ac:dyDescent="0.2">
      <c r="A2916" s="5">
        <v>2855</v>
      </c>
      <c r="B2916" s="138">
        <f>'Assets-Liab 5-6'!L34</f>
        <v>23753</v>
      </c>
      <c r="C2916" s="2" t="s">
        <v>594</v>
      </c>
      <c r="D2916" s="2" t="str">
        <f t="shared" si="44"/>
        <v>Error?</v>
      </c>
    </row>
    <row r="2917" spans="1:4" x14ac:dyDescent="0.2">
      <c r="A2917" s="5">
        <v>2856</v>
      </c>
      <c r="B2917" s="138">
        <f>'Assets-Liab 5-6'!L41</f>
        <v>23753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46470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781359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783012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46470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36608</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85626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85626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57013</v>
      </c>
      <c r="C3225" s="2" t="s">
        <v>594</v>
      </c>
      <c r="D3225" s="2" t="str">
        <f t="shared" si="49"/>
        <v>Error?</v>
      </c>
    </row>
    <row r="3226" spans="1:4" x14ac:dyDescent="0.2">
      <c r="A3226" s="5">
        <v>3165</v>
      </c>
      <c r="B3226" s="138">
        <f>'Acct Summary 7-8'!I8</f>
        <v>57013</v>
      </c>
      <c r="C3226" s="2" t="s">
        <v>594</v>
      </c>
      <c r="D3226" s="2" t="str">
        <f t="shared" si="49"/>
        <v>Error?</v>
      </c>
    </row>
    <row r="3227" spans="1:4" x14ac:dyDescent="0.2">
      <c r="A3227" s="5">
        <v>3166</v>
      </c>
      <c r="B3227" s="138">
        <f>'Acct Summary 7-8'!I20</f>
        <v>57013</v>
      </c>
      <c r="C3227" s="2" t="s">
        <v>594</v>
      </c>
      <c r="D3227" s="2" t="str">
        <f t="shared" si="49"/>
        <v>Error?</v>
      </c>
    </row>
    <row r="3228" spans="1:4" x14ac:dyDescent="0.2">
      <c r="A3228" s="5">
        <v>3167</v>
      </c>
      <c r="B3228" s="138">
        <f>'Acct Summary 7-8'!C43</f>
        <v>59010</v>
      </c>
      <c r="D3228" s="2" t="str">
        <f t="shared" si="49"/>
        <v>Error?</v>
      </c>
    </row>
    <row r="3229" spans="1:4" x14ac:dyDescent="0.2">
      <c r="A3229" s="5">
        <v>3168</v>
      </c>
      <c r="B3229" s="138">
        <f>'Acct Summary 7-8'!C44</f>
        <v>59010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32423</v>
      </c>
      <c r="C3231" s="2" t="s">
        <v>594</v>
      </c>
      <c r="D3231" s="2" t="str">
        <f t="shared" si="49"/>
        <v>Error?</v>
      </c>
    </row>
    <row r="3232" spans="1:4" x14ac:dyDescent="0.2">
      <c r="A3232" s="5">
        <v>3171</v>
      </c>
      <c r="B3232" s="138">
        <f>'Acct Summary 7-8'!C77</f>
        <v>26587</v>
      </c>
      <c r="C3232" s="2" t="s">
        <v>594</v>
      </c>
      <c r="D3232" s="2" t="str">
        <f t="shared" si="49"/>
        <v>Error?</v>
      </c>
    </row>
    <row r="3233" spans="1:4" x14ac:dyDescent="0.2">
      <c r="A3233" s="5">
        <v>3172</v>
      </c>
      <c r="B3233" s="138">
        <f>'Acct Summary 7-8'!C78</f>
        <v>423758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-271432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60625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488800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32423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32423</v>
      </c>
      <c r="C3277" s="2" t="s">
        <v>594</v>
      </c>
      <c r="D3277" s="2" t="str">
        <f t="shared" si="50"/>
        <v>Error?</v>
      </c>
    </row>
    <row r="3278" spans="1:4" x14ac:dyDescent="0.2">
      <c r="A3278" s="5">
        <v>3217</v>
      </c>
      <c r="B3278" s="138">
        <f>'Acct Summary 7-8'!E78</f>
        <v>4751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512000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512000</v>
      </c>
      <c r="C3299" s="2" t="s">
        <v>594</v>
      </c>
      <c r="D3299" s="2" t="str">
        <f t="shared" si="50"/>
        <v>Error?</v>
      </c>
    </row>
    <row r="3300" spans="1:4" x14ac:dyDescent="0.2">
      <c r="A3300" s="5">
        <v>3239</v>
      </c>
      <c r="B3300" s="138">
        <f>'Acct Summary 7-8'!H78</f>
        <v>152057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512000</v>
      </c>
      <c r="C3318" s="2" t="s">
        <v>594</v>
      </c>
      <c r="D3318" s="2" t="str">
        <f t="shared" si="50"/>
        <v>Error?</v>
      </c>
    </row>
    <row r="3319" spans="1:4" x14ac:dyDescent="0.2">
      <c r="A3319" s="5">
        <v>3258</v>
      </c>
      <c r="B3319" s="138">
        <f>'Acct Summary 7-8'!I77</f>
        <v>-512000</v>
      </c>
      <c r="C3319" s="2" t="s">
        <v>594</v>
      </c>
      <c r="D3319" s="2" t="str">
        <f t="shared" si="50"/>
        <v>Error?</v>
      </c>
    </row>
    <row r="3320" spans="1:4" x14ac:dyDescent="0.2">
      <c r="A3320" s="5">
        <v>3259</v>
      </c>
      <c r="B3320" s="138">
        <f>'Acct Summary 7-8'!I78</f>
        <v>-454987</v>
      </c>
      <c r="C3320" s="2" t="s">
        <v>594</v>
      </c>
      <c r="D3320" s="2" t="str">
        <f t="shared" si="50"/>
        <v>Error?</v>
      </c>
    </row>
    <row r="3321" spans="1:4" x14ac:dyDescent="0.2">
      <c r="A3321" s="5">
        <v>3260</v>
      </c>
      <c r="B3321" s="138">
        <f>'Acct Summary 7-8'!I79</f>
        <v>1881577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1426590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235007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39695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278186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40794</v>
      </c>
      <c r="D3387" s="2" t="str">
        <f t="shared" si="51"/>
        <v>Error?</v>
      </c>
    </row>
    <row r="3388" spans="1:4" x14ac:dyDescent="0.2">
      <c r="A3388" s="5">
        <v>3327</v>
      </c>
      <c r="B3388" s="138">
        <f>'Expenditures 15-22'!D217</f>
        <v>10334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40794</v>
      </c>
      <c r="C3390" s="2" t="s">
        <v>594</v>
      </c>
      <c r="D3390" s="2" t="str">
        <f t="shared" si="51"/>
        <v>Error?</v>
      </c>
    </row>
    <row r="3391" spans="1:4" x14ac:dyDescent="0.2">
      <c r="A3391" s="5">
        <v>3330</v>
      </c>
      <c r="B3391" s="138">
        <f>'Expenditures 15-22'!K217</f>
        <v>10334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6474790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119540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53254</v>
      </c>
      <c r="D3417" s="2" t="str">
        <f t="shared" si="52"/>
        <v>Error?</v>
      </c>
    </row>
    <row r="3418" spans="1:4" x14ac:dyDescent="0.2">
      <c r="A3418" s="10">
        <v>3357</v>
      </c>
      <c r="D3418" s="2" t="str">
        <f t="shared" si="52"/>
        <v>OK</v>
      </c>
    </row>
    <row r="3419" spans="1:4" x14ac:dyDescent="0.2">
      <c r="A3419" s="5">
        <v>3358</v>
      </c>
      <c r="B3419" s="138">
        <f>'Assets-Liab 5-6'!F4</f>
        <v>305244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703145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210888</v>
      </c>
      <c r="D3425" s="2" t="str">
        <f t="shared" si="52"/>
        <v>Error?</v>
      </c>
    </row>
    <row r="3426" spans="1:4" x14ac:dyDescent="0.2">
      <c r="A3426" s="10">
        <v>3365</v>
      </c>
      <c r="D3426" s="2" t="str">
        <f t="shared" si="52"/>
        <v>OK</v>
      </c>
    </row>
    <row r="3427" spans="1:4" x14ac:dyDescent="0.2">
      <c r="A3427" s="5">
        <v>3366</v>
      </c>
      <c r="B3427" s="138">
        <f>'Assets-Liab 5-6'!I4</f>
        <v>1403416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23753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315840</v>
      </c>
      <c r="C3446" s="2" t="s">
        <v>594</v>
      </c>
      <c r="D3446" s="2" t="str">
        <f t="shared" si="52"/>
        <v>Error?</v>
      </c>
    </row>
    <row r="3447" spans="1:4" x14ac:dyDescent="0.2">
      <c r="A3447" s="5">
        <v>3386</v>
      </c>
      <c r="B3447" s="138">
        <f>'Tax Sched 23'!D16</f>
        <v>149171</v>
      </c>
      <c r="C3447" s="2" t="s">
        <v>594</v>
      </c>
      <c r="D3447" s="2" t="str">
        <f t="shared" si="52"/>
        <v>Error?</v>
      </c>
    </row>
    <row r="3448" spans="1:4" x14ac:dyDescent="0.2">
      <c r="A3448" s="5">
        <v>3387</v>
      </c>
      <c r="B3448" s="138">
        <f>'Tax Sched 23'!C16</f>
        <v>166669</v>
      </c>
      <c r="D3448" s="2" t="str">
        <f t="shared" si="52"/>
        <v>Error?</v>
      </c>
    </row>
    <row r="3449" spans="1:4" x14ac:dyDescent="0.2">
      <c r="A3449" s="5">
        <v>3388</v>
      </c>
      <c r="B3449" s="138">
        <f>'Tax Sched 23'!F16</f>
        <v>156858</v>
      </c>
      <c r="C3449" s="2" t="s">
        <v>594</v>
      </c>
      <c r="D3449" s="2" t="str">
        <f t="shared" si="52"/>
        <v>Error?</v>
      </c>
    </row>
    <row r="3450" spans="1:4" x14ac:dyDescent="0.2">
      <c r="A3450" s="5">
        <v>3389</v>
      </c>
      <c r="B3450" s="138">
        <f>'Tax Sched 23'!E16</f>
        <v>323527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267936</v>
      </c>
      <c r="D3546" s="2" t="str">
        <f t="shared" si="54"/>
        <v>Error?</v>
      </c>
    </row>
    <row r="3547" spans="1:4" x14ac:dyDescent="0.2">
      <c r="A3547" s="10">
        <v>3486</v>
      </c>
      <c r="D3547" s="2" t="str">
        <f t="shared" si="54"/>
        <v>OK</v>
      </c>
    </row>
    <row r="3548" spans="1:4" x14ac:dyDescent="0.2">
      <c r="A3548" s="5">
        <v>3487</v>
      </c>
      <c r="B3548" s="138">
        <f>'Assets-Liab 5-6'!K6</f>
        <v>41019</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309595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4245</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4245</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305350</v>
      </c>
      <c r="D3567" s="2" t="str">
        <f t="shared" si="54"/>
        <v>Error?</v>
      </c>
    </row>
    <row r="3568" spans="1:4" x14ac:dyDescent="0.2">
      <c r="A3568" s="5">
        <v>3507</v>
      </c>
      <c r="B3568" s="138">
        <f>'Assets-Liab 5-6'!K41</f>
        <v>309595</v>
      </c>
      <c r="C3568" s="2" t="s">
        <v>594</v>
      </c>
      <c r="D3568" s="2" t="str">
        <f t="shared" si="54"/>
        <v>Error?</v>
      </c>
    </row>
    <row r="3569" spans="1:4" x14ac:dyDescent="0.2">
      <c r="A3569" s="5">
        <v>3508</v>
      </c>
      <c r="B3569" s="138">
        <f>'Acct Summary 7-8'!K4</f>
        <v>84617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84617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84617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84617</v>
      </c>
      <c r="C3588" s="2" t="s">
        <v>594</v>
      </c>
      <c r="D3588" s="2" t="str">
        <f t="shared" si="55"/>
        <v>Error?</v>
      </c>
    </row>
    <row r="3589" spans="1:4" x14ac:dyDescent="0.2">
      <c r="A3589" s="5">
        <v>3528</v>
      </c>
      <c r="B3589" s="138">
        <f>'Acct Summary 7-8'!K79</f>
        <v>220733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305350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84617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6515313</v>
      </c>
      <c r="C4122" s="2" t="s">
        <v>594</v>
      </c>
      <c r="D4122" s="2" t="str">
        <f t="shared" si="63"/>
        <v>Error?</v>
      </c>
    </row>
    <row r="4123" spans="1:4" x14ac:dyDescent="0.2">
      <c r="A4123" s="5">
        <v>4062</v>
      </c>
      <c r="B4123" s="138">
        <f>'Acct Summary 7-8'!D10</f>
        <v>473668</v>
      </c>
      <c r="C4123" s="2" t="s">
        <v>594</v>
      </c>
      <c r="D4123" s="2" t="str">
        <f t="shared" si="63"/>
        <v>Error?</v>
      </c>
    </row>
    <row r="4124" spans="1:4" x14ac:dyDescent="0.2">
      <c r="A4124" s="5">
        <v>4063</v>
      </c>
      <c r="B4124" s="138">
        <f>'Acct Summary 7-8'!E10</f>
        <v>424190</v>
      </c>
      <c r="C4124" s="2" t="s">
        <v>594</v>
      </c>
      <c r="D4124" s="2" t="str">
        <f t="shared" si="63"/>
        <v>Error?</v>
      </c>
    </row>
    <row r="4125" spans="1:4" x14ac:dyDescent="0.2">
      <c r="A4125" s="5">
        <v>4064</v>
      </c>
      <c r="B4125" s="138">
        <f>'Acct Summary 7-8'!F10</f>
        <v>276127</v>
      </c>
      <c r="C4125" s="2" t="s">
        <v>594</v>
      </c>
      <c r="D4125" s="2" t="str">
        <f t="shared" si="63"/>
        <v>Error?</v>
      </c>
    </row>
    <row r="4126" spans="1:4" x14ac:dyDescent="0.2">
      <c r="A4126" s="5">
        <v>4065</v>
      </c>
      <c r="B4126" s="138">
        <f>'Acct Summary 7-8'!G10</f>
        <v>668010</v>
      </c>
      <c r="C4126" s="2" t="s">
        <v>594</v>
      </c>
      <c r="D4126" s="2" t="str">
        <f t="shared" si="63"/>
        <v>Error?</v>
      </c>
    </row>
    <row r="4127" spans="1:4" x14ac:dyDescent="0.2">
      <c r="A4127" s="5">
        <v>4066</v>
      </c>
      <c r="B4127" s="138">
        <f>'Acct Summary 7-8'!H10</f>
        <v>1922</v>
      </c>
      <c r="C4127" s="2" t="s">
        <v>594</v>
      </c>
      <c r="D4127" s="2" t="str">
        <f t="shared" si="63"/>
        <v>Error?</v>
      </c>
    </row>
    <row r="4128" spans="1:4" x14ac:dyDescent="0.2">
      <c r="A4128" s="5">
        <v>4067</v>
      </c>
      <c r="B4128" s="138">
        <f>'Acct Summary 7-8'!I10</f>
        <v>57013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84617</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6118142</v>
      </c>
      <c r="C4136" s="2" t="s">
        <v>594</v>
      </c>
      <c r="D4136" s="2" t="str">
        <f t="shared" si="63"/>
        <v>Error?</v>
      </c>
    </row>
    <row r="4137" spans="1:4" x14ac:dyDescent="0.2">
      <c r="A4137" s="5">
        <v>4076</v>
      </c>
      <c r="B4137" s="138">
        <f>'Acct Summary 7-8'!D19</f>
        <v>745100</v>
      </c>
      <c r="C4137" s="2" t="s">
        <v>594</v>
      </c>
      <c r="D4137" s="2" t="str">
        <f t="shared" si="63"/>
        <v>Error?</v>
      </c>
    </row>
    <row r="4138" spans="1:4" x14ac:dyDescent="0.2">
      <c r="A4138" s="5">
        <v>4077</v>
      </c>
      <c r="B4138" s="138">
        <f>'Acct Summary 7-8'!E19</f>
        <v>451862</v>
      </c>
      <c r="C4138" s="2" t="s">
        <v>594</v>
      </c>
      <c r="D4138" s="2" t="str">
        <f t="shared" si="63"/>
        <v>Error?</v>
      </c>
    </row>
    <row r="4139" spans="1:4" x14ac:dyDescent="0.2">
      <c r="A4139" s="5">
        <v>4078</v>
      </c>
      <c r="B4139" s="138">
        <f>'Acct Summary 7-8'!F19</f>
        <v>215502</v>
      </c>
      <c r="C4139" s="2" t="s">
        <v>594</v>
      </c>
      <c r="D4139" s="2" t="str">
        <f t="shared" si="63"/>
        <v>Error?</v>
      </c>
    </row>
    <row r="4140" spans="1:4" x14ac:dyDescent="0.2">
      <c r="A4140" s="5">
        <v>4079</v>
      </c>
      <c r="B4140" s="138">
        <f>'Acct Summary 7-8'!G19</f>
        <v>179210</v>
      </c>
      <c r="C4140" s="2" t="s">
        <v>594</v>
      </c>
      <c r="D4140" s="2" t="str">
        <f t="shared" si="63"/>
        <v>Error?</v>
      </c>
    </row>
    <row r="4141" spans="1:4" x14ac:dyDescent="0.2">
      <c r="A4141" s="5">
        <v>4080</v>
      </c>
      <c r="B4141" s="138">
        <f>'Acct Summary 7-8'!H19</f>
        <v>361865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1944121</v>
      </c>
      <c r="C4171" s="2" t="s">
        <v>594</v>
      </c>
      <c r="D4171" s="2" t="str">
        <f t="shared" si="64"/>
        <v>Error?</v>
      </c>
    </row>
    <row r="4172" spans="1:4" x14ac:dyDescent="0.2">
      <c r="A4172" s="5">
        <v>4111</v>
      </c>
      <c r="B4172" s="138">
        <f>'Short-Term Long-Term Debt 24'!J49</f>
        <v>1701412</v>
      </c>
      <c r="C4172" s="2" t="s">
        <v>594</v>
      </c>
      <c r="D4172" s="2" t="str">
        <f t="shared" si="64"/>
        <v>Error?</v>
      </c>
    </row>
    <row r="4173" spans="1:4" x14ac:dyDescent="0.2">
      <c r="A4173" s="5">
        <v>4112</v>
      </c>
      <c r="B4173" s="138">
        <f>'Short-Term Long-Term Debt 24'!H49</f>
        <v>363353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36608</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36608</v>
      </c>
      <c r="C4202" s="2" t="s">
        <v>594</v>
      </c>
      <c r="D4202" s="2" t="str">
        <f t="shared" si="64"/>
        <v>Error?</v>
      </c>
    </row>
    <row r="4203" spans="1:4" x14ac:dyDescent="0.2">
      <c r="A4203" s="5">
        <v>4142</v>
      </c>
      <c r="B4203" s="138">
        <f>'Expenditures 15-22'!E139</f>
        <v>36608</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3589.5000000000005</v>
      </c>
      <c r="C4265" s="2" t="s">
        <v>594</v>
      </c>
      <c r="D4265" s="2" t="str">
        <f t="shared" si="65"/>
        <v>Error?</v>
      </c>
      <c r="E4265" s="128"/>
    </row>
    <row r="4266" spans="1:5" x14ac:dyDescent="0.2">
      <c r="A4266" s="12">
        <v>4205</v>
      </c>
      <c r="B4266" s="138">
        <f>('FP Info 3'!F10)*100000</f>
        <v>471.3</v>
      </c>
      <c r="C4266" s="2" t="s">
        <v>594</v>
      </c>
      <c r="D4266" s="2" t="str">
        <f t="shared" si="65"/>
        <v>Error?</v>
      </c>
      <c r="E4266" s="128"/>
    </row>
    <row r="4267" spans="1:5" x14ac:dyDescent="0.2">
      <c r="A4267" s="12">
        <v>4206</v>
      </c>
      <c r="B4267" s="138">
        <f>('FP Info 3'!H10)*100000</f>
        <v>238.00000000000003</v>
      </c>
      <c r="C4267" s="2" t="s">
        <v>594</v>
      </c>
      <c r="D4267" s="2" t="str">
        <f t="shared" si="65"/>
        <v>Error?</v>
      </c>
      <c r="E4267" s="128"/>
    </row>
    <row r="4268" spans="1:5" x14ac:dyDescent="0.2">
      <c r="A4268" s="12">
        <v>4207</v>
      </c>
      <c r="B4268" s="138">
        <f>('FP Info 3'!J10)*100000</f>
        <v>4299</v>
      </c>
      <c r="C4268" s="2" t="s">
        <v>594</v>
      </c>
      <c r="D4268" s="2" t="str">
        <f t="shared" si="65"/>
        <v>Error?</v>
      </c>
    </row>
    <row r="4269" spans="1:5" x14ac:dyDescent="0.2">
      <c r="A4269" s="12">
        <v>4208</v>
      </c>
      <c r="B4269" s="138">
        <f>'FP Info 3'!J16</f>
        <v>10189188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27894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7800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11520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102674699</v>
      </c>
      <c r="D4995" s="2" t="str">
        <f t="shared" si="77"/>
        <v>Error?</v>
      </c>
    </row>
    <row r="4996" spans="1:4" x14ac:dyDescent="0.2">
      <c r="A4996" s="12">
        <v>4935</v>
      </c>
      <c r="B4996" s="138">
        <f>'FP Info 3'!H31</f>
        <v>7084554.2310000006</v>
      </c>
      <c r="D4996" s="2" t="str">
        <f t="shared" si="77"/>
        <v>Error?</v>
      </c>
    </row>
    <row r="4997" spans="1:4" x14ac:dyDescent="0.2">
      <c r="A4997" s="12">
        <v>4936</v>
      </c>
      <c r="B4997" s="138">
        <f>'FP Info 3'!H37</f>
        <v>1944121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3492539</v>
      </c>
      <c r="D5061" s="2" t="str">
        <f t="shared" si="78"/>
        <v>Error?</v>
      </c>
    </row>
    <row r="5062" spans="1:4" x14ac:dyDescent="0.2">
      <c r="A5062" s="10">
        <v>5001</v>
      </c>
      <c r="D5062" s="2" t="str">
        <f t="shared" si="78"/>
        <v>OK</v>
      </c>
    </row>
    <row r="5063" spans="1:4" x14ac:dyDescent="0.2">
      <c r="A5063" s="5">
        <v>5002</v>
      </c>
      <c r="B5063" s="138">
        <f>'Revenues 9-14'!C7</f>
        <v>333779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3826318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160691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160691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69390</v>
      </c>
      <c r="D5088" s="2" t="str">
        <f t="shared" si="78"/>
        <v>Error?</v>
      </c>
    </row>
    <row r="5089" spans="1:4" x14ac:dyDescent="0.2">
      <c r="A5089" s="5">
        <v>5028</v>
      </c>
      <c r="B5089" s="138">
        <f>'Revenues 9-14'!C66</f>
        <v>5116</v>
      </c>
      <c r="D5089" s="2" t="str">
        <f t="shared" si="78"/>
        <v>Error?</v>
      </c>
    </row>
    <row r="5090" spans="1:4" x14ac:dyDescent="0.2">
      <c r="A5090" s="5">
        <v>5029</v>
      </c>
      <c r="B5090" s="138">
        <f>'Revenues 9-14'!C67</f>
        <v>74506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51500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51500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61374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12400</v>
      </c>
      <c r="D5119" s="2" t="str">
        <f t="shared" ref="D5119:D5182" si="79">IF(ISBLANK(B5119),"OK",IF(A5119-B5119=0,"OK","Error?"))</f>
        <v>Error?</v>
      </c>
    </row>
    <row r="5120" spans="1:4" x14ac:dyDescent="0.2">
      <c r="A5120" s="5">
        <v>5059</v>
      </c>
      <c r="B5120" s="138">
        <f>'Revenues 9-14'!C108</f>
        <v>717857</v>
      </c>
      <c r="C5120" s="2" t="s">
        <v>594</v>
      </c>
      <c r="D5120" s="2" t="str">
        <f t="shared" si="79"/>
        <v>Error?</v>
      </c>
    </row>
    <row r="5121" spans="1:4" x14ac:dyDescent="0.2">
      <c r="A5121" s="5">
        <v>5060</v>
      </c>
      <c r="B5121" s="138">
        <f>'Revenues 9-14'!C109</f>
        <v>4830890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1066475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1066475</v>
      </c>
      <c r="C5132" s="2" t="s">
        <v>594</v>
      </c>
      <c r="D5132" s="2" t="str">
        <f t="shared" si="79"/>
        <v>Error?</v>
      </c>
    </row>
    <row r="5133" spans="1:4" x14ac:dyDescent="0.2">
      <c r="A5133" s="5">
        <v>5072</v>
      </c>
      <c r="B5133" s="138">
        <f>'Revenues 9-14'!C124</f>
        <v>57112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22975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80087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10372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10372</v>
      </c>
      <c r="C5165" s="2" t="s">
        <v>594</v>
      </c>
      <c r="D5165" s="2" t="str">
        <f t="shared" si="79"/>
        <v>Error?</v>
      </c>
    </row>
    <row r="5166" spans="1:4" x14ac:dyDescent="0.2">
      <c r="A5166" s="10">
        <v>5105</v>
      </c>
      <c r="D5166" s="2" t="str">
        <f t="shared" si="79"/>
        <v>OK</v>
      </c>
    </row>
    <row r="5167" spans="1:4" x14ac:dyDescent="0.2">
      <c r="A5167" s="5">
        <v>5106</v>
      </c>
      <c r="B5167" s="138">
        <f>'Revenues 9-14'!C145</f>
        <v>2830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68190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161479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1227954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166431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73022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264303</v>
      </c>
      <c r="C5246" s="2" t="s">
        <v>594</v>
      </c>
      <c r="D5246" s="2" t="str">
        <f t="shared" si="80"/>
        <v>Error?</v>
      </c>
    </row>
    <row r="5247" spans="1:4" x14ac:dyDescent="0.2">
      <c r="A5247" s="5">
        <v>5186</v>
      </c>
      <c r="B5247" s="138">
        <f>'Revenues 9-14'!C203</f>
        <v>144952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7800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144952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456469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456469</v>
      </c>
      <c r="C5326" s="2" t="s">
        <v>594</v>
      </c>
      <c r="D5326" s="2" t="str">
        <f t="shared" si="82"/>
        <v>Error?</v>
      </c>
    </row>
    <row r="5327" spans="1:4" x14ac:dyDescent="0.2">
      <c r="A5327" s="5">
        <v>5266</v>
      </c>
      <c r="B5327" s="138">
        <f>'Revenues 9-14'!C275</f>
        <v>6515313</v>
      </c>
      <c r="C5327" s="2" t="s">
        <v>594</v>
      </c>
      <c r="D5327" s="2" t="str">
        <f t="shared" si="82"/>
        <v>Error?</v>
      </c>
    </row>
    <row r="5328" spans="1:4" x14ac:dyDescent="0.2">
      <c r="A5328" s="5">
        <v>5267</v>
      </c>
      <c r="B5328" s="138">
        <f>'Revenues 9-14'!D5</f>
        <v>461232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461232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3339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9097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9097</v>
      </c>
      <c r="C5355" s="2" t="s">
        <v>594</v>
      </c>
      <c r="D5355" s="2" t="str">
        <f t="shared" si="82"/>
        <v>Error?</v>
      </c>
    </row>
    <row r="5356" spans="1:4" x14ac:dyDescent="0.2">
      <c r="A5356" s="5">
        <v>5295</v>
      </c>
      <c r="B5356" s="138">
        <f>'Revenues 9-14'!D109</f>
        <v>473668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473668</v>
      </c>
      <c r="C5508" s="2" t="s">
        <v>594</v>
      </c>
      <c r="D5508" s="2" t="str">
        <f t="shared" si="85"/>
        <v>Error?</v>
      </c>
    </row>
    <row r="5509" spans="1:4" x14ac:dyDescent="0.2">
      <c r="A5509" s="5">
        <v>5448</v>
      </c>
      <c r="B5509" s="138">
        <f>'Revenues 9-14'!E5</f>
        <v>422707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422707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424190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424190</v>
      </c>
      <c r="C5552" s="2" t="s">
        <v>594</v>
      </c>
      <c r="D5552" s="2" t="str">
        <f t="shared" si="85"/>
        <v>Error?</v>
      </c>
    </row>
    <row r="5553" spans="1:4" x14ac:dyDescent="0.2">
      <c r="A5553" s="5">
        <v>5492</v>
      </c>
      <c r="B5553" s="138">
        <f>'Revenues 9-14'!F5</f>
        <v>212842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212842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3817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40686</v>
      </c>
      <c r="D5585" s="2" t="str">
        <f t="shared" si="86"/>
        <v>Error?</v>
      </c>
    </row>
    <row r="5586" spans="1:4" x14ac:dyDescent="0.2">
      <c r="A5586" s="5">
        <v>5525</v>
      </c>
      <c r="B5586" s="138">
        <f>'Revenues 9-14'!F107</f>
        <v>67</v>
      </c>
      <c r="D5586" s="2" t="str">
        <f t="shared" si="86"/>
        <v>Error?</v>
      </c>
    </row>
    <row r="5587" spans="1:4" x14ac:dyDescent="0.2">
      <c r="A5587" s="5">
        <v>5526</v>
      </c>
      <c r="B5587" s="138">
        <f>'Revenues 9-14'!F108</f>
        <v>40753</v>
      </c>
      <c r="C5587" s="2" t="s">
        <v>594</v>
      </c>
      <c r="D5587" s="2" t="str">
        <f t="shared" si="86"/>
        <v>Error?</v>
      </c>
    </row>
    <row r="5588" spans="1:4" x14ac:dyDescent="0.2">
      <c r="A5588" s="5">
        <v>5527</v>
      </c>
      <c r="B5588" s="138">
        <f>'Revenues 9-14'!F109</f>
        <v>257412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18715</v>
      </c>
      <c r="D5617" s="2" t="str">
        <f t="shared" si="86"/>
        <v>Error?</v>
      </c>
    </row>
    <row r="5618" spans="1:4" x14ac:dyDescent="0.2">
      <c r="A5618" s="5">
        <v>5557</v>
      </c>
      <c r="B5618" s="138">
        <f>'Revenues 9-14'!F154</f>
        <v>18715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18715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18715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276127</v>
      </c>
      <c r="C5720" s="2" t="s">
        <v>594</v>
      </c>
      <c r="D5720" s="2" t="str">
        <f t="shared" si="88"/>
        <v>Error?</v>
      </c>
    </row>
    <row r="5721" spans="1:4" x14ac:dyDescent="0.2">
      <c r="A5721" s="5">
        <v>5660</v>
      </c>
      <c r="B5721" s="138">
        <f>'Revenues 9-14'!G5</f>
        <v>315840</v>
      </c>
      <c r="D5721" s="2" t="str">
        <f t="shared" si="88"/>
        <v>Error?</v>
      </c>
    </row>
    <row r="5722" spans="1:4" x14ac:dyDescent="0.2">
      <c r="A5722" s="5">
        <v>5661</v>
      </c>
      <c r="B5722" s="138">
        <f>'Revenues 9-14'!G7</f>
        <v>0</v>
      </c>
      <c r="D5722" s="2" t="str">
        <f t="shared" si="88"/>
        <v>Error?</v>
      </c>
    </row>
    <row r="5723" spans="1:4" x14ac:dyDescent="0.2">
      <c r="A5723" s="5">
        <v>5662</v>
      </c>
      <c r="B5723" s="138">
        <f>'Revenues 9-14'!G8</f>
        <v>315840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631680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31563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31563</v>
      </c>
      <c r="C5730" s="2" t="s">
        <v>594</v>
      </c>
      <c r="D5730" s="2" t="str">
        <f t="shared" si="88"/>
        <v>Error?</v>
      </c>
    </row>
    <row r="5731" spans="1:4" x14ac:dyDescent="0.2">
      <c r="A5731" s="5">
        <v>5670</v>
      </c>
      <c r="B5731" s="138">
        <f>'Revenues 9-14'!G65</f>
        <v>4767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4767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668010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1922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1922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1922</v>
      </c>
      <c r="C5915" s="2" t="s">
        <v>594</v>
      </c>
      <c r="D5915" s="2" t="str">
        <f t="shared" si="91"/>
        <v>Error?</v>
      </c>
    </row>
    <row r="5916" spans="1:4" x14ac:dyDescent="0.2">
      <c r="A5916" s="5">
        <v>5855</v>
      </c>
      <c r="B5916" s="138">
        <f>'Revenues 9-14'!I5</f>
        <v>41441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41441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15572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15572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57013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82285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82285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2332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84617</v>
      </c>
      <c r="C6023" s="2" t="s">
        <v>594</v>
      </c>
      <c r="D6023" s="2" t="str">
        <f t="shared" si="93"/>
        <v>Error?</v>
      </c>
    </row>
    <row r="6024" spans="1:5" x14ac:dyDescent="0.2">
      <c r="A6024" s="5">
        <v>5963</v>
      </c>
      <c r="B6024" s="138">
        <f>'Revenues 9-14'!G109</f>
        <v>668010</v>
      </c>
      <c r="C6024" s="2" t="s">
        <v>594</v>
      </c>
      <c r="D6024" s="2" t="str">
        <f t="shared" si="93"/>
        <v>Error?</v>
      </c>
    </row>
    <row r="6025" spans="1:5" x14ac:dyDescent="0.2">
      <c r="A6025" s="5">
        <v>5964</v>
      </c>
      <c r="B6025" s="138">
        <f>'Revenues 9-14'!H109</f>
        <v>1922</v>
      </c>
      <c r="C6025" s="2" t="s">
        <v>594</v>
      </c>
      <c r="D6025" s="2" t="str">
        <f t="shared" si="93"/>
        <v>Error?</v>
      </c>
    </row>
    <row r="6026" spans="1:5" x14ac:dyDescent="0.2">
      <c r="A6026" s="5">
        <v>5965</v>
      </c>
      <c r="B6026" s="138">
        <f>'Revenues 9-14'!I109</f>
        <v>57013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84617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18185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354.89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14588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4684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19853</v>
      </c>
      <c r="D6099" s="2" t="str">
        <f t="shared" si="94"/>
        <v>Error?</v>
      </c>
      <c r="E6099" s="2" t="s">
        <v>199</v>
      </c>
    </row>
    <row r="6100" spans="1:5" x14ac:dyDescent="0.2">
      <c r="A6100">
        <v>6039</v>
      </c>
      <c r="B6100" s="138">
        <f>'Assets-Liab 5-6'!D9</f>
        <v>1024</v>
      </c>
      <c r="D6100" s="2" t="str">
        <f t="shared" si="94"/>
        <v>Error?</v>
      </c>
      <c r="E6100" s="2" t="s">
        <v>199</v>
      </c>
    </row>
    <row r="6101" spans="1:5" x14ac:dyDescent="0.2">
      <c r="A6101">
        <v>6040</v>
      </c>
      <c r="B6101" s="138">
        <f>'Assets-Liab 5-6'!E9</f>
        <v>409</v>
      </c>
      <c r="D6101" s="2" t="str">
        <f t="shared" si="94"/>
        <v>Error?</v>
      </c>
      <c r="E6101" s="2" t="s">
        <v>199</v>
      </c>
    </row>
    <row r="6102" spans="1:5" x14ac:dyDescent="0.2">
      <c r="A6102">
        <v>6041</v>
      </c>
      <c r="B6102" s="138">
        <f>'Assets-Liab 5-6'!F9</f>
        <v>1336</v>
      </c>
      <c r="D6102" s="2" t="str">
        <f t="shared" si="94"/>
        <v>Error?</v>
      </c>
      <c r="E6102" s="2" t="s">
        <v>199</v>
      </c>
    </row>
    <row r="6103" spans="1:5" x14ac:dyDescent="0.2">
      <c r="A6103">
        <f>A6102+1</f>
        <v>6042</v>
      </c>
      <c r="B6103" s="138">
        <f>'Assets-Liab 5-6'!G9</f>
        <v>1204</v>
      </c>
      <c r="D6103" s="2" t="str">
        <f t="shared" si="94"/>
        <v>Error?</v>
      </c>
      <c r="E6103" s="2" t="s">
        <v>199</v>
      </c>
    </row>
    <row r="6104" spans="1:5" x14ac:dyDescent="0.2">
      <c r="A6104">
        <v>6043</v>
      </c>
      <c r="B6104" s="138">
        <f>'Assets-Liab 5-6'!H9</f>
        <v>508</v>
      </c>
      <c r="D6104" s="2" t="str">
        <f t="shared" si="94"/>
        <v>Error?</v>
      </c>
      <c r="E6104" s="2" t="s">
        <v>199</v>
      </c>
    </row>
    <row r="6105" spans="1:5" x14ac:dyDescent="0.2">
      <c r="A6105">
        <v>6044</v>
      </c>
      <c r="B6105" s="138">
        <f>'Assets-Liab 5-6'!I9</f>
        <v>4651</v>
      </c>
      <c r="D6105" s="2" t="str">
        <f t="shared" si="94"/>
        <v>Error?</v>
      </c>
      <c r="E6105" s="2" t="s">
        <v>199</v>
      </c>
    </row>
    <row r="6106" spans="1:5" x14ac:dyDescent="0.2">
      <c r="A6106">
        <v>6045</v>
      </c>
      <c r="B6106" s="138">
        <f>'Assets-Liab 5-6'!J9</f>
        <v>534</v>
      </c>
      <c r="D6106" s="2" t="str">
        <f t="shared" si="94"/>
        <v>Error?</v>
      </c>
      <c r="E6106" s="2" t="s">
        <v>199</v>
      </c>
    </row>
    <row r="6107" spans="1:5" x14ac:dyDescent="0.2">
      <c r="A6107">
        <v>6046</v>
      </c>
      <c r="B6107" s="138">
        <f>'Assets-Liab 5-6'!K9</f>
        <v>640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27412</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499050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176304</v>
      </c>
      <c r="D6142" s="2" t="str">
        <f t="shared" si="94"/>
        <v>Error?</v>
      </c>
      <c r="E6142" s="2" t="s">
        <v>199</v>
      </c>
    </row>
    <row r="6143" spans="1:5" x14ac:dyDescent="0.2">
      <c r="A6143">
        <v>6082</v>
      </c>
      <c r="B6143" s="138">
        <f>'Assets-Liab 5-6'!D27</f>
        <v>43356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16032</v>
      </c>
      <c r="D6145" s="2" t="str">
        <f t="shared" si="95"/>
        <v>Error?</v>
      </c>
      <c r="E6145" s="2" t="s">
        <v>199</v>
      </c>
    </row>
    <row r="6146" spans="1:5" x14ac:dyDescent="0.2">
      <c r="A6146">
        <v>6085</v>
      </c>
      <c r="B6146" s="138">
        <f>'Assets-Liab 5-6'!G27</f>
        <v>-344</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6441</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4097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20058</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26499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472551</v>
      </c>
      <c r="D6215" s="2" t="str">
        <f t="shared" si="96"/>
        <v>Error?</v>
      </c>
      <c r="E6215" s="2" t="s">
        <v>199</v>
      </c>
    </row>
    <row r="6216" spans="1:5" x14ac:dyDescent="0.2">
      <c r="A6216">
        <v>6155</v>
      </c>
      <c r="B6216" s="138">
        <f>'Assets-Liab 5-6'!J41</f>
        <v>499050</v>
      </c>
      <c r="D6216" s="2" t="str">
        <f t="shared" si="96"/>
        <v>Error?</v>
      </c>
      <c r="E6216" s="2" t="s">
        <v>199</v>
      </c>
    </row>
    <row r="6217" spans="1:5" x14ac:dyDescent="0.2">
      <c r="A6217">
        <v>6156</v>
      </c>
      <c r="B6217" s="138">
        <f>'Assets-Liab 5-6'!J4</f>
        <v>275620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195484</v>
      </c>
      <c r="D6219" s="2" t="str">
        <f t="shared" si="96"/>
        <v>Error?</v>
      </c>
      <c r="E6219" s="2" t="s">
        <v>199</v>
      </c>
    </row>
    <row r="6220" spans="1:5" x14ac:dyDescent="0.2">
      <c r="A6220">
        <v>6159</v>
      </c>
      <c r="B6220" s="138">
        <f>'Acct Summary 7-8'!J4</f>
        <v>402048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402048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402048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215397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215397</v>
      </c>
      <c r="D6229" s="2" t="str">
        <f t="shared" si="96"/>
        <v>Error?</v>
      </c>
      <c r="E6229" s="2" t="s">
        <v>199</v>
      </c>
    </row>
    <row r="6230" spans="1:5" x14ac:dyDescent="0.2">
      <c r="A6230">
        <v>6169</v>
      </c>
      <c r="B6230" s="138">
        <f>'Acct Summary 7-8'!J20</f>
        <v>186651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186651</v>
      </c>
      <c r="D6263" s="2" t="str">
        <f t="shared" si="96"/>
        <v>Error?</v>
      </c>
      <c r="E6263" s="2" t="s">
        <v>199</v>
      </c>
    </row>
    <row r="6264" spans="1:5" x14ac:dyDescent="0.2">
      <c r="A6264">
        <v>6203</v>
      </c>
      <c r="B6264" s="138">
        <f>'Acct Summary 7-8'!J79</f>
        <v>285900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472551</v>
      </c>
      <c r="D6266" s="2" t="str">
        <f t="shared" si="96"/>
        <v>Error?</v>
      </c>
      <c r="E6266" s="2" t="s">
        <v>199</v>
      </c>
    </row>
    <row r="6267" spans="1:5" x14ac:dyDescent="0.2">
      <c r="A6267">
        <v>6206</v>
      </c>
      <c r="B6267" s="138">
        <f>'Acct Summary 7-8'!C82</f>
        <v>423758</v>
      </c>
      <c r="D6267" s="2" t="str">
        <f t="shared" si="96"/>
        <v>Error?</v>
      </c>
      <c r="E6267" s="2" t="s">
        <v>199</v>
      </c>
    </row>
    <row r="6268" spans="1:5" x14ac:dyDescent="0.2">
      <c r="A6268">
        <v>6207</v>
      </c>
      <c r="B6268" s="138">
        <f>'Acct Summary 7-8'!D82</f>
        <v>-271432</v>
      </c>
      <c r="D6268" s="2" t="str">
        <f t="shared" si="96"/>
        <v>Error?</v>
      </c>
      <c r="E6268" s="2" t="s">
        <v>199</v>
      </c>
    </row>
    <row r="6269" spans="1:5" x14ac:dyDescent="0.2">
      <c r="A6269">
        <v>6208</v>
      </c>
      <c r="B6269" s="138">
        <f>'Acct Summary 7-8'!E82</f>
        <v>4751</v>
      </c>
      <c r="D6269" s="2" t="str">
        <f t="shared" si="96"/>
        <v>Error?</v>
      </c>
      <c r="E6269" s="2" t="s">
        <v>199</v>
      </c>
    </row>
    <row r="6270" spans="1:5" x14ac:dyDescent="0.2">
      <c r="A6270">
        <v>6209</v>
      </c>
      <c r="B6270" s="138">
        <f>'Acct Summary 7-8'!F82</f>
        <v>60625</v>
      </c>
      <c r="D6270" s="2" t="str">
        <f t="shared" si="96"/>
        <v>Error?</v>
      </c>
      <c r="E6270" s="2" t="s">
        <v>199</v>
      </c>
    </row>
    <row r="6271" spans="1:5" x14ac:dyDescent="0.2">
      <c r="A6271">
        <v>6210</v>
      </c>
      <c r="B6271" s="138">
        <f>'Acct Summary 7-8'!G82</f>
        <v>488800</v>
      </c>
      <c r="D6271" s="2" t="str">
        <f t="shared" ref="D6271:D6334" si="97">IF(ISBLANK(B6271),"OK",IF(A6271-B6271=0,"OK","Error?"))</f>
        <v>Error?</v>
      </c>
      <c r="E6271" s="2" t="s">
        <v>199</v>
      </c>
    </row>
    <row r="6272" spans="1:5" x14ac:dyDescent="0.2">
      <c r="A6272">
        <v>6211</v>
      </c>
      <c r="B6272" s="138">
        <f>'Acct Summary 7-8'!H82</f>
        <v>152057</v>
      </c>
      <c r="D6272" s="2" t="str">
        <f t="shared" si="97"/>
        <v>Error?</v>
      </c>
      <c r="E6272" s="2" t="s">
        <v>199</v>
      </c>
    </row>
    <row r="6273" spans="1:5" x14ac:dyDescent="0.2">
      <c r="A6273">
        <v>6212</v>
      </c>
      <c r="B6273" s="138">
        <f>'Acct Summary 7-8'!I82</f>
        <v>-454987</v>
      </c>
      <c r="D6273" s="2" t="str">
        <f t="shared" si="97"/>
        <v>Error?</v>
      </c>
      <c r="E6273" s="2" t="s">
        <v>199</v>
      </c>
    </row>
    <row r="6274" spans="1:5" x14ac:dyDescent="0.2">
      <c r="A6274">
        <v>6213</v>
      </c>
      <c r="B6274" s="138">
        <f>'Acct Summary 7-8'!J82</f>
        <v>186651</v>
      </c>
      <c r="D6274" s="2" t="str">
        <f t="shared" si="97"/>
        <v>Error?</v>
      </c>
      <c r="E6274" s="2" t="s">
        <v>199</v>
      </c>
    </row>
    <row r="6275" spans="1:5" x14ac:dyDescent="0.2">
      <c r="A6275">
        <v>6214</v>
      </c>
      <c r="B6275" s="138">
        <f>'Acct Summary 7-8'!K82</f>
        <v>84617</v>
      </c>
      <c r="D6275" s="2" t="str">
        <f t="shared" si="97"/>
        <v>Error?</v>
      </c>
      <c r="E6275" s="2" t="s">
        <v>199</v>
      </c>
    </row>
    <row r="6276" spans="1:5" x14ac:dyDescent="0.2">
      <c r="A6276">
        <v>6215</v>
      </c>
      <c r="B6276" s="138">
        <f>'Acct Summary 7-8'!C83</f>
        <v>5.2445991549640573E-2</v>
      </c>
      <c r="D6276" s="2" t="str">
        <f t="shared" si="97"/>
        <v>Error?</v>
      </c>
      <c r="E6276" s="2" t="s">
        <v>199</v>
      </c>
    </row>
    <row r="6277" spans="1:5" x14ac:dyDescent="0.2">
      <c r="A6277">
        <v>6216</v>
      </c>
      <c r="B6277" s="138">
        <f>'Acct Summary 7-8'!D83</f>
        <v>-0.95771586642955941</v>
      </c>
      <c r="D6277" s="2" t="str">
        <f t="shared" si="97"/>
        <v>Error?</v>
      </c>
      <c r="E6277" s="2" t="s">
        <v>199</v>
      </c>
    </row>
    <row r="6278" spans="1:5" x14ac:dyDescent="0.2">
      <c r="A6278">
        <v>6217</v>
      </c>
      <c r="B6278" s="138">
        <f>'Acct Summary 7-8'!E83</f>
        <v>1.9574881854401774E-2</v>
      </c>
      <c r="D6278" s="2" t="str">
        <f t="shared" si="97"/>
        <v>Error?</v>
      </c>
      <c r="E6278" s="2" t="s">
        <v>199</v>
      </c>
    </row>
    <row r="6279" spans="1:5" x14ac:dyDescent="0.2">
      <c r="A6279">
        <v>6218</v>
      </c>
      <c r="B6279" s="138">
        <f>'Acct Summary 7-8'!F83</f>
        <v>0.15183238205911007</v>
      </c>
      <c r="D6279" s="2" t="str">
        <f t="shared" si="97"/>
        <v>Error?</v>
      </c>
      <c r="E6279" s="2" t="s">
        <v>199</v>
      </c>
    </row>
    <row r="6280" spans="1:5" x14ac:dyDescent="0.2">
      <c r="A6280">
        <v>6219</v>
      </c>
      <c r="B6280" s="138">
        <f>'Acct Summary 7-8'!G83</f>
        <v>0.49859082809122746</v>
      </c>
      <c r="D6280" s="2" t="str">
        <f t="shared" si="97"/>
        <v>Error?</v>
      </c>
      <c r="E6280" s="2" t="s">
        <v>199</v>
      </c>
    </row>
    <row r="6281" spans="1:5" x14ac:dyDescent="0.2">
      <c r="A6281">
        <v>6220</v>
      </c>
      <c r="B6281" s="138">
        <f>'Acct Summary 7-8'!H83</f>
        <v>0.71929932449052958</v>
      </c>
      <c r="D6281" s="2" t="str">
        <f t="shared" si="97"/>
        <v>Error?</v>
      </c>
      <c r="E6281" s="2" t="s">
        <v>199</v>
      </c>
    </row>
    <row r="6282" spans="1:5" x14ac:dyDescent="0.2">
      <c r="A6282">
        <v>6221</v>
      </c>
      <c r="B6282" s="138">
        <f>'Acct Summary 7-8'!I83</f>
        <v>-0.31893326043221948</v>
      </c>
      <c r="D6282" s="2" t="str">
        <f t="shared" si="97"/>
        <v>Error?</v>
      </c>
      <c r="E6282" s="2" t="s">
        <v>199</v>
      </c>
    </row>
    <row r="6283" spans="1:5" x14ac:dyDescent="0.2">
      <c r="A6283">
        <v>6222</v>
      </c>
      <c r="B6283" s="138">
        <f>'Acct Summary 7-8'!J83</f>
        <v>0.39498593802573689</v>
      </c>
      <c r="D6283" s="2" t="str">
        <f t="shared" si="97"/>
        <v>Error?</v>
      </c>
      <c r="E6283" s="2" t="s">
        <v>199</v>
      </c>
    </row>
    <row r="6284" spans="1:5" x14ac:dyDescent="0.2">
      <c r="A6284">
        <v>6223</v>
      </c>
      <c r="B6284" s="138">
        <f>'Acct Summary 7-8'!K83</f>
        <v>0.27711478631079089</v>
      </c>
      <c r="D6284" s="2" t="str">
        <f t="shared" si="97"/>
        <v>Error?</v>
      </c>
      <c r="E6284" s="2" t="s">
        <v>199</v>
      </c>
    </row>
    <row r="6285" spans="1:5" x14ac:dyDescent="0.2">
      <c r="A6285">
        <v>6224</v>
      </c>
      <c r="B6285" s="138">
        <f>'Acct Summary 7-8'!E37</f>
        <v>28353</v>
      </c>
      <c r="D6285" s="2" t="str">
        <f t="shared" si="97"/>
        <v>Error?</v>
      </c>
      <c r="E6285" s="2" t="s">
        <v>199</v>
      </c>
    </row>
    <row r="6286" spans="1:5" x14ac:dyDescent="0.2">
      <c r="A6286">
        <v>6225</v>
      </c>
      <c r="B6286" s="138">
        <f>'Acct Summary 7-8'!E38</f>
        <v>4070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399999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399999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2049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2049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642562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402048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244950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331528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15067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15067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15067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15067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215397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402048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10280</v>
      </c>
      <c r="D7073" s="2" t="str">
        <f t="shared" si="109"/>
        <v>Error?</v>
      </c>
    </row>
    <row r="7074" spans="1:4" x14ac:dyDescent="0.2">
      <c r="A7074">
        <v>7013</v>
      </c>
      <c r="B7074" s="138">
        <f>'Expenditures 15-22'!K216</f>
        <v>10280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15002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15002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14835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14835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54579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54579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130981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130981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215397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215397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215397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215397</v>
      </c>
      <c r="D7224" s="2" t="str">
        <f t="shared" si="111"/>
        <v>Error?</v>
      </c>
    </row>
    <row r="7225" spans="1:4" x14ac:dyDescent="0.2">
      <c r="A7225">
        <v>7164</v>
      </c>
      <c r="B7225" s="138">
        <f>'Expenditures 15-22'!K343</f>
        <v>186651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36626</v>
      </c>
      <c r="D7246" s="2" t="str">
        <f t="shared" si="112"/>
        <v>Error?</v>
      </c>
    </row>
    <row r="7247" spans="1:4" x14ac:dyDescent="0.2">
      <c r="A7247">
        <f t="shared" si="113"/>
        <v>7186</v>
      </c>
      <c r="B7247" s="138">
        <f>'Expenditures 15-22'!E7</f>
        <v>14111</v>
      </c>
      <c r="D7247" s="2" t="str">
        <f t="shared" si="112"/>
        <v>Error?</v>
      </c>
    </row>
    <row r="7248" spans="1:4" x14ac:dyDescent="0.2">
      <c r="A7248">
        <f t="shared" si="113"/>
        <v>7187</v>
      </c>
      <c r="B7248" s="138">
        <f>'Expenditures 15-22'!F7</f>
        <v>35841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15067</v>
      </c>
      <c r="D7624" s="2" t="str">
        <f t="shared" si="124"/>
        <v>Error?</v>
      </c>
      <c r="E7624" s="2" t="s">
        <v>19</v>
      </c>
    </row>
    <row r="7625" spans="1:5" x14ac:dyDescent="0.2">
      <c r="A7625">
        <f t="shared" si="123"/>
        <v>7564</v>
      </c>
      <c r="B7625" s="138">
        <f>'Cap Outlay Deprec 26'!I17</f>
        <v>1506.7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385387.7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28353</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4070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24850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333779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512000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18694</v>
      </c>
      <c r="D7759" s="2" t="str">
        <f t="shared" si="127"/>
        <v>Error?</v>
      </c>
      <c r="E7759" s="4" t="s">
        <v>1400</v>
      </c>
    </row>
    <row r="7760" spans="1:6" x14ac:dyDescent="0.2">
      <c r="A7760">
        <v>7699</v>
      </c>
      <c r="B7760" s="138">
        <f>'Aud Quest 2'!J90</f>
        <v>18695</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774508</v>
      </c>
      <c r="D7797" s="2" t="str">
        <f t="shared" si="127"/>
        <v>Error?</v>
      </c>
      <c r="E7797" s="4" t="s">
        <v>2019</v>
      </c>
    </row>
    <row r="7798" spans="1:5" x14ac:dyDescent="0.2">
      <c r="A7798">
        <v>7737</v>
      </c>
      <c r="B7798" s="138">
        <f>'Contracts Paid in CY 29'!F141</f>
        <v>249171</v>
      </c>
      <c r="D7798" s="2" t="str">
        <f t="shared" si="127"/>
        <v>Error?</v>
      </c>
      <c r="E7798" s="4" t="s">
        <v>2019</v>
      </c>
    </row>
    <row r="7799" spans="1:5" x14ac:dyDescent="0.2">
      <c r="A7799">
        <v>7738</v>
      </c>
      <c r="B7799" s="138">
        <f>'Contracts Paid in CY 29'!G141</f>
        <v>525337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Lindop SD 92</v>
      </c>
      <c r="B7" s="2421"/>
      <c r="C7" s="2421"/>
      <c r="D7" s="2422"/>
      <c r="E7" s="2423">
        <f>COVER!A13</f>
        <v>6016092002</v>
      </c>
      <c r="F7" s="2424"/>
      <c r="G7" s="2430" t="str">
        <f>COVER!T23</f>
        <v>090-003973</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Evans, Marshall and Pease, P.C.</v>
      </c>
      <c r="H9" s="2436"/>
      <c r="I9" s="2436"/>
      <c r="J9" s="2436"/>
      <c r="K9" s="2436"/>
      <c r="L9" s="2437"/>
    </row>
    <row r="10" spans="1:29" ht="13.5" customHeight="1" x14ac:dyDescent="0.2">
      <c r="A10" s="2410">
        <f>COVER!A38</f>
        <v>0</v>
      </c>
      <c r="B10" s="2411"/>
      <c r="C10" s="2411"/>
      <c r="D10" s="2411"/>
      <c r="E10" s="2411"/>
      <c r="F10" s="2412"/>
      <c r="G10" s="2404" t="str">
        <f>COVER!T17</f>
        <v>1875 Hicks Road</v>
      </c>
      <c r="H10" s="2405"/>
      <c r="I10" s="2405"/>
      <c r="J10" s="2405"/>
      <c r="K10" s="2405"/>
      <c r="L10" s="2406"/>
    </row>
    <row r="11" spans="1:29" ht="13.5" customHeight="1" x14ac:dyDescent="0.2">
      <c r="A11" s="1185" t="s">
        <v>1599</v>
      </c>
      <c r="B11" s="1186"/>
      <c r="C11" s="1187"/>
      <c r="D11" s="1192"/>
      <c r="E11" s="1187"/>
      <c r="F11" s="1191"/>
      <c r="G11" s="2404" t="str">
        <f>COVER!T19</f>
        <v>Rolling Meadows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Jeff@empcpa.com</v>
      </c>
      <c r="J13" s="2417"/>
      <c r="K13" s="2417"/>
      <c r="L13" s="2418"/>
    </row>
    <row r="14" spans="1:29" ht="13.5" customHeight="1" x14ac:dyDescent="0.2">
      <c r="A14" s="2404" t="str">
        <f>COVER!A19</f>
        <v>2400 South 18th Avenue</v>
      </c>
      <c r="B14" s="2405"/>
      <c r="C14" s="2405"/>
      <c r="D14" s="2405"/>
      <c r="E14" s="2405"/>
      <c r="F14" s="2406"/>
      <c r="G14" s="1196" t="s">
        <v>1247</v>
      </c>
      <c r="H14" s="1194"/>
      <c r="I14" s="1194"/>
      <c r="J14" s="1194"/>
      <c r="K14" s="1194"/>
      <c r="L14" s="1195"/>
    </row>
    <row r="15" spans="1:29" ht="13.5" customHeight="1" x14ac:dyDescent="0.2">
      <c r="A15" s="2404" t="str">
        <f>COVER!A21</f>
        <v>Broadview</v>
      </c>
      <c r="B15" s="2405"/>
      <c r="C15" s="2405"/>
      <c r="D15" s="2405"/>
      <c r="E15" s="2405"/>
      <c r="F15" s="2406"/>
      <c r="G15" s="2401" t="str">
        <f>COVER!T15</f>
        <v>Jeffery M. Rollefson, CPA</v>
      </c>
      <c r="H15" s="2402"/>
      <c r="I15" s="2402"/>
      <c r="J15" s="2402"/>
      <c r="K15" s="2402"/>
      <c r="L15" s="2403"/>
    </row>
    <row r="16" spans="1:29" ht="12.2" customHeight="1" x14ac:dyDescent="0.2">
      <c r="A16" s="2426">
        <f>COVER!A25</f>
        <v>60153</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847-221-5700</v>
      </c>
      <c r="H18" s="2421"/>
      <c r="I18" s="2421"/>
      <c r="J18" s="2421"/>
      <c r="K18" s="2420" t="str">
        <f>COVER!X21</f>
        <v>847-221-5701</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Lindop SD 92</v>
      </c>
      <c r="B1" s="2419"/>
      <c r="C1" s="2419"/>
      <c r="D1" s="2419"/>
    </row>
    <row r="2" spans="1:11" s="1215" customFormat="1" ht="12.75" x14ac:dyDescent="0.2">
      <c r="A2" s="2443">
        <f>'Single Audit Cover'!E7</f>
        <v>6016092002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Lindop SD 92</v>
      </c>
      <c r="B1" s="2446"/>
      <c r="C1" s="2446"/>
      <c r="D1" s="2446"/>
      <c r="E1" s="2446"/>
    </row>
    <row r="2" spans="1:5" x14ac:dyDescent="0.2">
      <c r="A2" s="2447">
        <f>'Single Audit Cover'!E7</f>
        <v>6016092002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456469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18185</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474654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474654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474654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Lindop SD 92</v>
      </c>
      <c r="B1" s="2459"/>
      <c r="C1" s="2459"/>
      <c r="D1" s="2459"/>
      <c r="E1" s="2459"/>
      <c r="F1" s="2459"/>
    </row>
    <row r="2" spans="1:7" ht="13.5" customHeight="1" x14ac:dyDescent="0.2">
      <c r="A2" s="2460">
        <f>'Single Audit Cover'!E7</f>
        <v>6016092002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Lindop SD 92</v>
      </c>
      <c r="C1" s="2463"/>
      <c r="D1" s="2463"/>
      <c r="E1" s="2463"/>
      <c r="F1" s="2463"/>
      <c r="G1" s="2463"/>
      <c r="H1" s="2463"/>
      <c r="I1" s="2463"/>
      <c r="J1" s="2463"/>
      <c r="K1" s="2463"/>
      <c r="L1" s="2463"/>
      <c r="M1" s="2463"/>
    </row>
    <row r="2" spans="2:14" ht="15" x14ac:dyDescent="0.2">
      <c r="B2" s="2460">
        <f>'Single Audit Cover'!E7</f>
        <v>6016092002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v>4684</v>
      </c>
      <c r="H88" s="276">
        <v>14010</v>
      </c>
      <c r="I88" s="276"/>
      <c r="J88" s="277">
        <f>SUM(E88:I88)</f>
        <v>18694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18695</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2081</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Lindop SD 92</v>
      </c>
      <c r="C1" s="2478"/>
      <c r="D1" s="2478"/>
      <c r="E1" s="2478"/>
      <c r="F1" s="2478"/>
      <c r="G1" s="2478"/>
      <c r="H1" s="2478"/>
      <c r="I1" s="2478"/>
      <c r="J1" s="1422"/>
    </row>
    <row r="2" spans="2:10" s="317" customFormat="1" ht="12.75" customHeight="1" x14ac:dyDescent="0.2">
      <c r="B2" s="2479">
        <f>'Single Audit Cover'!E7</f>
        <v>6016092002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Lindop SD 92</v>
      </c>
      <c r="C1" s="2477"/>
      <c r="D1" s="2477"/>
      <c r="E1" s="2477"/>
      <c r="F1" s="2477"/>
      <c r="G1" s="2477"/>
      <c r="H1" s="2477"/>
      <c r="I1" s="2477"/>
      <c r="J1" s="2477"/>
      <c r="K1" s="2477"/>
      <c r="L1" s="1374"/>
      <c r="M1" s="1374"/>
    </row>
    <row r="2" spans="1:13" ht="12" customHeight="1" x14ac:dyDescent="0.2">
      <c r="B2" s="2479">
        <f>'Single Audit Cover'!E7</f>
        <v>6016092002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Lindop SD 92</v>
      </c>
      <c r="C1" s="2500"/>
      <c r="D1" s="2500"/>
      <c r="E1" s="2500"/>
      <c r="F1" s="2500"/>
      <c r="G1" s="2500"/>
      <c r="H1" s="2500"/>
      <c r="I1" s="2500"/>
      <c r="J1" s="2500"/>
      <c r="K1" s="2500"/>
      <c r="L1" s="1465"/>
    </row>
    <row r="2" spans="1:12" ht="12.75" customHeight="1" x14ac:dyDescent="0.2">
      <c r="B2" s="2501">
        <f>'Single Audit Cover'!E7</f>
        <v>6016092002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Lindop SD 92</v>
      </c>
      <c r="C1" s="2477"/>
      <c r="D1" s="2477"/>
      <c r="E1" s="1491"/>
    </row>
    <row r="2" spans="2:5" s="1282" customFormat="1" ht="12.75" customHeight="1" x14ac:dyDescent="0.2">
      <c r="B2" s="2479">
        <f>'Single Audit Cover'!E7</f>
        <v>6016092002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102674699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3.5895000000000003E-2</v>
      </c>
      <c r="E10" s="356" t="s">
        <v>1062</v>
      </c>
      <c r="F10" s="355">
        <v>4.7130000000000002E-3</v>
      </c>
      <c r="G10" s="356" t="s">
        <v>1062</v>
      </c>
      <c r="H10" s="355">
        <v>2.3800000000000002E-3</v>
      </c>
      <c r="I10" s="356" t="s">
        <v>1063</v>
      </c>
      <c r="J10" s="1754">
        <f>ROUND(D10+F10+H10,5)</f>
        <v>4.299E-2</v>
      </c>
      <c r="K10" s="222"/>
      <c r="L10" s="355">
        <v>4.2400000000000001E-4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7322121</v>
      </c>
      <c r="E16" s="356"/>
      <c r="F16" s="1755">
        <f>SUM('Acct Summary 7-8'!C17,'Acct Summary 7-8'!D17,'Acct Summary 7-8'!F17)</f>
        <v>7078744</v>
      </c>
      <c r="G16" s="356"/>
      <c r="H16" s="1755">
        <f>SUM(D16-F16)</f>
        <v>243377</v>
      </c>
      <c r="I16" s="222"/>
      <c r="J16" s="1755">
        <f>SUM('Acct Summary 7-8'!C81,'Acct Summary 7-8'!D81,'Acct Summary 7-8'!F81,'Acct Summary 7-8'!I81)</f>
        <v>10189188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7084554.2310000006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1944121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68" sqref="D6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Lindop SD 92</v>
      </c>
      <c r="E7" s="391"/>
      <c r="G7" s="252"/>
      <c r="H7" s="387"/>
      <c r="I7" s="387"/>
      <c r="J7" s="387"/>
      <c r="K7" s="387"/>
      <c r="L7" s="329"/>
      <c r="M7" s="329"/>
      <c r="N7" s="329"/>
      <c r="O7" s="329"/>
      <c r="P7" s="329"/>
    </row>
    <row r="8" spans="1:18" ht="12.75" x14ac:dyDescent="0.2">
      <c r="A8" s="329"/>
      <c r="B8" s="329"/>
      <c r="C8" s="389" t="s">
        <v>1187</v>
      </c>
      <c r="D8" s="392">
        <f>COVER!A13</f>
        <v>6016092002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10189188</v>
      </c>
      <c r="I12" s="404"/>
      <c r="J12" s="404"/>
      <c r="K12" s="405">
        <f>TRUNC((H12/H13*100000),5)/100000</f>
        <v>1.3977517311999998</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7289698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-32423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7078744</v>
      </c>
      <c r="I17" s="404"/>
      <c r="J17" s="416"/>
      <c r="K17" s="405">
        <f>TRUNC((H17/H18*100000),5)/100000</f>
        <v>0.97106135259999993</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7289698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-32423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8302990</v>
      </c>
      <c r="I24" s="422"/>
      <c r="J24" s="422"/>
      <c r="K24" s="423">
        <f>TRUNC(((H24/H25*100000)/100000),2)</f>
        <v>422.26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19663.177780000002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3751887.51351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1944121</v>
      </c>
      <c r="I32" s="420"/>
      <c r="J32" s="420"/>
      <c r="K32" s="423">
        <f>TRUNC(100-((((H32/H33*100))*100)/100),2)</f>
        <v>72.55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7084554.2310000006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D68" sqref="D68"/>
      <selection pane="bottomLeft" activeCell="D68" sqref="D6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6474790</v>
      </c>
      <c r="D4" s="466">
        <v>119540</v>
      </c>
      <c r="E4" s="466">
        <v>53254</v>
      </c>
      <c r="F4" s="466">
        <v>305244</v>
      </c>
      <c r="G4" s="466">
        <v>703145</v>
      </c>
      <c r="H4" s="466">
        <v>210888</v>
      </c>
      <c r="I4" s="466">
        <v>1403416</v>
      </c>
      <c r="J4" s="467">
        <v>275620</v>
      </c>
      <c r="K4" s="466">
        <v>267936</v>
      </c>
      <c r="L4" s="466">
        <v>23753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f>1914866+32757</f>
        <v>1947623</v>
      </c>
      <c r="D6" s="466">
        <v>229721</v>
      </c>
      <c r="E6" s="466">
        <v>210549</v>
      </c>
      <c r="F6" s="466">
        <v>116096</v>
      </c>
      <c r="G6" s="471">
        <v>307246</v>
      </c>
      <c r="H6" s="471"/>
      <c r="I6" s="466">
        <v>20701</v>
      </c>
      <c r="J6" s="474">
        <v>195484</v>
      </c>
      <c r="K6" s="471">
        <v>41019</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14588</v>
      </c>
      <c r="D8" s="467"/>
      <c r="E8" s="467"/>
      <c r="F8" s="467">
        <v>4684</v>
      </c>
      <c r="G8" s="478"/>
      <c r="H8" s="467"/>
      <c r="I8" s="474"/>
      <c r="J8" s="474"/>
      <c r="K8" s="479"/>
      <c r="L8" s="480"/>
      <c r="M8" s="468"/>
      <c r="N8" s="469"/>
    </row>
    <row r="9" spans="1:14" ht="13.5" customHeight="1" x14ac:dyDescent="0.2">
      <c r="A9" s="473" t="s">
        <v>288</v>
      </c>
      <c r="B9" s="470">
        <v>160</v>
      </c>
      <c r="C9" s="476">
        <v>19853</v>
      </c>
      <c r="D9" s="467">
        <v>1024</v>
      </c>
      <c r="E9" s="467">
        <v>409</v>
      </c>
      <c r="F9" s="467">
        <v>1336</v>
      </c>
      <c r="G9" s="467">
        <v>1204</v>
      </c>
      <c r="H9" s="478">
        <v>508</v>
      </c>
      <c r="I9" s="467">
        <v>4651</v>
      </c>
      <c r="J9" s="467">
        <v>534</v>
      </c>
      <c r="K9" s="467">
        <v>640</v>
      </c>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27412</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8456854</v>
      </c>
      <c r="D13" s="1759">
        <f t="shared" ref="D13:L13" si="0">SUM(D4:D12)</f>
        <v>350285</v>
      </c>
      <c r="E13" s="1759">
        <f t="shared" si="0"/>
        <v>264212</v>
      </c>
      <c r="F13" s="1759">
        <f t="shared" si="0"/>
        <v>427360</v>
      </c>
      <c r="G13" s="1759">
        <f t="shared" si="0"/>
        <v>1011595</v>
      </c>
      <c r="H13" s="1759">
        <f t="shared" si="0"/>
        <v>211396</v>
      </c>
      <c r="I13" s="1759">
        <f t="shared" si="0"/>
        <v>1428768</v>
      </c>
      <c r="J13" s="1759">
        <f t="shared" si="0"/>
        <v>499050</v>
      </c>
      <c r="K13" s="1759">
        <f t="shared" si="0"/>
        <v>309595</v>
      </c>
      <c r="L13" s="1759">
        <f t="shared" si="0"/>
        <v>23753</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314014</v>
      </c>
      <c r="N16" s="484"/>
    </row>
    <row r="17" spans="1:14" s="485" customFormat="1" ht="12.75" customHeight="1" x14ac:dyDescent="0.2">
      <c r="A17" s="482" t="s">
        <v>1470</v>
      </c>
      <c r="B17" s="483">
        <v>230</v>
      </c>
      <c r="C17" s="477"/>
      <c r="D17" s="477"/>
      <c r="E17" s="477"/>
      <c r="F17" s="477"/>
      <c r="G17" s="477"/>
      <c r="H17" s="477"/>
      <c r="I17" s="477"/>
      <c r="J17" s="477"/>
      <c r="K17" s="477"/>
      <c r="L17" s="477"/>
      <c r="M17" s="467">
        <v>12198910</v>
      </c>
      <c r="N17" s="484"/>
    </row>
    <row r="18" spans="1:14" s="485" customFormat="1" ht="12.75" customHeight="1" x14ac:dyDescent="0.2">
      <c r="A18" s="482" t="s">
        <v>1471</v>
      </c>
      <c r="B18" s="483">
        <v>240</v>
      </c>
      <c r="C18" s="477"/>
      <c r="D18" s="477"/>
      <c r="E18" s="477"/>
      <c r="F18" s="477"/>
      <c r="G18" s="477"/>
      <c r="H18" s="477"/>
      <c r="I18" s="477"/>
      <c r="J18" s="477"/>
      <c r="K18" s="477"/>
      <c r="L18" s="477"/>
      <c r="M18" s="467">
        <v>328356</v>
      </c>
      <c r="N18" s="484"/>
    </row>
    <row r="19" spans="1:14" s="485" customFormat="1" ht="12.75" customHeight="1" x14ac:dyDescent="0.2">
      <c r="A19" s="482" t="s">
        <v>1472</v>
      </c>
      <c r="B19" s="483">
        <v>250</v>
      </c>
      <c r="C19" s="477"/>
      <c r="D19" s="477"/>
      <c r="E19" s="477"/>
      <c r="F19" s="477"/>
      <c r="G19" s="477"/>
      <c r="H19" s="477"/>
      <c r="I19" s="477"/>
      <c r="J19" s="477"/>
      <c r="K19" s="477"/>
      <c r="L19" s="477"/>
      <c r="M19" s="467">
        <v>1898448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242709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1701412</v>
      </c>
    </row>
    <row r="23" spans="1:14" ht="13.5" customHeight="1" thickBot="1" x14ac:dyDescent="0.25">
      <c r="A23" s="1758" t="s">
        <v>664</v>
      </c>
      <c r="B23" s="1763"/>
      <c r="C23" s="468"/>
      <c r="D23" s="468"/>
      <c r="E23" s="468"/>
      <c r="F23" s="468"/>
      <c r="G23" s="468"/>
      <c r="H23" s="468"/>
      <c r="I23" s="468"/>
      <c r="J23" s="468"/>
      <c r="K23" s="468"/>
      <c r="L23" s="468"/>
      <c r="M23" s="1710">
        <f>SUM(M15:M22)</f>
        <v>14739728</v>
      </c>
      <c r="N23" s="1710">
        <f>SUM(N21:N22)</f>
        <v>1944121</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176304</v>
      </c>
      <c r="D27" s="467">
        <v>43356</v>
      </c>
      <c r="E27" s="467"/>
      <c r="F27" s="467">
        <v>16032</v>
      </c>
      <c r="G27" s="467">
        <v>-344</v>
      </c>
      <c r="H27" s="467"/>
      <c r="I27" s="467"/>
      <c r="J27" s="467">
        <v>6441</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4097</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196560</v>
      </c>
      <c r="D32" s="492">
        <v>23513</v>
      </c>
      <c r="E32" s="474">
        <v>21503</v>
      </c>
      <c r="F32" s="474">
        <v>12039</v>
      </c>
      <c r="G32" s="474">
        <v>31576</v>
      </c>
      <c r="H32" s="474"/>
      <c r="I32" s="474">
        <v>2178</v>
      </c>
      <c r="J32" s="474">
        <v>20058</v>
      </c>
      <c r="K32" s="479">
        <v>4245</v>
      </c>
      <c r="L32" s="468"/>
      <c r="M32" s="468"/>
      <c r="N32" s="468"/>
    </row>
    <row r="33" spans="1:14" ht="13.5" customHeight="1" x14ac:dyDescent="0.2">
      <c r="A33" s="493" t="s">
        <v>321</v>
      </c>
      <c r="B33" s="491">
        <v>493</v>
      </c>
      <c r="C33" s="467"/>
      <c r="D33" s="467"/>
      <c r="E33" s="467"/>
      <c r="F33" s="467"/>
      <c r="G33" s="467"/>
      <c r="H33" s="467"/>
      <c r="I33" s="467"/>
      <c r="J33" s="467"/>
      <c r="K33" s="467"/>
      <c r="L33" s="467">
        <v>23753</v>
      </c>
      <c r="M33" s="468"/>
      <c r="N33" s="469"/>
    </row>
    <row r="34" spans="1:14" ht="13.5" customHeight="1" thickBot="1" x14ac:dyDescent="0.25">
      <c r="A34" s="1760" t="s">
        <v>675</v>
      </c>
      <c r="B34" s="1761"/>
      <c r="C34" s="1762">
        <f>SUM(C25:C33)</f>
        <v>376961</v>
      </c>
      <c r="D34" s="1762">
        <f t="shared" ref="D34:K34" si="1">SUM(D25:D33)</f>
        <v>66869</v>
      </c>
      <c r="E34" s="1762">
        <f t="shared" si="1"/>
        <v>21503</v>
      </c>
      <c r="F34" s="1762">
        <f t="shared" si="1"/>
        <v>28071</v>
      </c>
      <c r="G34" s="1762">
        <f t="shared" si="1"/>
        <v>31232</v>
      </c>
      <c r="H34" s="1762">
        <f t="shared" si="1"/>
        <v>0</v>
      </c>
      <c r="I34" s="1762">
        <f t="shared" si="1"/>
        <v>2178</v>
      </c>
      <c r="J34" s="1762">
        <f t="shared" si="1"/>
        <v>26499</v>
      </c>
      <c r="K34" s="1762">
        <f t="shared" si="1"/>
        <v>4245</v>
      </c>
      <c r="L34" s="1743">
        <f>SUM(L33)</f>
        <v>23753</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1944121</v>
      </c>
    </row>
    <row r="37" spans="1:14" ht="13.5" thickBot="1" x14ac:dyDescent="0.25">
      <c r="A37" s="1758" t="s">
        <v>674</v>
      </c>
      <c r="B37" s="1763"/>
      <c r="C37" s="477"/>
      <c r="D37" s="477"/>
      <c r="E37" s="477"/>
      <c r="F37" s="477"/>
      <c r="G37" s="477"/>
      <c r="H37" s="477"/>
      <c r="I37" s="477"/>
      <c r="J37" s="477"/>
      <c r="K37" s="477"/>
      <c r="L37" s="480"/>
      <c r="M37" s="468"/>
      <c r="N37" s="1710">
        <f>SUM(N36:N36)</f>
        <v>1944121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8079893</v>
      </c>
      <c r="D39" s="466">
        <v>283416</v>
      </c>
      <c r="E39" s="466">
        <v>242709</v>
      </c>
      <c r="F39" s="466">
        <v>399289</v>
      </c>
      <c r="G39" s="466">
        <v>980363</v>
      </c>
      <c r="H39" s="466">
        <v>211396</v>
      </c>
      <c r="I39" s="466">
        <v>1426590</v>
      </c>
      <c r="J39" s="467">
        <v>472551</v>
      </c>
      <c r="K39" s="466">
        <v>305350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14739728</v>
      </c>
      <c r="N40" s="497"/>
    </row>
    <row r="41" spans="1:14" ht="13.5" customHeight="1" thickBot="1" x14ac:dyDescent="0.25">
      <c r="A41" s="1758" t="s">
        <v>676</v>
      </c>
      <c r="B41" s="1728"/>
      <c r="C41" s="1710">
        <f>(SUM(C34,C37,C38,C39))</f>
        <v>8456854</v>
      </c>
      <c r="D41" s="1710">
        <f t="shared" ref="D41:L41" si="2">SUM(D34,D37,D38:D39)</f>
        <v>350285</v>
      </c>
      <c r="E41" s="1710">
        <f t="shared" si="2"/>
        <v>264212</v>
      </c>
      <c r="F41" s="1710">
        <f t="shared" si="2"/>
        <v>427360</v>
      </c>
      <c r="G41" s="1710">
        <f t="shared" si="2"/>
        <v>1011595</v>
      </c>
      <c r="H41" s="1710">
        <f t="shared" si="2"/>
        <v>211396</v>
      </c>
      <c r="I41" s="1710">
        <f t="shared" si="2"/>
        <v>1428768</v>
      </c>
      <c r="J41" s="1710">
        <f t="shared" si="2"/>
        <v>499050</v>
      </c>
      <c r="K41" s="1710">
        <f t="shared" si="2"/>
        <v>309595</v>
      </c>
      <c r="L41" s="1710">
        <f t="shared" si="2"/>
        <v>23753</v>
      </c>
      <c r="M41" s="1710">
        <f>SUM(M40)</f>
        <v>14739728</v>
      </c>
      <c r="N41" s="1710">
        <f>SUM(N37)</f>
        <v>1944121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68" sqref="D68"/>
      <selection pane="bottomLeft" activeCell="D68" sqref="D6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4830890</v>
      </c>
      <c r="D4" s="1764">
        <f>'Revenues 9-14'!D109</f>
        <v>473668</v>
      </c>
      <c r="E4" s="1764">
        <f>'Revenues 9-14'!E109</f>
        <v>424190</v>
      </c>
      <c r="F4" s="1764">
        <f>'Revenues 9-14'!F109</f>
        <v>257412</v>
      </c>
      <c r="G4" s="1764">
        <f>'Revenues 9-14'!G109</f>
        <v>668010</v>
      </c>
      <c r="H4" s="1764">
        <f>'Revenues 9-14'!H109</f>
        <v>1922</v>
      </c>
      <c r="I4" s="1764">
        <f>'Revenues 9-14'!I109</f>
        <v>57013</v>
      </c>
      <c r="J4" s="1764">
        <f>'Revenues 9-14'!J109</f>
        <v>402048</v>
      </c>
      <c r="K4" s="1764">
        <f>'Revenues 9-14'!K109</f>
        <v>84617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1227954</v>
      </c>
      <c r="D6" s="1765">
        <f>'Revenues 9-14'!D173</f>
        <v>0</v>
      </c>
      <c r="E6" s="1765">
        <f>'Revenues 9-14'!E173</f>
        <v>0</v>
      </c>
      <c r="F6" s="1765">
        <f>'Revenues 9-14'!F173</f>
        <v>18715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456469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6515313</v>
      </c>
      <c r="D8" s="1710">
        <f t="shared" ref="D8:K8" si="0">SUM(D4:D7)</f>
        <v>473668</v>
      </c>
      <c r="E8" s="1710">
        <f t="shared" si="0"/>
        <v>424190</v>
      </c>
      <c r="F8" s="1710">
        <f t="shared" si="0"/>
        <v>276127</v>
      </c>
      <c r="G8" s="1710">
        <f t="shared" si="0"/>
        <v>668010</v>
      </c>
      <c r="H8" s="1710">
        <f t="shared" si="0"/>
        <v>1922</v>
      </c>
      <c r="I8" s="1710">
        <f t="shared" si="0"/>
        <v>57013</v>
      </c>
      <c r="J8" s="1710">
        <f t="shared" si="0"/>
        <v>402048</v>
      </c>
      <c r="K8" s="1710">
        <f t="shared" si="0"/>
        <v>84617</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6515313</v>
      </c>
      <c r="D10" s="1710">
        <f t="shared" ref="D10:K10" si="1">SUM(D8:D9)</f>
        <v>473668</v>
      </c>
      <c r="E10" s="1710">
        <f t="shared" si="1"/>
        <v>424190</v>
      </c>
      <c r="F10" s="1710">
        <f t="shared" si="1"/>
        <v>276127</v>
      </c>
      <c r="G10" s="1710">
        <f t="shared" si="1"/>
        <v>668010</v>
      </c>
      <c r="H10" s="1710">
        <f t="shared" si="1"/>
        <v>1922</v>
      </c>
      <c r="I10" s="1710">
        <f t="shared" si="1"/>
        <v>57013</v>
      </c>
      <c r="J10" s="1710">
        <f t="shared" si="1"/>
        <v>402048</v>
      </c>
      <c r="K10" s="1710">
        <f t="shared" si="1"/>
        <v>84617</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3133087</v>
      </c>
      <c r="D12" s="520" t="s">
        <v>1231</v>
      </c>
      <c r="E12" s="468" t="s">
        <v>1231</v>
      </c>
      <c r="F12" s="468" t="s">
        <v>1231</v>
      </c>
      <c r="G12" s="1764">
        <f>'Expenditures 15-22'!K229</f>
        <v>64937</v>
      </c>
      <c r="H12" s="521"/>
      <c r="I12" s="468" t="s">
        <v>1231</v>
      </c>
      <c r="J12" s="468" t="s">
        <v>1231</v>
      </c>
      <c r="K12" s="521" t="s">
        <v>1231</v>
      </c>
      <c r="L12" s="347"/>
    </row>
    <row r="13" spans="1:13" ht="15.75" customHeight="1" x14ac:dyDescent="0.2">
      <c r="A13" s="1598" t="s">
        <v>477</v>
      </c>
      <c r="B13" s="1600">
        <v>2000</v>
      </c>
      <c r="C13" s="1765">
        <f>'Expenditures 15-22'!K74</f>
        <v>2134824</v>
      </c>
      <c r="D13" s="1765">
        <f>'Expenditures 15-22'!K129</f>
        <v>708492</v>
      </c>
      <c r="E13" s="469" t="s">
        <v>1231</v>
      </c>
      <c r="F13" s="1765">
        <f>'Expenditures 15-22'!K184</f>
        <v>129876</v>
      </c>
      <c r="G13" s="1765">
        <f>'Expenditures 15-22'!K279</f>
        <v>114273</v>
      </c>
      <c r="H13" s="1765">
        <f>'Expenditures 15-22'!K303</f>
        <v>361865</v>
      </c>
      <c r="I13" s="468" t="s">
        <v>1231</v>
      </c>
      <c r="J13" s="1765">
        <f>'Expenditures 15-22'!K330</f>
        <v>215397</v>
      </c>
      <c r="K13" s="1769">
        <f>'Expenditures 15-22'!K352</f>
        <v>0</v>
      </c>
      <c r="L13" s="347"/>
    </row>
    <row r="14" spans="1:13" ht="15.75" customHeight="1" x14ac:dyDescent="0.2">
      <c r="A14" s="1598" t="s">
        <v>469</v>
      </c>
      <c r="B14" s="1600">
        <v>3000</v>
      </c>
      <c r="C14" s="1765">
        <f>'Expenditures 15-22'!K75</f>
        <v>20749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829482</v>
      </c>
      <c r="D15" s="1765">
        <f>'Expenditures 15-22'!K139</f>
        <v>36608</v>
      </c>
      <c r="E15" s="1765">
        <f>'Expenditures 15-22'!K160</f>
        <v>0</v>
      </c>
      <c r="F15" s="1765">
        <f>'Expenditures 15-22'!K196</f>
        <v>85626</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451862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6118142</v>
      </c>
      <c r="D17" s="1710">
        <f t="shared" si="2"/>
        <v>745100</v>
      </c>
      <c r="E17" s="1710">
        <f t="shared" si="2"/>
        <v>451862</v>
      </c>
      <c r="F17" s="1710">
        <f t="shared" si="2"/>
        <v>215502</v>
      </c>
      <c r="G17" s="1710">
        <f t="shared" si="2"/>
        <v>179210</v>
      </c>
      <c r="H17" s="1710">
        <f t="shared" si="2"/>
        <v>361865</v>
      </c>
      <c r="I17" s="468"/>
      <c r="J17" s="1710">
        <f>SUM(J12:J16)</f>
        <v>215397</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6118142</v>
      </c>
      <c r="D19" s="1710">
        <f t="shared" si="4"/>
        <v>745100</v>
      </c>
      <c r="E19" s="1710">
        <f t="shared" si="4"/>
        <v>451862</v>
      </c>
      <c r="F19" s="1710">
        <f t="shared" si="4"/>
        <v>215502</v>
      </c>
      <c r="G19" s="1710">
        <f t="shared" si="4"/>
        <v>179210</v>
      </c>
      <c r="H19" s="1710">
        <f t="shared" si="4"/>
        <v>361865</v>
      </c>
      <c r="I19" s="468"/>
      <c r="J19" s="1710">
        <f>SUM(J17:J18)</f>
        <v>215397</v>
      </c>
      <c r="K19" s="1710">
        <f>SUM(K17:K18)</f>
        <v>0</v>
      </c>
      <c r="L19" s="347"/>
    </row>
    <row r="20" spans="1:12" ht="16.5" thickTop="1" thickBot="1" x14ac:dyDescent="0.25">
      <c r="A20" s="2143" t="s">
        <v>1754</v>
      </c>
      <c r="B20" s="2144"/>
      <c r="C20" s="1768">
        <f>C8-C17</f>
        <v>397171</v>
      </c>
      <c r="D20" s="1768">
        <f t="shared" ref="D20:K20" si="5">D8-D17</f>
        <v>-271432</v>
      </c>
      <c r="E20" s="1768">
        <f t="shared" si="5"/>
        <v>-27672</v>
      </c>
      <c r="F20" s="1768">
        <f t="shared" si="5"/>
        <v>60625</v>
      </c>
      <c r="G20" s="1768">
        <f t="shared" si="5"/>
        <v>488800</v>
      </c>
      <c r="H20" s="1768">
        <f t="shared" si="5"/>
        <v>-359943</v>
      </c>
      <c r="I20" s="1768">
        <f t="shared" si="5"/>
        <v>57013</v>
      </c>
      <c r="J20" s="1768">
        <f t="shared" si="5"/>
        <v>186651</v>
      </c>
      <c r="K20" s="1768">
        <f t="shared" si="5"/>
        <v>84617</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512000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28353</v>
      </c>
      <c r="F37" s="475"/>
      <c r="G37" s="475"/>
      <c r="H37" s="475"/>
      <c r="I37" s="477"/>
      <c r="J37" s="475"/>
      <c r="K37" s="475"/>
      <c r="L37" s="524"/>
    </row>
    <row r="38" spans="1:12" s="485" customFormat="1" x14ac:dyDescent="0.2">
      <c r="A38" s="1511" t="s">
        <v>462</v>
      </c>
      <c r="B38" s="525">
        <v>7500</v>
      </c>
      <c r="C38" s="477"/>
      <c r="D38" s="477"/>
      <c r="E38" s="1765">
        <f>SUM(C58:D61,H58:H61)</f>
        <v>4070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59010</v>
      </c>
      <c r="D43" s="467"/>
      <c r="E43" s="467"/>
      <c r="F43" s="467"/>
      <c r="G43" s="467"/>
      <c r="H43" s="467"/>
      <c r="I43" s="467"/>
      <c r="J43" s="467"/>
      <c r="K43" s="467"/>
      <c r="L43" s="524"/>
    </row>
    <row r="44" spans="1:12" s="485" customFormat="1" ht="13.5" customHeight="1" thickBot="1" x14ac:dyDescent="0.25">
      <c r="A44" s="2157" t="s">
        <v>392</v>
      </c>
      <c r="B44" s="2158"/>
      <c r="C44" s="1725">
        <f>SUM(C24:C43)</f>
        <v>59010</v>
      </c>
      <c r="D44" s="1725">
        <f t="shared" ref="D44:K44" si="6">SUM(D24:D43)</f>
        <v>0</v>
      </c>
      <c r="E44" s="1725">
        <f t="shared" si="6"/>
        <v>32423</v>
      </c>
      <c r="F44" s="1725">
        <f t="shared" si="6"/>
        <v>0</v>
      </c>
      <c r="G44" s="1725">
        <f t="shared" si="6"/>
        <v>0</v>
      </c>
      <c r="H44" s="1725">
        <f t="shared" si="6"/>
        <v>512000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512000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28353</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4070</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32423</v>
      </c>
      <c r="D76" s="1725">
        <f t="shared" si="7"/>
        <v>0</v>
      </c>
      <c r="E76" s="1725">
        <f t="shared" si="7"/>
        <v>0</v>
      </c>
      <c r="F76" s="1725">
        <f t="shared" si="7"/>
        <v>0</v>
      </c>
      <c r="G76" s="1725">
        <f t="shared" si="7"/>
        <v>0</v>
      </c>
      <c r="H76" s="1725">
        <f t="shared" si="7"/>
        <v>0</v>
      </c>
      <c r="I76" s="1725">
        <f t="shared" si="7"/>
        <v>512000</v>
      </c>
      <c r="J76" s="1725">
        <f t="shared" si="7"/>
        <v>0</v>
      </c>
      <c r="K76" s="1725">
        <f t="shared" si="7"/>
        <v>0</v>
      </c>
      <c r="L76" s="524"/>
    </row>
    <row r="77" spans="1:12" ht="14.25" thickTop="1" thickBot="1" x14ac:dyDescent="0.25">
      <c r="A77" s="2135" t="s">
        <v>1239</v>
      </c>
      <c r="B77" s="2136"/>
      <c r="C77" s="1725">
        <f t="shared" ref="C77:K77" si="8">C44-C76</f>
        <v>26587</v>
      </c>
      <c r="D77" s="1725">
        <f t="shared" si="8"/>
        <v>0</v>
      </c>
      <c r="E77" s="1725">
        <f t="shared" si="8"/>
        <v>32423</v>
      </c>
      <c r="F77" s="1725">
        <f t="shared" si="8"/>
        <v>0</v>
      </c>
      <c r="G77" s="1725">
        <f t="shared" si="8"/>
        <v>0</v>
      </c>
      <c r="H77" s="1725">
        <f t="shared" si="8"/>
        <v>512000</v>
      </c>
      <c r="I77" s="1725">
        <f t="shared" si="8"/>
        <v>-512000</v>
      </c>
      <c r="J77" s="1725">
        <f t="shared" si="8"/>
        <v>0</v>
      </c>
      <c r="K77" s="1725">
        <f t="shared" si="8"/>
        <v>0</v>
      </c>
      <c r="L77" s="347"/>
    </row>
    <row r="78" spans="1:12" ht="21.75" customHeight="1" thickTop="1" thickBot="1" x14ac:dyDescent="0.25">
      <c r="A78" s="2139" t="s">
        <v>618</v>
      </c>
      <c r="B78" s="2140"/>
      <c r="C78" s="1724">
        <f t="shared" ref="C78:K78" si="9">C20+C77</f>
        <v>423758</v>
      </c>
      <c r="D78" s="1724">
        <f t="shared" si="9"/>
        <v>-271432</v>
      </c>
      <c r="E78" s="1724">
        <f t="shared" si="9"/>
        <v>4751</v>
      </c>
      <c r="F78" s="1724">
        <f t="shared" si="9"/>
        <v>60625</v>
      </c>
      <c r="G78" s="1724">
        <f t="shared" si="9"/>
        <v>488800</v>
      </c>
      <c r="H78" s="1724">
        <f t="shared" si="9"/>
        <v>152057</v>
      </c>
      <c r="I78" s="1724">
        <f t="shared" si="9"/>
        <v>-454987</v>
      </c>
      <c r="J78" s="1724">
        <f t="shared" si="9"/>
        <v>186651</v>
      </c>
      <c r="K78" s="1724">
        <f t="shared" si="9"/>
        <v>84617</v>
      </c>
      <c r="L78" s="533"/>
    </row>
    <row r="79" spans="1:12" ht="13.5" thickTop="1" x14ac:dyDescent="0.2">
      <c r="A79" s="1516" t="s">
        <v>2071</v>
      </c>
      <c r="B79" s="534"/>
      <c r="C79" s="478">
        <v>7656135</v>
      </c>
      <c r="D79" s="535">
        <v>554848</v>
      </c>
      <c r="E79" s="535">
        <v>237958</v>
      </c>
      <c r="F79" s="535">
        <v>338664</v>
      </c>
      <c r="G79" s="535">
        <v>491563</v>
      </c>
      <c r="H79" s="535">
        <v>59339</v>
      </c>
      <c r="I79" s="535">
        <v>1881577</v>
      </c>
      <c r="J79" s="535">
        <v>285900</v>
      </c>
      <c r="K79" s="535">
        <v>220733</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8079893</v>
      </c>
      <c r="D81" s="1710">
        <f>SUM(D78:D80)</f>
        <v>283416</v>
      </c>
      <c r="E81" s="1710">
        <f t="shared" ref="E81:K81" si="10">SUM(E78:E80)</f>
        <v>242709</v>
      </c>
      <c r="F81" s="1710">
        <f t="shared" si="10"/>
        <v>399289</v>
      </c>
      <c r="G81" s="1710">
        <f t="shared" si="10"/>
        <v>980363</v>
      </c>
      <c r="H81" s="1710">
        <f t="shared" si="10"/>
        <v>211396</v>
      </c>
      <c r="I81" s="1710">
        <f t="shared" si="10"/>
        <v>1426590</v>
      </c>
      <c r="J81" s="1710">
        <f t="shared" si="10"/>
        <v>472551</v>
      </c>
      <c r="K81" s="1710">
        <f t="shared" si="10"/>
        <v>305350</v>
      </c>
      <c r="L81" s="347"/>
    </row>
    <row r="82" spans="1:12" ht="0.75" customHeight="1" thickTop="1" thickBot="1" x14ac:dyDescent="0.25">
      <c r="A82" s="536" t="s">
        <v>361</v>
      </c>
      <c r="B82" s="537"/>
      <c r="C82" s="538">
        <f>(C81-C79)</f>
        <v>423758</v>
      </c>
      <c r="D82" s="538">
        <f t="shared" ref="D82:K82" si="11">(D81-D79)</f>
        <v>-271432</v>
      </c>
      <c r="E82" s="538">
        <f t="shared" si="11"/>
        <v>4751</v>
      </c>
      <c r="F82" s="538">
        <f t="shared" si="11"/>
        <v>60625</v>
      </c>
      <c r="G82" s="538">
        <f t="shared" si="11"/>
        <v>488800</v>
      </c>
      <c r="H82" s="538">
        <f t="shared" si="11"/>
        <v>152057</v>
      </c>
      <c r="I82" s="538">
        <f t="shared" si="11"/>
        <v>-454987</v>
      </c>
      <c r="J82" s="538">
        <f t="shared" si="11"/>
        <v>186651</v>
      </c>
      <c r="K82" s="538">
        <f t="shared" si="11"/>
        <v>84617</v>
      </c>
    </row>
    <row r="83" spans="1:12" ht="14.25" hidden="1" thickTop="1" thickBot="1" x14ac:dyDescent="0.25">
      <c r="A83" s="539" t="s">
        <v>362</v>
      </c>
      <c r="B83" s="464"/>
      <c r="C83" s="540">
        <f>C82/C81</f>
        <v>5.2445991549640573E-2</v>
      </c>
      <c r="D83" s="540">
        <f t="shared" ref="D83:K83" si="12">D82/D81</f>
        <v>-0.95771586642955941</v>
      </c>
      <c r="E83" s="540">
        <f t="shared" si="12"/>
        <v>1.9574881854401774E-2</v>
      </c>
      <c r="F83" s="540">
        <f t="shared" si="12"/>
        <v>0.15183238205911007</v>
      </c>
      <c r="G83" s="540">
        <f t="shared" si="12"/>
        <v>0.49859082809122746</v>
      </c>
      <c r="H83" s="540">
        <f t="shared" si="12"/>
        <v>0.71929932449052958</v>
      </c>
      <c r="I83" s="540">
        <f t="shared" si="12"/>
        <v>-0.31893326043221948</v>
      </c>
      <c r="J83" s="540">
        <f t="shared" si="12"/>
        <v>0.39498593802573689</v>
      </c>
      <c r="K83" s="540">
        <f t="shared" si="12"/>
        <v>0.27711478631079089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68" sqref="D6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3492539</v>
      </c>
      <c r="D5" s="481">
        <v>461232</v>
      </c>
      <c r="E5" s="466">
        <v>422707</v>
      </c>
      <c r="F5" s="548">
        <v>212842</v>
      </c>
      <c r="G5" s="466">
        <v>315840</v>
      </c>
      <c r="H5" s="466"/>
      <c r="I5" s="466">
        <v>41441</v>
      </c>
      <c r="J5" s="467">
        <v>399999</v>
      </c>
      <c r="K5" s="466">
        <v>82285</v>
      </c>
    </row>
    <row r="6" spans="1:12" ht="15" x14ac:dyDescent="0.2">
      <c r="A6" s="463" t="s">
        <v>1761</v>
      </c>
      <c r="B6" s="470">
        <v>1130</v>
      </c>
      <c r="C6" s="466"/>
      <c r="D6" s="466"/>
      <c r="E6" s="475"/>
      <c r="F6" s="475"/>
      <c r="G6" s="468"/>
      <c r="H6" s="468"/>
      <c r="I6" s="468"/>
      <c r="J6" s="468"/>
      <c r="K6" s="468"/>
    </row>
    <row r="7" spans="1:12" x14ac:dyDescent="0.2">
      <c r="A7" s="463" t="s">
        <v>112</v>
      </c>
      <c r="B7" s="549">
        <v>1140</v>
      </c>
      <c r="C7" s="466">
        <v>333779</v>
      </c>
      <c r="D7" s="466"/>
      <c r="E7" s="468"/>
      <c r="F7" s="467"/>
      <c r="G7" s="467"/>
      <c r="H7" s="467"/>
      <c r="I7" s="468"/>
      <c r="J7" s="468"/>
      <c r="K7" s="468"/>
    </row>
    <row r="8" spans="1:12" x14ac:dyDescent="0.2">
      <c r="A8" s="463" t="s">
        <v>433</v>
      </c>
      <c r="B8" s="470">
        <v>1150</v>
      </c>
      <c r="C8" s="475"/>
      <c r="D8" s="475"/>
      <c r="E8" s="477"/>
      <c r="F8" s="477"/>
      <c r="G8" s="481">
        <v>315840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3826318</v>
      </c>
      <c r="D12" s="1729">
        <f t="shared" si="0"/>
        <v>461232</v>
      </c>
      <c r="E12" s="1729">
        <f t="shared" si="0"/>
        <v>422707</v>
      </c>
      <c r="F12" s="1729">
        <f t="shared" si="0"/>
        <v>212842</v>
      </c>
      <c r="G12" s="1729">
        <f t="shared" si="0"/>
        <v>631680</v>
      </c>
      <c r="H12" s="1729">
        <f t="shared" si="0"/>
        <v>0</v>
      </c>
      <c r="I12" s="1729">
        <f t="shared" si="0"/>
        <v>41441</v>
      </c>
      <c r="J12" s="1729">
        <f t="shared" si="0"/>
        <v>399999</v>
      </c>
      <c r="K12" s="1710">
        <f t="shared" si="0"/>
        <v>82285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160691</v>
      </c>
      <c r="D16" s="466"/>
      <c r="E16" s="466"/>
      <c r="F16" s="466"/>
      <c r="G16" s="466">
        <v>31563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160691</v>
      </c>
      <c r="D18" s="1732">
        <f t="shared" ref="D18:K18" si="1">SUM(D14:D17)</f>
        <v>0</v>
      </c>
      <c r="E18" s="1732">
        <f t="shared" si="1"/>
        <v>0</v>
      </c>
      <c r="F18" s="1732">
        <f t="shared" si="1"/>
        <v>0</v>
      </c>
      <c r="G18" s="1732">
        <f t="shared" si="1"/>
        <v>31563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69390</v>
      </c>
      <c r="D65" s="466">
        <v>3339</v>
      </c>
      <c r="E65" s="466">
        <v>1483</v>
      </c>
      <c r="F65" s="467">
        <v>3817</v>
      </c>
      <c r="G65" s="466">
        <v>4767</v>
      </c>
      <c r="H65" s="466">
        <v>1922</v>
      </c>
      <c r="I65" s="466">
        <v>15572</v>
      </c>
      <c r="J65" s="467">
        <v>2049</v>
      </c>
      <c r="K65" s="466">
        <v>2332</v>
      </c>
    </row>
    <row r="66" spans="1:11" ht="12.75" customHeight="1" x14ac:dyDescent="0.2">
      <c r="A66" s="463" t="s">
        <v>700</v>
      </c>
      <c r="B66" s="470">
        <v>1520</v>
      </c>
      <c r="C66" s="466">
        <v>5116</v>
      </c>
      <c r="D66" s="466"/>
      <c r="E66" s="466"/>
      <c r="F66" s="466"/>
      <c r="G66" s="466"/>
      <c r="H66" s="466"/>
      <c r="I66" s="466"/>
      <c r="J66" s="467"/>
      <c r="K66" s="466"/>
    </row>
    <row r="67" spans="1:11" ht="12.75" customHeight="1" thickBot="1" x14ac:dyDescent="0.25">
      <c r="A67" s="1730" t="s">
        <v>507</v>
      </c>
      <c r="B67" s="1731"/>
      <c r="C67" s="1710">
        <f>SUM(C65:C66)</f>
        <v>74506</v>
      </c>
      <c r="D67" s="1710">
        <f t="shared" ref="D67:K67" si="2">SUM(D65:D66)</f>
        <v>3339</v>
      </c>
      <c r="E67" s="1710">
        <f t="shared" si="2"/>
        <v>1483</v>
      </c>
      <c r="F67" s="1710">
        <f t="shared" si="2"/>
        <v>3817</v>
      </c>
      <c r="G67" s="1710">
        <f t="shared" si="2"/>
        <v>4767</v>
      </c>
      <c r="H67" s="1710">
        <f t="shared" si="2"/>
        <v>1922</v>
      </c>
      <c r="I67" s="1710">
        <f t="shared" si="2"/>
        <v>15572</v>
      </c>
      <c r="J67" s="1710">
        <f t="shared" si="2"/>
        <v>2049</v>
      </c>
      <c r="K67" s="1710">
        <f t="shared" si="2"/>
        <v>2332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51500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51500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1521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61374</v>
      </c>
      <c r="D99" s="466">
        <v>9097</v>
      </c>
      <c r="E99" s="466"/>
      <c r="F99" s="466">
        <v>40686</v>
      </c>
      <c r="G99" s="466"/>
      <c r="H99" s="466"/>
      <c r="I99" s="468"/>
      <c r="J99" s="467"/>
      <c r="K99" s="466"/>
    </row>
    <row r="100" spans="1:12" ht="12.75" customHeight="1" x14ac:dyDescent="0.2">
      <c r="A100" s="463" t="s">
        <v>263</v>
      </c>
      <c r="B100" s="470">
        <v>1960</v>
      </c>
      <c r="C100" s="489">
        <v>642562</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12400</v>
      </c>
      <c r="D107" s="466"/>
      <c r="E107" s="466"/>
      <c r="F107" s="466">
        <v>67</v>
      </c>
      <c r="G107" s="466"/>
      <c r="H107" s="466"/>
      <c r="I107" s="466"/>
      <c r="J107" s="467"/>
      <c r="K107" s="466"/>
    </row>
    <row r="108" spans="1:12" ht="12.75" customHeight="1" thickBot="1" x14ac:dyDescent="0.25">
      <c r="A108" s="1730" t="s">
        <v>508</v>
      </c>
      <c r="B108" s="1734"/>
      <c r="C108" s="1729">
        <f>SUM(C95:C107)</f>
        <v>717857</v>
      </c>
      <c r="D108" s="1729">
        <f t="shared" ref="D108:K108" si="3">SUM(D95:D107)</f>
        <v>9097</v>
      </c>
      <c r="E108" s="1729">
        <f t="shared" si="3"/>
        <v>0</v>
      </c>
      <c r="F108" s="1729">
        <f t="shared" si="3"/>
        <v>40753</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4830890</v>
      </c>
      <c r="D109" s="1737">
        <f t="shared" si="4"/>
        <v>473668</v>
      </c>
      <c r="E109" s="1737">
        <f t="shared" si="4"/>
        <v>424190</v>
      </c>
      <c r="F109" s="1737">
        <f t="shared" si="4"/>
        <v>257412</v>
      </c>
      <c r="G109" s="1737">
        <f t="shared" si="4"/>
        <v>668010</v>
      </c>
      <c r="H109" s="1737">
        <f t="shared" si="4"/>
        <v>1922</v>
      </c>
      <c r="I109" s="1737">
        <f t="shared" si="4"/>
        <v>57013</v>
      </c>
      <c r="J109" s="1737">
        <f t="shared" si="4"/>
        <v>402048</v>
      </c>
      <c r="K109" s="1724">
        <f t="shared" si="4"/>
        <v>84617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1066475</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1066475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57112</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22975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80087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10372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10372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2830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18715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18715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68190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161479</v>
      </c>
      <c r="D172" s="1744">
        <f t="shared" si="6"/>
        <v>0</v>
      </c>
      <c r="E172" s="1744">
        <f t="shared" si="6"/>
        <v>0</v>
      </c>
      <c r="F172" s="1744">
        <f t="shared" si="6"/>
        <v>18715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1227954</v>
      </c>
      <c r="D173" s="1737">
        <f>SUM(D121,D172)</f>
        <v>0</v>
      </c>
      <c r="E173" s="1737">
        <f>SUM(E121,E172)</f>
        <v>0</v>
      </c>
      <c r="F173" s="1737">
        <f t="shared" ref="F173:K173" si="7">SUM(F121,F172)</f>
        <v>18715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166431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73022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24850</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264303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144952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144952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7800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7800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11520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27894</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456469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456469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6515313</v>
      </c>
      <c r="D275" s="1737">
        <f t="shared" si="12"/>
        <v>473668</v>
      </c>
      <c r="E275" s="1737">
        <f t="shared" si="12"/>
        <v>424190</v>
      </c>
      <c r="F275" s="1737">
        <f t="shared" si="12"/>
        <v>276127</v>
      </c>
      <c r="G275" s="1737">
        <f t="shared" si="12"/>
        <v>668010</v>
      </c>
      <c r="H275" s="1737">
        <f t="shared" si="12"/>
        <v>1922</v>
      </c>
      <c r="I275" s="1737">
        <f t="shared" si="12"/>
        <v>57013</v>
      </c>
      <c r="J275" s="1737">
        <f t="shared" si="12"/>
        <v>402048</v>
      </c>
      <c r="K275" s="1724">
        <f t="shared" si="12"/>
        <v>84617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0" activePane="bottomLeft" state="frozen"/>
      <selection activeCell="D68" sqref="D68"/>
      <selection pane="bottomLeft" activeCell="D68" sqref="D6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1837939</v>
      </c>
      <c r="D5" s="466">
        <v>324349</v>
      </c>
      <c r="E5" s="466">
        <v>73492</v>
      </c>
      <c r="F5" s="466">
        <v>68469</v>
      </c>
      <c r="G5" s="466"/>
      <c r="H5" s="466">
        <v>133</v>
      </c>
      <c r="I5" s="467"/>
      <c r="J5" s="467"/>
      <c r="K5" s="1693">
        <f>SUM(C5:J5)</f>
        <v>2304382</v>
      </c>
      <c r="L5" s="466">
        <v>2370345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244950</v>
      </c>
      <c r="D7" s="467">
        <v>36626</v>
      </c>
      <c r="E7" s="467">
        <v>14111</v>
      </c>
      <c r="F7" s="467">
        <v>35841</v>
      </c>
      <c r="G7" s="467"/>
      <c r="H7" s="467"/>
      <c r="I7" s="467"/>
      <c r="J7" s="467"/>
      <c r="K7" s="1693">
        <f t="shared" ref="K7:K32" si="0">SUM(C7:J7)</f>
        <v>331528</v>
      </c>
      <c r="L7" s="466">
        <v>300098</v>
      </c>
    </row>
    <row r="8" spans="1:14" x14ac:dyDescent="0.2">
      <c r="A8" s="1526" t="s">
        <v>166</v>
      </c>
      <c r="B8" s="615">
        <v>1200</v>
      </c>
      <c r="C8" s="466">
        <v>235007</v>
      </c>
      <c r="D8" s="466">
        <v>39695</v>
      </c>
      <c r="E8" s="466">
        <v>3027</v>
      </c>
      <c r="F8" s="466">
        <v>457</v>
      </c>
      <c r="G8" s="466"/>
      <c r="H8" s="466"/>
      <c r="I8" s="467"/>
      <c r="J8" s="467"/>
      <c r="K8" s="1693">
        <f t="shared" si="0"/>
        <v>278186</v>
      </c>
      <c r="L8" s="466">
        <v>289446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v>66500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84310</v>
      </c>
      <c r="D14" s="466">
        <v>447</v>
      </c>
      <c r="E14" s="466">
        <v>6478</v>
      </c>
      <c r="F14" s="466">
        <v>6600</v>
      </c>
      <c r="G14" s="466"/>
      <c r="H14" s="466"/>
      <c r="I14" s="467"/>
      <c r="J14" s="467"/>
      <c r="K14" s="1693">
        <f t="shared" si="0"/>
        <v>97835</v>
      </c>
      <c r="L14" s="466">
        <v>91750</v>
      </c>
    </row>
    <row r="15" spans="1:14" x14ac:dyDescent="0.2">
      <c r="A15" s="1526" t="s">
        <v>1021</v>
      </c>
      <c r="B15" s="615">
        <v>1600</v>
      </c>
      <c r="C15" s="466">
        <v>36747</v>
      </c>
      <c r="D15" s="466">
        <v>205</v>
      </c>
      <c r="E15" s="466"/>
      <c r="F15" s="466">
        <v>39</v>
      </c>
      <c r="G15" s="466"/>
      <c r="H15" s="466"/>
      <c r="I15" s="467"/>
      <c r="J15" s="467"/>
      <c r="K15" s="1693">
        <f t="shared" si="0"/>
        <v>36991</v>
      </c>
      <c r="L15" s="466">
        <v>61150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62439</v>
      </c>
      <c r="D18" s="466">
        <v>21628</v>
      </c>
      <c r="E18" s="466"/>
      <c r="F18" s="466">
        <v>98</v>
      </c>
      <c r="G18" s="466"/>
      <c r="H18" s="466"/>
      <c r="I18" s="467"/>
      <c r="J18" s="467"/>
      <c r="K18" s="1693">
        <f t="shared" si="0"/>
        <v>84165</v>
      </c>
      <c r="L18" s="466">
        <v>73668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2501392</v>
      </c>
      <c r="D33" s="1692">
        <f t="shared" ref="D33:L33" si="1">SUM(D5:D32)</f>
        <v>422950</v>
      </c>
      <c r="E33" s="1692">
        <f t="shared" si="1"/>
        <v>97108</v>
      </c>
      <c r="F33" s="1692">
        <f t="shared" si="1"/>
        <v>111504</v>
      </c>
      <c r="G33" s="1692">
        <f t="shared" si="1"/>
        <v>0</v>
      </c>
      <c r="H33" s="1692">
        <f t="shared" si="1"/>
        <v>133</v>
      </c>
      <c r="I33" s="1692">
        <f t="shared" si="1"/>
        <v>0</v>
      </c>
      <c r="J33" s="1692">
        <f t="shared" si="1"/>
        <v>0</v>
      </c>
      <c r="K33" s="1692">
        <f t="shared" si="1"/>
        <v>3133087</v>
      </c>
      <c r="L33" s="1692">
        <f t="shared" si="1"/>
        <v>3252957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51358</v>
      </c>
      <c r="D36" s="481">
        <v>15768</v>
      </c>
      <c r="E36" s="481">
        <v>460</v>
      </c>
      <c r="F36" s="481"/>
      <c r="G36" s="481"/>
      <c r="H36" s="481"/>
      <c r="I36" s="467"/>
      <c r="J36" s="467"/>
      <c r="K36" s="1693">
        <f t="shared" ref="K36:K41" si="2">SUM(C36:J36)</f>
        <v>67586</v>
      </c>
      <c r="L36" s="466">
        <v>63516</v>
      </c>
    </row>
    <row r="37" spans="1:14" x14ac:dyDescent="0.2">
      <c r="A37" s="1526" t="s">
        <v>1151</v>
      </c>
      <c r="B37" s="615">
        <v>2120</v>
      </c>
      <c r="C37" s="466"/>
      <c r="D37" s="466"/>
      <c r="E37" s="466"/>
      <c r="F37" s="466"/>
      <c r="G37" s="466"/>
      <c r="H37" s="466"/>
      <c r="I37" s="467"/>
      <c r="J37" s="467"/>
      <c r="K37" s="1693">
        <f t="shared" si="2"/>
        <v>0</v>
      </c>
      <c r="L37" s="466">
        <v>10579</v>
      </c>
    </row>
    <row r="38" spans="1:14" x14ac:dyDescent="0.2">
      <c r="A38" s="1526" t="s">
        <v>207</v>
      </c>
      <c r="B38" s="615">
        <v>2130</v>
      </c>
      <c r="C38" s="466"/>
      <c r="D38" s="466"/>
      <c r="E38" s="466">
        <v>95911</v>
      </c>
      <c r="F38" s="466">
        <v>3526</v>
      </c>
      <c r="G38" s="466"/>
      <c r="H38" s="466"/>
      <c r="I38" s="467"/>
      <c r="J38" s="467"/>
      <c r="K38" s="1693">
        <f t="shared" si="2"/>
        <v>99437</v>
      </c>
      <c r="L38" s="466">
        <v>89500</v>
      </c>
    </row>
    <row r="39" spans="1:14" x14ac:dyDescent="0.2">
      <c r="A39" s="1526" t="s">
        <v>208</v>
      </c>
      <c r="B39" s="615">
        <v>2140</v>
      </c>
      <c r="C39" s="466">
        <v>58155</v>
      </c>
      <c r="D39" s="466">
        <v>11343</v>
      </c>
      <c r="E39" s="466"/>
      <c r="F39" s="466">
        <v>2045</v>
      </c>
      <c r="G39" s="466"/>
      <c r="H39" s="466"/>
      <c r="I39" s="467"/>
      <c r="J39" s="467"/>
      <c r="K39" s="1693">
        <f t="shared" si="2"/>
        <v>71543</v>
      </c>
      <c r="L39" s="466">
        <v>69234</v>
      </c>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v>5120</v>
      </c>
      <c r="F41" s="466">
        <v>4846</v>
      </c>
      <c r="G41" s="466"/>
      <c r="H41" s="466"/>
      <c r="I41" s="467"/>
      <c r="J41" s="467"/>
      <c r="K41" s="1693">
        <f t="shared" si="2"/>
        <v>9966</v>
      </c>
      <c r="L41" s="466">
        <v>10750</v>
      </c>
    </row>
    <row r="42" spans="1:14" ht="12.75" customHeight="1" thickBot="1" x14ac:dyDescent="0.25">
      <c r="A42" s="1690" t="s">
        <v>581</v>
      </c>
      <c r="B42" s="1691" t="s">
        <v>740</v>
      </c>
      <c r="C42" s="1692">
        <f>SUM(C36:C41)</f>
        <v>109513</v>
      </c>
      <c r="D42" s="1692">
        <f t="shared" ref="D42:L42" si="3">SUM(D36:D41)</f>
        <v>27111</v>
      </c>
      <c r="E42" s="1692">
        <f t="shared" si="3"/>
        <v>101491</v>
      </c>
      <c r="F42" s="1692">
        <f t="shared" si="3"/>
        <v>10417</v>
      </c>
      <c r="G42" s="1692">
        <f t="shared" si="3"/>
        <v>0</v>
      </c>
      <c r="H42" s="1692">
        <f t="shared" si="3"/>
        <v>0</v>
      </c>
      <c r="I42" s="1692">
        <f t="shared" si="3"/>
        <v>0</v>
      </c>
      <c r="J42" s="1692">
        <f t="shared" si="3"/>
        <v>0</v>
      </c>
      <c r="K42" s="1692">
        <f t="shared" si="3"/>
        <v>248532</v>
      </c>
      <c r="L42" s="1692">
        <f t="shared" si="3"/>
        <v>243579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6925</v>
      </c>
      <c r="D44" s="481">
        <v>4789</v>
      </c>
      <c r="E44" s="481">
        <v>85329</v>
      </c>
      <c r="F44" s="481"/>
      <c r="G44" s="481"/>
      <c r="H44" s="481"/>
      <c r="I44" s="467"/>
      <c r="J44" s="467"/>
      <c r="K44" s="1694">
        <f>SUM(C44:J44)</f>
        <v>97043</v>
      </c>
      <c r="L44" s="481">
        <v>65000</v>
      </c>
    </row>
    <row r="45" spans="1:14" x14ac:dyDescent="0.2">
      <c r="A45" s="1526" t="s">
        <v>869</v>
      </c>
      <c r="B45" s="615">
        <v>2220</v>
      </c>
      <c r="C45" s="466">
        <v>55250</v>
      </c>
      <c r="D45" s="466">
        <v>11326</v>
      </c>
      <c r="E45" s="466"/>
      <c r="F45" s="466">
        <v>9796</v>
      </c>
      <c r="G45" s="466"/>
      <c r="H45" s="466"/>
      <c r="I45" s="467"/>
      <c r="J45" s="467"/>
      <c r="K45" s="1694">
        <f>SUM(C45:J45)</f>
        <v>76372</v>
      </c>
      <c r="L45" s="466">
        <v>64179</v>
      </c>
    </row>
    <row r="46" spans="1:14" x14ac:dyDescent="0.2">
      <c r="A46" s="1526" t="s">
        <v>870</v>
      </c>
      <c r="B46" s="615">
        <v>2230</v>
      </c>
      <c r="C46" s="466"/>
      <c r="D46" s="466"/>
      <c r="E46" s="466">
        <v>10045</v>
      </c>
      <c r="F46" s="466"/>
      <c r="G46" s="466"/>
      <c r="H46" s="466"/>
      <c r="I46" s="467"/>
      <c r="J46" s="467"/>
      <c r="K46" s="1694">
        <f>SUM(C46:J46)</f>
        <v>10045</v>
      </c>
      <c r="L46" s="466"/>
    </row>
    <row r="47" spans="1:14" ht="12.75" customHeight="1" thickBot="1" x14ac:dyDescent="0.25">
      <c r="A47" s="1690" t="s">
        <v>582</v>
      </c>
      <c r="B47" s="1691" t="s">
        <v>32</v>
      </c>
      <c r="C47" s="1692">
        <f>SUM(C44:C46)</f>
        <v>62175</v>
      </c>
      <c r="D47" s="1692">
        <f t="shared" ref="D47:K47" si="4">SUM(D44:D46)</f>
        <v>16115</v>
      </c>
      <c r="E47" s="1692">
        <f t="shared" si="4"/>
        <v>95374</v>
      </c>
      <c r="F47" s="1692">
        <f t="shared" si="4"/>
        <v>9796</v>
      </c>
      <c r="G47" s="1692">
        <f t="shared" si="4"/>
        <v>0</v>
      </c>
      <c r="H47" s="1692">
        <f t="shared" si="4"/>
        <v>0</v>
      </c>
      <c r="I47" s="1692">
        <f t="shared" si="4"/>
        <v>0</v>
      </c>
      <c r="J47" s="1692">
        <f t="shared" si="4"/>
        <v>0</v>
      </c>
      <c r="K47" s="1692">
        <f t="shared" si="4"/>
        <v>183460</v>
      </c>
      <c r="L47" s="1692">
        <f>SUM(L44:L46)</f>
        <v>129179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1867</v>
      </c>
      <c r="D49" s="481"/>
      <c r="E49" s="481">
        <v>84516</v>
      </c>
      <c r="F49" s="481">
        <v>9737</v>
      </c>
      <c r="G49" s="481"/>
      <c r="H49" s="481">
        <v>10882</v>
      </c>
      <c r="I49" s="467"/>
      <c r="J49" s="467"/>
      <c r="K49" s="1694">
        <f>SUM(C49:J49)</f>
        <v>107002</v>
      </c>
      <c r="L49" s="481">
        <v>103500</v>
      </c>
    </row>
    <row r="50" spans="1:14" x14ac:dyDescent="0.2">
      <c r="A50" s="1526" t="s">
        <v>872</v>
      </c>
      <c r="B50" s="615">
        <v>2320</v>
      </c>
      <c r="C50" s="466">
        <v>172878</v>
      </c>
      <c r="D50" s="466">
        <v>43526</v>
      </c>
      <c r="E50" s="466">
        <v>8415</v>
      </c>
      <c r="F50" s="466">
        <v>14490</v>
      </c>
      <c r="G50" s="466">
        <v>1832</v>
      </c>
      <c r="H50" s="466">
        <v>1774</v>
      </c>
      <c r="I50" s="467"/>
      <c r="J50" s="467"/>
      <c r="K50" s="1694">
        <f>SUM(C50:J50)</f>
        <v>242915</v>
      </c>
      <c r="L50" s="466">
        <v>237158</v>
      </c>
    </row>
    <row r="51" spans="1:14" x14ac:dyDescent="0.2">
      <c r="A51" s="1526" t="s">
        <v>44</v>
      </c>
      <c r="B51" s="615">
        <v>2330</v>
      </c>
      <c r="C51" s="466">
        <v>97344</v>
      </c>
      <c r="D51" s="466">
        <v>35853</v>
      </c>
      <c r="E51" s="466">
        <v>1804</v>
      </c>
      <c r="F51" s="466"/>
      <c r="G51" s="466"/>
      <c r="H51" s="466"/>
      <c r="I51" s="467"/>
      <c r="J51" s="467"/>
      <c r="K51" s="1694">
        <f>SUM(C51:J51)</f>
        <v>135001</v>
      </c>
      <c r="L51" s="466">
        <v>136595</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272089</v>
      </c>
      <c r="D53" s="1692">
        <f t="shared" ref="D53:L53" si="5">SUM(D49:D52)</f>
        <v>79379</v>
      </c>
      <c r="E53" s="1692">
        <f t="shared" si="5"/>
        <v>94735</v>
      </c>
      <c r="F53" s="1692">
        <f t="shared" si="5"/>
        <v>24227</v>
      </c>
      <c r="G53" s="1692">
        <f t="shared" si="5"/>
        <v>1832</v>
      </c>
      <c r="H53" s="1692">
        <f t="shared" si="5"/>
        <v>12656</v>
      </c>
      <c r="I53" s="1692">
        <f t="shared" si="5"/>
        <v>0</v>
      </c>
      <c r="J53" s="1692">
        <f t="shared" si="5"/>
        <v>0</v>
      </c>
      <c r="K53" s="1692">
        <f t="shared" si="5"/>
        <v>484918</v>
      </c>
      <c r="L53" s="1692">
        <f t="shared" si="5"/>
        <v>477253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241901</v>
      </c>
      <c r="D55" s="481">
        <v>71994</v>
      </c>
      <c r="E55" s="481">
        <v>5903</v>
      </c>
      <c r="F55" s="481">
        <v>6393</v>
      </c>
      <c r="G55" s="481"/>
      <c r="H55" s="481">
        <v>799</v>
      </c>
      <c r="I55" s="467"/>
      <c r="J55" s="467"/>
      <c r="K55" s="1694">
        <f>SUM(C55:J55)</f>
        <v>326990</v>
      </c>
      <c r="L55" s="481">
        <v>328820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241901</v>
      </c>
      <c r="D57" s="1696">
        <f t="shared" ref="D57:K57" si="6">SUM(D55:D56)</f>
        <v>71994</v>
      </c>
      <c r="E57" s="1696">
        <f t="shared" si="6"/>
        <v>5903</v>
      </c>
      <c r="F57" s="1696">
        <f t="shared" si="6"/>
        <v>6393</v>
      </c>
      <c r="G57" s="1696">
        <f t="shared" si="6"/>
        <v>0</v>
      </c>
      <c r="H57" s="1696">
        <f t="shared" si="6"/>
        <v>799</v>
      </c>
      <c r="I57" s="1696">
        <f t="shared" si="6"/>
        <v>0</v>
      </c>
      <c r="J57" s="1696">
        <f t="shared" si="6"/>
        <v>0</v>
      </c>
      <c r="K57" s="1696">
        <f t="shared" si="6"/>
        <v>326990</v>
      </c>
      <c r="L57" s="1692">
        <f>SUM(L55:L56)</f>
        <v>328820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v>66730</v>
      </c>
      <c r="F59" s="481">
        <v>682</v>
      </c>
      <c r="G59" s="481"/>
      <c r="H59" s="481">
        <v>150</v>
      </c>
      <c r="I59" s="467"/>
      <c r="J59" s="467"/>
      <c r="K59" s="1694">
        <f t="shared" ref="K59:K64" si="7">SUM(C59:J59)</f>
        <v>67562</v>
      </c>
      <c r="L59" s="481">
        <v>191200</v>
      </c>
      <c r="M59" s="610"/>
      <c r="N59" s="610"/>
    </row>
    <row r="60" spans="1:14" s="343" customFormat="1" x14ac:dyDescent="0.2">
      <c r="A60" s="1526" t="s">
        <v>483</v>
      </c>
      <c r="B60" s="615">
        <v>2520</v>
      </c>
      <c r="C60" s="466">
        <v>107574</v>
      </c>
      <c r="D60" s="466">
        <v>8017</v>
      </c>
      <c r="E60" s="466">
        <v>8420</v>
      </c>
      <c r="F60" s="466">
        <v>401</v>
      </c>
      <c r="G60" s="466"/>
      <c r="H60" s="466"/>
      <c r="I60" s="467"/>
      <c r="J60" s="467"/>
      <c r="K60" s="1694">
        <f t="shared" si="7"/>
        <v>124412</v>
      </c>
      <c r="L60" s="466">
        <v>61000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103329</v>
      </c>
      <c r="D63" s="466">
        <v>8858</v>
      </c>
      <c r="E63" s="466">
        <v>212647</v>
      </c>
      <c r="F63" s="466">
        <v>23853</v>
      </c>
      <c r="G63" s="466">
        <v>13283</v>
      </c>
      <c r="H63" s="466"/>
      <c r="I63" s="467"/>
      <c r="J63" s="467"/>
      <c r="K63" s="1694">
        <f t="shared" si="7"/>
        <v>361970</v>
      </c>
      <c r="L63" s="466">
        <v>320750</v>
      </c>
    </row>
    <row r="64" spans="1:14" s="610" customFormat="1" x14ac:dyDescent="0.2">
      <c r="A64" s="1531" t="s">
        <v>103</v>
      </c>
      <c r="B64" s="631">
        <v>2570</v>
      </c>
      <c r="C64" s="481"/>
      <c r="D64" s="481"/>
      <c r="E64" s="481"/>
      <c r="F64" s="481">
        <v>4870</v>
      </c>
      <c r="G64" s="481">
        <v>59010</v>
      </c>
      <c r="H64" s="481"/>
      <c r="I64" s="467"/>
      <c r="J64" s="467"/>
      <c r="K64" s="1694">
        <f t="shared" si="7"/>
        <v>63880</v>
      </c>
      <c r="L64" s="481">
        <v>24600</v>
      </c>
    </row>
    <row r="65" spans="1:14" s="343" customFormat="1" ht="12.75" customHeight="1" thickBot="1" x14ac:dyDescent="0.25">
      <c r="A65" s="1690" t="s">
        <v>743</v>
      </c>
      <c r="B65" s="1691" t="s">
        <v>35</v>
      </c>
      <c r="C65" s="1692">
        <f>SUM(C59:C64)</f>
        <v>210903</v>
      </c>
      <c r="D65" s="1692">
        <f t="shared" ref="D65:L65" si="8">SUM(D59:D64)</f>
        <v>16875</v>
      </c>
      <c r="E65" s="1692">
        <f t="shared" si="8"/>
        <v>287797</v>
      </c>
      <c r="F65" s="1692">
        <f t="shared" si="8"/>
        <v>29806</v>
      </c>
      <c r="G65" s="1692">
        <f t="shared" si="8"/>
        <v>72293</v>
      </c>
      <c r="H65" s="1692">
        <f t="shared" si="8"/>
        <v>150</v>
      </c>
      <c r="I65" s="1692">
        <f t="shared" si="8"/>
        <v>0</v>
      </c>
      <c r="J65" s="1692">
        <f t="shared" si="8"/>
        <v>0</v>
      </c>
      <c r="K65" s="1692">
        <f t="shared" si="8"/>
        <v>617824</v>
      </c>
      <c r="L65" s="1692">
        <f t="shared" si="8"/>
        <v>597550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2296</v>
      </c>
      <c r="F69" s="466"/>
      <c r="G69" s="466"/>
      <c r="H69" s="466"/>
      <c r="I69" s="467"/>
      <c r="J69" s="467"/>
      <c r="K69" s="1694">
        <f>SUM(C69:J69)</f>
        <v>2296</v>
      </c>
      <c r="L69" s="466">
        <v>6400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85016</v>
      </c>
      <c r="D71" s="466">
        <v>20508</v>
      </c>
      <c r="E71" s="466">
        <v>10409</v>
      </c>
      <c r="F71" s="466">
        <v>77159</v>
      </c>
      <c r="G71" s="466">
        <v>57280</v>
      </c>
      <c r="H71" s="466"/>
      <c r="I71" s="467">
        <v>15067</v>
      </c>
      <c r="J71" s="467"/>
      <c r="K71" s="1694">
        <f>SUM(C71:J71)</f>
        <v>265439</v>
      </c>
      <c r="L71" s="466">
        <v>308086</v>
      </c>
      <c r="M71" s="610"/>
      <c r="N71" s="610"/>
    </row>
    <row r="72" spans="1:14" s="343" customFormat="1" ht="12.75" customHeight="1" thickBot="1" x14ac:dyDescent="0.25">
      <c r="A72" s="1690" t="s">
        <v>37</v>
      </c>
      <c r="B72" s="1697" t="s">
        <v>36</v>
      </c>
      <c r="C72" s="1692">
        <f>SUM(C67:C71)</f>
        <v>85016</v>
      </c>
      <c r="D72" s="1692">
        <f t="shared" ref="D72:K72" si="9">SUM(D67:D71)</f>
        <v>20508</v>
      </c>
      <c r="E72" s="1692">
        <f t="shared" si="9"/>
        <v>12705</v>
      </c>
      <c r="F72" s="1692">
        <f t="shared" si="9"/>
        <v>77159</v>
      </c>
      <c r="G72" s="1692">
        <f t="shared" si="9"/>
        <v>57280</v>
      </c>
      <c r="H72" s="1692">
        <f t="shared" si="9"/>
        <v>0</v>
      </c>
      <c r="I72" s="1692">
        <f t="shared" si="9"/>
        <v>15067</v>
      </c>
      <c r="J72" s="1692">
        <f t="shared" si="9"/>
        <v>0</v>
      </c>
      <c r="K72" s="1692">
        <f t="shared" si="9"/>
        <v>267735</v>
      </c>
      <c r="L72" s="1692">
        <f>SUM(L67:L71)</f>
        <v>314486</v>
      </c>
      <c r="M72" s="610"/>
      <c r="N72" s="610"/>
    </row>
    <row r="73" spans="1:14" s="343" customFormat="1" ht="14.25" thickTop="1" thickBot="1" x14ac:dyDescent="0.25">
      <c r="A73" s="1532" t="s">
        <v>1037</v>
      </c>
      <c r="B73" s="633" t="s">
        <v>595</v>
      </c>
      <c r="C73" s="573"/>
      <c r="D73" s="573"/>
      <c r="E73" s="573"/>
      <c r="F73" s="573">
        <v>855</v>
      </c>
      <c r="G73" s="573"/>
      <c r="H73" s="573">
        <v>4510</v>
      </c>
      <c r="I73" s="531"/>
      <c r="J73" s="531"/>
      <c r="K73" s="1692">
        <f>SUM(C73:J73)</f>
        <v>5365</v>
      </c>
      <c r="L73" s="576"/>
      <c r="M73" s="610"/>
      <c r="N73" s="610"/>
    </row>
    <row r="74" spans="1:14" ht="12.75" customHeight="1" thickTop="1" thickBot="1" x14ac:dyDescent="0.25">
      <c r="A74" s="1690" t="s">
        <v>865</v>
      </c>
      <c r="B74" s="1698">
        <v>2000</v>
      </c>
      <c r="C74" s="1699">
        <f>SUM(C42,C47,C53,C57,C65,C72,C73)</f>
        <v>981597</v>
      </c>
      <c r="D74" s="1699">
        <f t="shared" ref="D74:K74" si="10">SUM(D42,D47,D53,D57,D65,D72,D73)</f>
        <v>231982</v>
      </c>
      <c r="E74" s="1699">
        <f t="shared" si="10"/>
        <v>598005</v>
      </c>
      <c r="F74" s="1699">
        <f t="shared" si="10"/>
        <v>158653</v>
      </c>
      <c r="G74" s="1699">
        <f t="shared" si="10"/>
        <v>131405</v>
      </c>
      <c r="H74" s="1699">
        <f t="shared" si="10"/>
        <v>18115</v>
      </c>
      <c r="I74" s="1699">
        <f t="shared" si="10"/>
        <v>15067</v>
      </c>
      <c r="J74" s="1699">
        <f t="shared" si="10"/>
        <v>0</v>
      </c>
      <c r="K74" s="1699">
        <f t="shared" si="10"/>
        <v>2134824</v>
      </c>
      <c r="L74" s="1699">
        <f>SUM(L42,L47,L53,L57,L65,L72,L73)</f>
        <v>2090867</v>
      </c>
    </row>
    <row r="75" spans="1:14" s="259" customFormat="1" ht="15.75" customHeight="1" thickTop="1" thickBot="1" x14ac:dyDescent="0.25">
      <c r="A75" s="1632" t="s">
        <v>49</v>
      </c>
      <c r="B75" s="1633" t="s">
        <v>596</v>
      </c>
      <c r="C75" s="573"/>
      <c r="D75" s="573"/>
      <c r="E75" s="573">
        <v>12753</v>
      </c>
      <c r="F75" s="573">
        <v>7996</v>
      </c>
      <c r="G75" s="573"/>
      <c r="H75" s="573"/>
      <c r="I75" s="531"/>
      <c r="J75" s="531"/>
      <c r="K75" s="1692">
        <f>SUM(C75:J75)</f>
        <v>20749</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1653</v>
      </c>
      <c r="F79" s="617"/>
      <c r="G79" s="617"/>
      <c r="H79" s="466">
        <v>781359</v>
      </c>
      <c r="I79" s="477"/>
      <c r="J79" s="477"/>
      <c r="K79" s="1693">
        <f t="shared" si="11"/>
        <v>783012</v>
      </c>
      <c r="L79" s="466">
        <v>795000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46470</v>
      </c>
      <c r="F83" s="617"/>
      <c r="G83" s="617"/>
      <c r="H83" s="466"/>
      <c r="I83" s="477"/>
      <c r="J83" s="477"/>
      <c r="K83" s="1693">
        <f t="shared" si="11"/>
        <v>46470</v>
      </c>
      <c r="L83" s="466"/>
    </row>
    <row r="84" spans="1:12" ht="13.5" thickBot="1" x14ac:dyDescent="0.25">
      <c r="A84" s="1690" t="s">
        <v>1565</v>
      </c>
      <c r="B84" s="1700">
        <v>4100</v>
      </c>
      <c r="C84" s="617"/>
      <c r="D84" s="617"/>
      <c r="E84" s="1692">
        <f>SUM(E78:E83)</f>
        <v>48123</v>
      </c>
      <c r="F84" s="617"/>
      <c r="G84" s="617"/>
      <c r="H84" s="1692">
        <f>SUM(H78:H83)</f>
        <v>781359</v>
      </c>
      <c r="I84" s="477"/>
      <c r="J84" s="477"/>
      <c r="K84" s="1692">
        <f>SUM(K78:K83)</f>
        <v>829482</v>
      </c>
      <c r="L84" s="1692">
        <f>SUM(L78:L83)</f>
        <v>795000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48123</v>
      </c>
      <c r="F102" s="617"/>
      <c r="G102" s="617"/>
      <c r="H102" s="1699">
        <f>SUM(H84,H92,H100,H101)</f>
        <v>781359</v>
      </c>
      <c r="I102" s="477"/>
      <c r="J102" s="477"/>
      <c r="K102" s="1699">
        <f>SUM(K84,K92,K100,K101)</f>
        <v>829482</v>
      </c>
      <c r="L102" s="1699">
        <f>SUM(L84,L92,L100,L101)</f>
        <v>795000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3482989</v>
      </c>
      <c r="D114" s="1692">
        <f t="shared" ref="D114:K114" si="13">SUM(D33,D74,D75,D102,D112,D113)</f>
        <v>654932</v>
      </c>
      <c r="E114" s="1692">
        <f t="shared" si="13"/>
        <v>755989</v>
      </c>
      <c r="F114" s="1692">
        <f t="shared" si="13"/>
        <v>278153</v>
      </c>
      <c r="G114" s="1692">
        <f t="shared" si="13"/>
        <v>131405</v>
      </c>
      <c r="H114" s="1692">
        <f>SUM(H33,H74,H75,H102,H112,H113)</f>
        <v>799607</v>
      </c>
      <c r="I114" s="1692">
        <f t="shared" si="13"/>
        <v>15067</v>
      </c>
      <c r="J114" s="1692">
        <f t="shared" si="13"/>
        <v>0</v>
      </c>
      <c r="K114" s="1692">
        <f t="shared" si="13"/>
        <v>6118142</v>
      </c>
      <c r="L114" s="1692">
        <f>SUM(L33,L74,L75,L102,L112,L113)</f>
        <v>6138824</v>
      </c>
    </row>
    <row r="115" spans="1:14" ht="13.5" thickTop="1" x14ac:dyDescent="0.2">
      <c r="A115" s="2198" t="s">
        <v>1053</v>
      </c>
      <c r="B115" s="2199"/>
      <c r="C115" s="619"/>
      <c r="D115" s="619"/>
      <c r="E115" s="619"/>
      <c r="F115" s="619"/>
      <c r="G115" s="619"/>
      <c r="H115" s="619"/>
      <c r="I115" s="619"/>
      <c r="J115" s="619"/>
      <c r="K115" s="1706">
        <f>'Revenues 9-14'!C275-'Expenditures 15-22'!K114</f>
        <v>397171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24958</v>
      </c>
      <c r="F123" s="466"/>
      <c r="G123" s="466"/>
      <c r="H123" s="466"/>
      <c r="I123" s="467"/>
      <c r="J123" s="467"/>
      <c r="K123" s="1692">
        <f>SUM(C123:J123)</f>
        <v>24958</v>
      </c>
      <c r="L123" s="466">
        <v>125000</v>
      </c>
    </row>
    <row r="124" spans="1:14" ht="14.25" thickTop="1" thickBot="1" x14ac:dyDescent="0.25">
      <c r="A124" s="1526" t="s">
        <v>206</v>
      </c>
      <c r="B124" s="615">
        <v>2540</v>
      </c>
      <c r="C124" s="466">
        <v>190067</v>
      </c>
      <c r="D124" s="466">
        <v>61959</v>
      </c>
      <c r="E124" s="466">
        <v>195090</v>
      </c>
      <c r="F124" s="466">
        <v>206772</v>
      </c>
      <c r="G124" s="466">
        <v>29646</v>
      </c>
      <c r="H124" s="466"/>
      <c r="I124" s="467"/>
      <c r="J124" s="467"/>
      <c r="K124" s="1692">
        <f>SUM(C124:J124)</f>
        <v>683534</v>
      </c>
      <c r="L124" s="466">
        <v>559050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190067</v>
      </c>
      <c r="D127" s="1692">
        <f t="shared" ref="D127:L127" si="14">SUM(D122:D126)</f>
        <v>61959</v>
      </c>
      <c r="E127" s="1692">
        <f t="shared" si="14"/>
        <v>220048</v>
      </c>
      <c r="F127" s="1692">
        <f t="shared" si="14"/>
        <v>206772</v>
      </c>
      <c r="G127" s="1692">
        <f t="shared" si="14"/>
        <v>29646</v>
      </c>
      <c r="H127" s="1692">
        <f t="shared" si="14"/>
        <v>0</v>
      </c>
      <c r="I127" s="1692">
        <f t="shared" si="14"/>
        <v>0</v>
      </c>
      <c r="J127" s="1692">
        <f t="shared" si="14"/>
        <v>0</v>
      </c>
      <c r="K127" s="1692">
        <f t="shared" si="14"/>
        <v>708492</v>
      </c>
      <c r="L127" s="1692">
        <f t="shared" si="14"/>
        <v>684050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190067</v>
      </c>
      <c r="D129" s="1699">
        <f t="shared" ref="D129:L129" si="15">SUM(D120,D127,D128)</f>
        <v>61959</v>
      </c>
      <c r="E129" s="1699">
        <f t="shared" si="15"/>
        <v>220048</v>
      </c>
      <c r="F129" s="1699">
        <f t="shared" si="15"/>
        <v>206772</v>
      </c>
      <c r="G129" s="1699">
        <f t="shared" si="15"/>
        <v>29646</v>
      </c>
      <c r="H129" s="1699">
        <f t="shared" si="15"/>
        <v>0</v>
      </c>
      <c r="I129" s="1699">
        <f t="shared" si="15"/>
        <v>0</v>
      </c>
      <c r="J129" s="1699">
        <f t="shared" si="15"/>
        <v>0</v>
      </c>
      <c r="K129" s="1699">
        <f t="shared" si="15"/>
        <v>708492</v>
      </c>
      <c r="L129" s="1699">
        <f t="shared" si="15"/>
        <v>684050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v>36608</v>
      </c>
      <c r="F134" s="617"/>
      <c r="G134" s="617"/>
      <c r="H134" s="481"/>
      <c r="I134" s="477"/>
      <c r="J134" s="617"/>
      <c r="K134" s="1694">
        <f>SUM(E134,H134)</f>
        <v>36608</v>
      </c>
      <c r="L134" s="481">
        <v>29000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36608</v>
      </c>
      <c r="F137" s="617"/>
      <c r="G137" s="617"/>
      <c r="H137" s="1692">
        <f>SUM(H133:H136)</f>
        <v>0</v>
      </c>
      <c r="I137" s="477"/>
      <c r="J137" s="617"/>
      <c r="K137" s="1692">
        <f>SUM(K133:K136)</f>
        <v>36608</v>
      </c>
      <c r="L137" s="1692">
        <f>SUM(L133:L136)</f>
        <v>29000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36608</v>
      </c>
      <c r="F139" s="617"/>
      <c r="G139" s="617"/>
      <c r="H139" s="1701">
        <f>SUM(H137:H138)</f>
        <v>0</v>
      </c>
      <c r="I139" s="477"/>
      <c r="J139" s="617"/>
      <c r="K139" s="1694">
        <f>SUM(K137,K138)</f>
        <v>36608</v>
      </c>
      <c r="L139" s="1701">
        <f>SUM(L137,L138)</f>
        <v>29000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190067</v>
      </c>
      <c r="D151" s="1692">
        <f t="shared" ref="D151:K151" si="16">SUM(D129,D130,D139,D149,D150)</f>
        <v>61959</v>
      </c>
      <c r="E151" s="1692">
        <f t="shared" si="16"/>
        <v>256656</v>
      </c>
      <c r="F151" s="1692">
        <f t="shared" si="16"/>
        <v>206772</v>
      </c>
      <c r="G151" s="1692">
        <f t="shared" si="16"/>
        <v>29646</v>
      </c>
      <c r="H151" s="1692">
        <f t="shared" si="16"/>
        <v>0</v>
      </c>
      <c r="I151" s="1692">
        <f t="shared" si="16"/>
        <v>0</v>
      </c>
      <c r="J151" s="1692">
        <f t="shared" si="16"/>
        <v>0</v>
      </c>
      <c r="K151" s="1692">
        <f t="shared" si="16"/>
        <v>745100</v>
      </c>
      <c r="L151" s="1692">
        <f>SUM(L129,L130,L139,L149,L150)</f>
        <v>713050</v>
      </c>
    </row>
    <row r="152" spans="1:14" ht="12.75" customHeight="1" thickTop="1" x14ac:dyDescent="0.2">
      <c r="A152" s="2191" t="s">
        <v>1240</v>
      </c>
      <c r="B152" s="2192"/>
      <c r="C152" s="619"/>
      <c r="D152" s="619"/>
      <c r="E152" s="619"/>
      <c r="F152" s="619"/>
      <c r="G152" s="619"/>
      <c r="H152" s="619"/>
      <c r="I152" s="619"/>
      <c r="J152" s="617"/>
      <c r="K152" s="1706">
        <f>'Revenues 9-14'!D275-'Expenditures 15-22'!K151</f>
        <v>-271432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88059</v>
      </c>
      <c r="I169" s="617"/>
      <c r="J169" s="617"/>
      <c r="K169" s="1693">
        <f>SUM(C169:H169)</f>
        <v>88059</v>
      </c>
      <c r="L169" s="657">
        <v>83989</v>
      </c>
    </row>
    <row r="170" spans="1:14" ht="33.75" customHeight="1" x14ac:dyDescent="0.2">
      <c r="A170" s="670" t="s">
        <v>1769</v>
      </c>
      <c r="B170" s="672" t="s">
        <v>31</v>
      </c>
      <c r="C170" s="617"/>
      <c r="D170" s="617"/>
      <c r="E170" s="617"/>
      <c r="F170" s="617"/>
      <c r="G170" s="617"/>
      <c r="H170" s="569">
        <v>363353</v>
      </c>
      <c r="I170" s="617"/>
      <c r="J170" s="617"/>
      <c r="K170" s="1693">
        <f>SUM(C170:J170)</f>
        <v>363353</v>
      </c>
      <c r="L170" s="569">
        <v>341533</v>
      </c>
    </row>
    <row r="171" spans="1:14" ht="15.75" customHeight="1" x14ac:dyDescent="0.2">
      <c r="A171" s="622" t="s">
        <v>790</v>
      </c>
      <c r="B171" s="673" t="s">
        <v>86</v>
      </c>
      <c r="C171" s="617"/>
      <c r="D171" s="617"/>
      <c r="E171" s="466"/>
      <c r="F171" s="617"/>
      <c r="G171" s="617"/>
      <c r="H171" s="569">
        <v>450</v>
      </c>
      <c r="I171" s="477"/>
      <c r="J171" s="617"/>
      <c r="K171" s="1693">
        <f>SUM(C171:J171)</f>
        <v>450</v>
      </c>
      <c r="L171" s="569"/>
    </row>
    <row r="172" spans="1:14" ht="12.75" customHeight="1" thickBot="1" x14ac:dyDescent="0.25">
      <c r="A172" s="1690" t="s">
        <v>659</v>
      </c>
      <c r="B172" s="1691" t="s">
        <v>513</v>
      </c>
      <c r="C172" s="617"/>
      <c r="D172" s="617"/>
      <c r="E172" s="1699">
        <f>SUM(E168,E169,E170,E171)</f>
        <v>0</v>
      </c>
      <c r="F172" s="617"/>
      <c r="G172" s="617"/>
      <c r="H172" s="1699">
        <f>SUM(H168,H169,H170,H171)</f>
        <v>451862</v>
      </c>
      <c r="I172" s="639"/>
      <c r="J172" s="617"/>
      <c r="K172" s="1699">
        <f>SUM(K168,K169,K170,K171)</f>
        <v>451862</v>
      </c>
      <c r="L172" s="1699">
        <f>SUM(L168,L169,L170,L171)</f>
        <v>425522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451862</v>
      </c>
      <c r="I174" s="639"/>
      <c r="J174" s="617"/>
      <c r="K174" s="1699">
        <f>SUM(K160,K172,K173)</f>
        <v>451862</v>
      </c>
      <c r="L174" s="1699">
        <f>SUM(L160,L172,L173)</f>
        <v>425522</v>
      </c>
    </row>
    <row r="175" spans="1:14" ht="13.5" thickTop="1" x14ac:dyDescent="0.2">
      <c r="A175" s="2198" t="s">
        <v>1053</v>
      </c>
      <c r="B175" s="2199"/>
      <c r="C175" s="617"/>
      <c r="D175" s="617"/>
      <c r="E175" s="617"/>
      <c r="F175" s="617"/>
      <c r="G175" s="617"/>
      <c r="H175" s="619"/>
      <c r="I175" s="617"/>
      <c r="J175" s="617"/>
      <c r="K175" s="1706">
        <f>'Revenues 9-14'!E275-'Expenditures 15-22'!K174</f>
        <v>-27672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129876</v>
      </c>
      <c r="F182" s="466"/>
      <c r="G182" s="466"/>
      <c r="H182" s="466"/>
      <c r="I182" s="467"/>
      <c r="J182" s="467"/>
      <c r="K182" s="1693">
        <f>SUM(C182:J182)</f>
        <v>129876</v>
      </c>
      <c r="L182" s="466">
        <v>160000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129876</v>
      </c>
      <c r="F184" s="1699">
        <f t="shared" si="17"/>
        <v>0</v>
      </c>
      <c r="G184" s="1699">
        <f t="shared" si="17"/>
        <v>0</v>
      </c>
      <c r="H184" s="1699">
        <f t="shared" si="17"/>
        <v>0</v>
      </c>
      <c r="I184" s="1699">
        <f t="shared" si="17"/>
        <v>0</v>
      </c>
      <c r="J184" s="1699">
        <f t="shared" si="17"/>
        <v>0</v>
      </c>
      <c r="K184" s="1699">
        <f>SUM(K180,K182,K183)</f>
        <v>129876</v>
      </c>
      <c r="L184" s="1699">
        <f>SUM(L180, L182:L183)</f>
        <v>160000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85626</v>
      </c>
      <c r="F189" s="617"/>
      <c r="G189" s="617"/>
      <c r="H189" s="466"/>
      <c r="I189" s="477"/>
      <c r="J189" s="617"/>
      <c r="K189" s="1693">
        <f t="shared" si="18"/>
        <v>85626</v>
      </c>
      <c r="L189" s="466">
        <v>125000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85626</v>
      </c>
      <c r="F194" s="617"/>
      <c r="G194" s="617"/>
      <c r="H194" s="1692">
        <f>SUM(H188:H193)</f>
        <v>0</v>
      </c>
      <c r="I194" s="477"/>
      <c r="J194" s="617"/>
      <c r="K194" s="1692">
        <f>SUM(K188:K193)</f>
        <v>85626</v>
      </c>
      <c r="L194" s="1692">
        <f>SUM(L188:L193)</f>
        <v>125000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85626</v>
      </c>
      <c r="F196" s="617"/>
      <c r="G196" s="617"/>
      <c r="H196" s="1699">
        <f>SUM(H194,H195)</f>
        <v>0</v>
      </c>
      <c r="I196" s="477"/>
      <c r="J196" s="617"/>
      <c r="K196" s="1699">
        <f>SUM(K194,K195)</f>
        <v>85626</v>
      </c>
      <c r="L196" s="1699">
        <f>SUM(L194,L195)</f>
        <v>125000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215502</v>
      </c>
      <c r="F210" s="1692">
        <f>SUM(F184,F185)</f>
        <v>0</v>
      </c>
      <c r="G210" s="1692">
        <f>SUM(G184,G185)</f>
        <v>0</v>
      </c>
      <c r="H210" s="1692">
        <f>SUM(H184,H185,H196,H208,H209)</f>
        <v>0</v>
      </c>
      <c r="I210" s="1692">
        <f>SUM(I184,I185)</f>
        <v>0</v>
      </c>
      <c r="J210" s="1692">
        <f>SUM(J184,J185)</f>
        <v>0</v>
      </c>
      <c r="K210" s="1693">
        <f>SUM(K184,K185,K196,K208,K209)</f>
        <v>215502</v>
      </c>
      <c r="L210" s="1692">
        <f>SUM(L184,L185,L196,L208,L209)</f>
        <v>285000</v>
      </c>
    </row>
    <row r="211" spans="1:14" ht="13.5" thickTop="1" x14ac:dyDescent="0.2">
      <c r="A211" s="2198" t="s">
        <v>1053</v>
      </c>
      <c r="B211" s="2199"/>
      <c r="C211" s="619"/>
      <c r="D211" s="619"/>
      <c r="E211" s="619"/>
      <c r="F211" s="619"/>
      <c r="G211" s="619"/>
      <c r="H211" s="619"/>
      <c r="I211" s="617"/>
      <c r="J211" s="617"/>
      <c r="K211" s="1706">
        <f>'Revenues 9-14'!F275-'Expenditures 15-22'!K210</f>
        <v>60625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40794</v>
      </c>
      <c r="E215" s="617"/>
      <c r="F215" s="617"/>
      <c r="G215" s="617"/>
      <c r="H215" s="617"/>
      <c r="I215" s="617"/>
      <c r="J215" s="617"/>
      <c r="K215" s="1693">
        <f>D215</f>
        <v>40794</v>
      </c>
      <c r="L215" s="466">
        <v>36900</v>
      </c>
    </row>
    <row r="216" spans="1:14" x14ac:dyDescent="0.2">
      <c r="A216" s="1526" t="s">
        <v>165</v>
      </c>
      <c r="B216" s="615" t="s">
        <v>1024</v>
      </c>
      <c r="C216" s="617"/>
      <c r="D216" s="467">
        <v>10280</v>
      </c>
      <c r="E216" s="617"/>
      <c r="F216" s="617"/>
      <c r="G216" s="617"/>
      <c r="H216" s="617"/>
      <c r="I216" s="617"/>
      <c r="J216" s="617"/>
      <c r="K216" s="1693">
        <f t="shared" ref="K216:K228" si="19">D216</f>
        <v>10280</v>
      </c>
      <c r="L216" s="466">
        <v>5212</v>
      </c>
    </row>
    <row r="217" spans="1:14" x14ac:dyDescent="0.2">
      <c r="A217" s="1526" t="s">
        <v>166</v>
      </c>
      <c r="B217" s="615">
        <v>1200</v>
      </c>
      <c r="C217" s="617"/>
      <c r="D217" s="466">
        <v>10334</v>
      </c>
      <c r="E217" s="617"/>
      <c r="F217" s="617"/>
      <c r="G217" s="617"/>
      <c r="H217" s="617"/>
      <c r="I217" s="617"/>
      <c r="J217" s="617"/>
      <c r="K217" s="1693">
        <f t="shared" si="19"/>
        <v>10334</v>
      </c>
      <c r="L217" s="466">
        <v>9700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2077</v>
      </c>
      <c r="E223" s="617"/>
      <c r="F223" s="617"/>
      <c r="G223" s="617"/>
      <c r="H223" s="617"/>
      <c r="I223" s="617"/>
      <c r="J223" s="617"/>
      <c r="K223" s="1693">
        <f t="shared" si="19"/>
        <v>2077</v>
      </c>
      <c r="L223" s="466">
        <v>3165</v>
      </c>
    </row>
    <row r="224" spans="1:14" x14ac:dyDescent="0.2">
      <c r="A224" s="1526" t="s">
        <v>1021</v>
      </c>
      <c r="B224" s="615">
        <v>1600</v>
      </c>
      <c r="C224" s="617"/>
      <c r="D224" s="466">
        <v>755</v>
      </c>
      <c r="E224" s="617"/>
      <c r="F224" s="617"/>
      <c r="G224" s="617"/>
      <c r="H224" s="617"/>
      <c r="I224" s="617"/>
      <c r="J224" s="617"/>
      <c r="K224" s="1693">
        <f t="shared" si="19"/>
        <v>755</v>
      </c>
      <c r="L224" s="466">
        <v>2100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697</v>
      </c>
      <c r="E227" s="617"/>
      <c r="F227" s="617"/>
      <c r="G227" s="617"/>
      <c r="H227" s="617"/>
      <c r="I227" s="617"/>
      <c r="J227" s="617"/>
      <c r="K227" s="1693">
        <f t="shared" si="19"/>
        <v>697</v>
      </c>
      <c r="L227" s="466">
        <v>890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64937</v>
      </c>
      <c r="E229" s="617"/>
      <c r="F229" s="617"/>
      <c r="G229" s="617"/>
      <c r="H229" s="617"/>
      <c r="I229" s="617"/>
      <c r="J229" s="617"/>
      <c r="K229" s="1692">
        <f>SUM(K215:K228)</f>
        <v>64937</v>
      </c>
      <c r="L229" s="1692">
        <f>SUM(L215:L228)</f>
        <v>57967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735</v>
      </c>
      <c r="E232" s="617"/>
      <c r="F232" s="617"/>
      <c r="G232" s="617"/>
      <c r="H232" s="617"/>
      <c r="I232" s="617"/>
      <c r="J232" s="617"/>
      <c r="K232" s="1693">
        <f t="shared" ref="K232:K237" si="20">D232</f>
        <v>735</v>
      </c>
      <c r="L232" s="466">
        <v>763</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v>700</v>
      </c>
    </row>
    <row r="235" spans="1:12" x14ac:dyDescent="0.2">
      <c r="A235" s="1526" t="s">
        <v>208</v>
      </c>
      <c r="B235" s="615">
        <v>2140</v>
      </c>
      <c r="C235" s="617"/>
      <c r="D235" s="466">
        <v>834</v>
      </c>
      <c r="E235" s="617"/>
      <c r="F235" s="617"/>
      <c r="G235" s="617"/>
      <c r="H235" s="617"/>
      <c r="I235" s="617"/>
      <c r="J235" s="617"/>
      <c r="K235" s="1693">
        <f t="shared" si="20"/>
        <v>834</v>
      </c>
      <c r="L235" s="466">
        <v>770</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1569</v>
      </c>
      <c r="E238" s="617"/>
      <c r="F238" s="617"/>
      <c r="G238" s="617"/>
      <c r="H238" s="617"/>
      <c r="I238" s="617"/>
      <c r="J238" s="617"/>
      <c r="K238" s="1692">
        <f>SUM(K232:K237)</f>
        <v>1569</v>
      </c>
      <c r="L238" s="1692">
        <f>SUM(L232:L237)</f>
        <v>2233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96</v>
      </c>
      <c r="E240" s="617"/>
      <c r="F240" s="617"/>
      <c r="G240" s="617"/>
      <c r="H240" s="617"/>
      <c r="I240" s="617"/>
      <c r="J240" s="617"/>
      <c r="K240" s="1694">
        <f>D240</f>
        <v>96</v>
      </c>
      <c r="L240" s="481">
        <v>345</v>
      </c>
    </row>
    <row r="241" spans="1:12" x14ac:dyDescent="0.2">
      <c r="A241" s="1526" t="s">
        <v>869</v>
      </c>
      <c r="B241" s="615">
        <v>2220</v>
      </c>
      <c r="C241" s="617"/>
      <c r="D241" s="466">
        <v>791</v>
      </c>
      <c r="E241" s="617"/>
      <c r="F241" s="617"/>
      <c r="G241" s="617"/>
      <c r="H241" s="617"/>
      <c r="I241" s="617"/>
      <c r="J241" s="617"/>
      <c r="K241" s="1694">
        <f>D241</f>
        <v>791</v>
      </c>
      <c r="L241" s="466">
        <v>5048</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887</v>
      </c>
      <c r="E243" s="617"/>
      <c r="F243" s="617"/>
      <c r="G243" s="617"/>
      <c r="H243" s="617"/>
      <c r="I243" s="617"/>
      <c r="J243" s="617"/>
      <c r="K243" s="1692">
        <f>SUM(K240:K242)</f>
        <v>887</v>
      </c>
      <c r="L243" s="1692">
        <f>SUM(L240:L242)</f>
        <v>5393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286</v>
      </c>
      <c r="E245" s="617"/>
      <c r="F245" s="617"/>
      <c r="G245" s="617"/>
      <c r="H245" s="617"/>
      <c r="I245" s="617"/>
      <c r="J245" s="617"/>
      <c r="K245" s="1694">
        <f>D245</f>
        <v>286</v>
      </c>
      <c r="L245" s="481">
        <v>8585</v>
      </c>
    </row>
    <row r="246" spans="1:12" x14ac:dyDescent="0.2">
      <c r="A246" s="1526" t="s">
        <v>872</v>
      </c>
      <c r="B246" s="615">
        <v>2320</v>
      </c>
      <c r="C246" s="617"/>
      <c r="D246" s="466">
        <v>10675</v>
      </c>
      <c r="E246" s="617"/>
      <c r="F246" s="617"/>
      <c r="G246" s="617"/>
      <c r="H246" s="617"/>
      <c r="I246" s="617"/>
      <c r="J246" s="617"/>
      <c r="K246" s="1694">
        <f t="shared" ref="K246:K256" si="21">D246</f>
        <v>10675</v>
      </c>
      <c r="L246" s="466">
        <v>1780</v>
      </c>
    </row>
    <row r="247" spans="1:12" x14ac:dyDescent="0.2">
      <c r="A247" s="1526" t="s">
        <v>873</v>
      </c>
      <c r="B247" s="615">
        <v>2330</v>
      </c>
      <c r="C247" s="617"/>
      <c r="D247" s="466">
        <v>1407</v>
      </c>
      <c r="E247" s="617"/>
      <c r="F247" s="617"/>
      <c r="G247" s="617"/>
      <c r="H247" s="617"/>
      <c r="I247" s="617"/>
      <c r="J247" s="617"/>
      <c r="K247" s="1694">
        <f t="shared" si="21"/>
        <v>1407</v>
      </c>
      <c r="L247" s="466">
        <v>1700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12368</v>
      </c>
      <c r="E257" s="617"/>
      <c r="F257" s="617"/>
      <c r="G257" s="617"/>
      <c r="H257" s="617"/>
      <c r="I257" s="617"/>
      <c r="J257" s="617"/>
      <c r="K257" s="1692">
        <f>SUM(K245:K256)</f>
        <v>12368</v>
      </c>
      <c r="L257" s="1692">
        <f>SUM(L245:L256)</f>
        <v>12065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9667</v>
      </c>
      <c r="E259" s="617"/>
      <c r="F259" s="617"/>
      <c r="G259" s="617"/>
      <c r="H259" s="617"/>
      <c r="I259" s="617"/>
      <c r="J259" s="617"/>
      <c r="K259" s="1694">
        <f>D259</f>
        <v>9667</v>
      </c>
      <c r="L259" s="481">
        <v>9371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9667</v>
      </c>
      <c r="E261" s="617"/>
      <c r="F261" s="617"/>
      <c r="G261" s="617"/>
      <c r="H261" s="617"/>
      <c r="I261" s="617"/>
      <c r="J261" s="617"/>
      <c r="K261" s="1692">
        <f>SUM(K259:K260)</f>
        <v>9667</v>
      </c>
      <c r="L261" s="1692">
        <f>SUM(L259:L260)</f>
        <v>9371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25000</v>
      </c>
    </row>
    <row r="264" spans="1:14" x14ac:dyDescent="0.2">
      <c r="A264" s="1526" t="s">
        <v>483</v>
      </c>
      <c r="B264" s="686">
        <v>2520</v>
      </c>
      <c r="C264" s="617"/>
      <c r="D264" s="466">
        <v>17330</v>
      </c>
      <c r="E264" s="617"/>
      <c r="F264" s="617"/>
      <c r="G264" s="617"/>
      <c r="H264" s="617"/>
      <c r="I264" s="617"/>
      <c r="J264" s="617"/>
      <c r="K264" s="1694">
        <f t="shared" ref="K264:K269" si="22">D264</f>
        <v>17330</v>
      </c>
      <c r="L264" s="466">
        <v>12700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39680</v>
      </c>
      <c r="E266" s="617"/>
      <c r="F266" s="617"/>
      <c r="G266" s="617"/>
      <c r="H266" s="617"/>
      <c r="I266" s="617"/>
      <c r="J266" s="617"/>
      <c r="K266" s="1694">
        <f t="shared" si="22"/>
        <v>39680</v>
      </c>
      <c r="L266" s="466">
        <v>34850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13549</v>
      </c>
      <c r="E268" s="617"/>
      <c r="F268" s="617"/>
      <c r="G268" s="617"/>
      <c r="H268" s="617"/>
      <c r="I268" s="617"/>
      <c r="J268" s="617"/>
      <c r="K268" s="1694">
        <f t="shared" si="22"/>
        <v>13549</v>
      </c>
      <c r="L268" s="466">
        <v>16725</v>
      </c>
    </row>
    <row r="269" spans="1:14" x14ac:dyDescent="0.2">
      <c r="A269" s="1526" t="s">
        <v>103</v>
      </c>
      <c r="B269" s="615">
        <v>2570</v>
      </c>
      <c r="C269" s="617"/>
      <c r="D269" s="466">
        <v>19223</v>
      </c>
      <c r="E269" s="617"/>
      <c r="F269" s="617"/>
      <c r="G269" s="617"/>
      <c r="H269" s="617"/>
      <c r="I269" s="617"/>
      <c r="J269" s="617"/>
      <c r="K269" s="1694">
        <f t="shared" si="22"/>
        <v>19223</v>
      </c>
      <c r="L269" s="466">
        <v>17875</v>
      </c>
    </row>
    <row r="270" spans="1:14" ht="12.75" customHeight="1" thickBot="1" x14ac:dyDescent="0.25">
      <c r="A270" s="1690" t="s">
        <v>743</v>
      </c>
      <c r="B270" s="1697" t="s">
        <v>35</v>
      </c>
      <c r="C270" s="617"/>
      <c r="D270" s="1692">
        <f>SUM(D263:D269)</f>
        <v>89782</v>
      </c>
      <c r="E270" s="617"/>
      <c r="F270" s="617"/>
      <c r="G270" s="617"/>
      <c r="H270" s="617"/>
      <c r="I270" s="617"/>
      <c r="J270" s="617"/>
      <c r="K270" s="1692">
        <f>SUM(K263:K269)</f>
        <v>89782</v>
      </c>
      <c r="L270" s="1692">
        <f>SUM(L263:L269)</f>
        <v>107150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114273</v>
      </c>
      <c r="E279" s="617"/>
      <c r="F279" s="617"/>
      <c r="G279" s="617"/>
      <c r="H279" s="617"/>
      <c r="I279" s="617"/>
      <c r="J279" s="617"/>
      <c r="K279" s="1699">
        <f>SUM(K238,K243,K257,K261,K270,K277,K278)</f>
        <v>114273</v>
      </c>
      <c r="L279" s="1699">
        <f>SUM(L238,L243,L257,L261,L270,L277,L278)</f>
        <v>136212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179210</v>
      </c>
      <c r="E295" s="617"/>
      <c r="F295" s="617"/>
      <c r="G295" s="617"/>
      <c r="H295" s="1692">
        <f>H293</f>
        <v>0</v>
      </c>
      <c r="I295" s="617"/>
      <c r="J295" s="617"/>
      <c r="K295" s="1692">
        <f>SUM(K229,K279,K280,K285,K293,K294)</f>
        <v>179210</v>
      </c>
      <c r="L295" s="1692">
        <f>SUM(L229,L279,L280,L285,L293,L294)</f>
        <v>194179</v>
      </c>
    </row>
    <row r="296" spans="1:14" ht="13.5" thickTop="1" x14ac:dyDescent="0.2">
      <c r="A296" s="2198" t="s">
        <v>1053</v>
      </c>
      <c r="B296" s="2199"/>
      <c r="C296" s="617"/>
      <c r="D296" s="619"/>
      <c r="E296" s="617"/>
      <c r="F296" s="617"/>
      <c r="G296" s="617"/>
      <c r="H296" s="688"/>
      <c r="I296" s="617"/>
      <c r="J296" s="617"/>
      <c r="K296" s="1706">
        <f>'Revenues 9-14'!G275-'Expenditures 15-22'!K295</f>
        <v>488800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361865</v>
      </c>
      <c r="H301" s="466"/>
      <c r="I301" s="467"/>
      <c r="J301" s="467"/>
      <c r="K301" s="1693">
        <f>SUM(C301:J301)</f>
        <v>361865</v>
      </c>
      <c r="L301" s="467">
        <v>420000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361865</v>
      </c>
      <c r="H303" s="1699">
        <f t="shared" si="23"/>
        <v>0</v>
      </c>
      <c r="I303" s="1699">
        <f t="shared" si="23"/>
        <v>0</v>
      </c>
      <c r="J303" s="1699">
        <f t="shared" si="23"/>
        <v>0</v>
      </c>
      <c r="K303" s="1699">
        <f t="shared" si="23"/>
        <v>361865</v>
      </c>
      <c r="L303" s="1699">
        <f t="shared" si="23"/>
        <v>420000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361865</v>
      </c>
      <c r="H312" s="1692">
        <f>SUM(H303,H310)</f>
        <v>0</v>
      </c>
      <c r="I312" s="1692">
        <f>SUM(I303)</f>
        <v>0</v>
      </c>
      <c r="J312" s="1692">
        <f>SUM(J303)</f>
        <v>0</v>
      </c>
      <c r="K312" s="1692">
        <f>SUM(K303,K310,K311)</f>
        <v>361865</v>
      </c>
      <c r="L312" s="1692">
        <f>SUM(L303,L310,L311)</f>
        <v>420000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-359943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15002</v>
      </c>
      <c r="F320" s="467"/>
      <c r="G320" s="467"/>
      <c r="H320" s="467"/>
      <c r="I320" s="467"/>
      <c r="J320" s="467"/>
      <c r="K320" s="1693">
        <f t="shared" ref="K320:K327" si="24">SUM(C320:J320)</f>
        <v>15002</v>
      </c>
      <c r="L320" s="467">
        <v>6800</v>
      </c>
      <c r="M320" s="666"/>
      <c r="N320" s="666"/>
    </row>
    <row r="321" spans="1:14" s="675" customFormat="1" x14ac:dyDescent="0.2">
      <c r="A321" s="1541" t="s">
        <v>318</v>
      </c>
      <c r="B321" s="698" t="s">
        <v>301</v>
      </c>
      <c r="C321" s="467"/>
      <c r="D321" s="467"/>
      <c r="E321" s="467">
        <v>14835</v>
      </c>
      <c r="F321" s="467"/>
      <c r="G321" s="467"/>
      <c r="H321" s="467"/>
      <c r="I321" s="467"/>
      <c r="J321" s="467"/>
      <c r="K321" s="1693">
        <f t="shared" si="24"/>
        <v>14835</v>
      </c>
      <c r="L321" s="467">
        <v>35000</v>
      </c>
      <c r="M321" s="666"/>
      <c r="N321" s="666"/>
    </row>
    <row r="322" spans="1:14" s="675" customFormat="1" x14ac:dyDescent="0.2">
      <c r="A322" s="1541" t="s">
        <v>256</v>
      </c>
      <c r="B322" s="698" t="s">
        <v>302</v>
      </c>
      <c r="C322" s="467"/>
      <c r="D322" s="467"/>
      <c r="E322" s="467">
        <v>54579</v>
      </c>
      <c r="F322" s="467"/>
      <c r="G322" s="467"/>
      <c r="H322" s="467"/>
      <c r="I322" s="467"/>
      <c r="J322" s="467"/>
      <c r="K322" s="1693">
        <f t="shared" si="24"/>
        <v>54579</v>
      </c>
      <c r="L322" s="467">
        <v>60000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130981</v>
      </c>
      <c r="F327" s="467"/>
      <c r="G327" s="467"/>
      <c r="H327" s="467"/>
      <c r="I327" s="467"/>
      <c r="J327" s="467"/>
      <c r="K327" s="1693">
        <f t="shared" si="24"/>
        <v>130981</v>
      </c>
      <c r="L327" s="467">
        <v>95000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215397</v>
      </c>
      <c r="F330" s="1692">
        <f t="shared" si="25"/>
        <v>0</v>
      </c>
      <c r="G330" s="1692">
        <f t="shared" si="25"/>
        <v>0</v>
      </c>
      <c r="H330" s="1692">
        <f t="shared" si="25"/>
        <v>0</v>
      </c>
      <c r="I330" s="1692">
        <f t="shared" si="25"/>
        <v>0</v>
      </c>
      <c r="J330" s="1692">
        <f t="shared" si="25"/>
        <v>0</v>
      </c>
      <c r="K330" s="1692">
        <f>SUM(K319:K329)</f>
        <v>215397</v>
      </c>
      <c r="L330" s="1692">
        <f>SUM(L319:L329)</f>
        <v>196800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215397</v>
      </c>
      <c r="F342" s="1692">
        <f>SUM(F330)</f>
        <v>0</v>
      </c>
      <c r="G342" s="1692">
        <f>SUM(G330)</f>
        <v>0</v>
      </c>
      <c r="H342" s="1692">
        <f>SUM(H330,H334,H340)</f>
        <v>0</v>
      </c>
      <c r="I342" s="1692">
        <f>SUM(I330)</f>
        <v>0</v>
      </c>
      <c r="J342" s="1692">
        <f>SUM(J330)</f>
        <v>0</v>
      </c>
      <c r="K342" s="1692">
        <f>SUM(K330,K334,K340)</f>
        <v>215397</v>
      </c>
      <c r="L342" s="1699">
        <f>SUM(L330,L340,L341)</f>
        <v>196800</v>
      </c>
    </row>
    <row r="343" spans="1:14" ht="12.75" customHeight="1" thickTop="1" x14ac:dyDescent="0.2">
      <c r="A343" s="2184" t="s">
        <v>1053</v>
      </c>
      <c r="B343" s="2185"/>
      <c r="C343" s="617"/>
      <c r="D343" s="617"/>
      <c r="E343" s="617"/>
      <c r="F343" s="617"/>
      <c r="G343" s="617"/>
      <c r="H343" s="617"/>
      <c r="I343" s="617"/>
      <c r="J343" s="617"/>
      <c r="K343" s="1706">
        <f>'Revenues 9-14'!J275-'Expenditures 15-22'!K342</f>
        <v>186651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15000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15000</v>
      </c>
    </row>
    <row r="368" spans="1:14" ht="13.5" thickTop="1" x14ac:dyDescent="0.2">
      <c r="A368" s="2198" t="s">
        <v>1053</v>
      </c>
      <c r="B368" s="2199"/>
      <c r="C368" s="655"/>
      <c r="D368" s="655"/>
      <c r="E368" s="627"/>
      <c r="F368" s="627"/>
      <c r="G368" s="627"/>
      <c r="H368" s="627"/>
      <c r="I368" s="627"/>
      <c r="J368" s="624"/>
      <c r="K368" s="1693">
        <f>'Revenues 9-14'!K275-'Expenditures 15-22'!K367</f>
        <v>84617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dcmitype/"/>
    <ds:schemaRef ds:uri="http://schemas.microsoft.com/office/2006/documentManagement/types"/>
    <ds:schemaRef ds:uri="http://www.w3.org/XML/1998/namespace"/>
    <ds:schemaRef ds:uri="d21dc803-237d-4c68-8692-8d731fd29118"/>
    <ds:schemaRef ds:uri="http://purl.org/dc/elements/1.1/"/>
    <ds:schemaRef ds:uri="4d435f69-8686-490b-bd6d-b153bf22ab50"/>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2018-12-05T15:07:55Z</cp:lastPrinted>
  <dcterms:created xsi:type="dcterms:W3CDTF">2003-10-29T19:06:34Z</dcterms:created>
  <dcterms:modified xsi:type="dcterms:W3CDTF">2018-12-14T19:38:26Z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