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I21" i="183" l="1"/>
  <c r="F21" i="183" l="1"/>
  <c r="I19" i="183"/>
  <c r="F19" i="183"/>
  <c r="L13" i="183"/>
  <c r="I24" i="179"/>
  <c r="F24" i="179"/>
  <c r="L17" i="183" l="1"/>
  <c r="L15"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2" i="179" l="1"/>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E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C144" i="5"/>
  <c r="B5165" i="106"/>
  <c r="D5165" i="106" s="1"/>
  <c r="C154" i="5"/>
  <c r="B5178" i="106" s="1"/>
  <c r="D5178" i="106" s="1"/>
  <c r="D154" i="5"/>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13" i="7"/>
  <c r="B3726" i="106" s="1"/>
  <c r="D3726" i="106" s="1"/>
  <c r="D9" i="7"/>
  <c r="B1767" i="106" s="1"/>
  <c r="D1767" i="106" s="1"/>
  <c r="F136" i="34"/>
  <c r="F131" i="34"/>
  <c r="F130" i="34"/>
  <c r="F127" i="34"/>
  <c r="B5847" i="106"/>
  <c r="D5847" i="106" s="1"/>
  <c r="B5752" i="106"/>
  <c r="D5752" i="106" s="1"/>
  <c r="B5599" i="106"/>
  <c r="D5599" i="106" s="1"/>
  <c r="K274" i="5"/>
  <c r="H173" i="5"/>
  <c r="B5906" i="106" s="1"/>
  <c r="D5906" i="106" s="1"/>
  <c r="C172" i="5"/>
  <c r="B5214" i="106" s="1"/>
  <c r="D5214" i="106" s="1"/>
  <c r="F106" i="34"/>
  <c r="B1746" i="106"/>
  <c r="D1746" i="106" s="1"/>
  <c r="D17" i="7"/>
  <c r="B4104" i="106" s="1"/>
  <c r="D4104" i="106" s="1"/>
  <c r="D12" i="7"/>
  <c r="B1769" i="106" s="1"/>
  <c r="D1769" i="106" s="1"/>
  <c r="D15" i="7"/>
  <c r="B1772" i="106" s="1"/>
  <c r="D1772" i="106" s="1"/>
  <c r="B4363" i="106" l="1"/>
  <c r="D4363" i="106" s="1"/>
  <c r="I173" i="5"/>
  <c r="B4216" i="106" s="1"/>
  <c r="D4216" i="106" s="1"/>
  <c r="B5394" i="106"/>
  <c r="D5394" i="106" s="1"/>
  <c r="F111" i="34"/>
  <c r="G173" i="5"/>
  <c r="B5778" i="106" s="1"/>
  <c r="D5778" i="106" s="1"/>
  <c r="B5770" i="106"/>
  <c r="D5770" i="106" s="1"/>
  <c r="B5360" i="106"/>
  <c r="D5360" i="106" s="1"/>
  <c r="D5" i="4"/>
  <c r="B3406" i="106" s="1"/>
  <c r="D3406" i="106" s="1"/>
  <c r="H6" i="4"/>
  <c r="B2656" i="106" s="1"/>
  <c r="D2656" i="106" s="1"/>
  <c r="K173" i="5"/>
  <c r="K6" i="4" s="1"/>
  <c r="B3570" i="106" s="1"/>
  <c r="D3570" i="106" s="1"/>
  <c r="D109" i="5"/>
  <c r="B5356" i="106" s="1"/>
  <c r="D5356" i="106" s="1"/>
  <c r="L312" i="29"/>
  <c r="B7235" i="106"/>
  <c r="D7235" i="106" s="1"/>
  <c r="B3649" i="106"/>
  <c r="D3649" i="106" s="1"/>
  <c r="G367" i="29"/>
  <c r="B3621" i="106"/>
  <c r="D3621" i="106" s="1"/>
  <c r="C367" i="29"/>
  <c r="B1329" i="106"/>
  <c r="D1329" i="106" s="1"/>
  <c r="F61" i="34"/>
  <c r="K24" i="12"/>
  <c r="J41" i="3"/>
  <c r="K350" i="29"/>
  <c r="K76" i="4"/>
  <c r="B3586" i="106" s="1"/>
  <c r="D3586" i="106" s="1"/>
  <c r="G210" i="29"/>
  <c r="D7" i="7"/>
  <c r="B1763" i="106" s="1"/>
  <c r="D1763" i="106" s="1"/>
  <c r="L342" i="29"/>
  <c r="F19" i="7"/>
  <c r="B1807" i="106" s="1"/>
  <c r="D1807" i="106" s="1"/>
  <c r="B1410" i="106"/>
  <c r="D1410" i="106" s="1"/>
  <c r="G35" i="108"/>
  <c r="G30" i="108"/>
  <c r="E30" i="108"/>
  <c r="F26" i="108"/>
  <c r="D26" i="108"/>
  <c r="B1126" i="106"/>
  <c r="D1126" i="106" s="1"/>
  <c r="C173" i="5"/>
  <c r="B5223" i="106" s="1"/>
  <c r="D5223" i="106" s="1"/>
  <c r="B5096" i="106"/>
  <c r="D5096" i="106" s="1"/>
  <c r="H109" i="5"/>
  <c r="D11" i="7"/>
  <c r="B1768" i="106" s="1"/>
  <c r="D1768" i="106" s="1"/>
  <c r="G109" i="5"/>
  <c r="B6024" i="106" s="1"/>
  <c r="D6024" i="106" s="1"/>
  <c r="D4" i="4"/>
  <c r="B2564" i="106" s="1"/>
  <c r="D2564" i="106" s="1"/>
  <c r="D5" i="7"/>
  <c r="B1761" i="106" s="1"/>
  <c r="D1761" i="106" s="1"/>
  <c r="C109" i="5"/>
  <c r="B5121" i="106" s="1"/>
  <c r="D5121" i="106" s="1"/>
  <c r="H33" i="118"/>
  <c r="B4268" i="106"/>
  <c r="D4268" i="106" s="1"/>
  <c r="H29" i="118"/>
  <c r="K28" i="118" s="1"/>
  <c r="O27" i="118" s="1"/>
  <c r="O29" i="118"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3670" i="106" l="1"/>
  <c r="D3670" i="106" s="1"/>
  <c r="K352" i="29"/>
  <c r="B7733" i="106"/>
  <c r="D7733" i="106" s="1"/>
  <c r="K26" i="12"/>
  <c r="B7743" i="106" s="1"/>
  <c r="D7743" i="106" s="1"/>
  <c r="K365" i="29"/>
  <c r="K367" i="29" s="1"/>
  <c r="D7255" i="106"/>
  <c r="D7253" i="106"/>
  <c r="D7252" i="106"/>
  <c r="B1365" i="106"/>
  <c r="D1365" i="106" s="1"/>
  <c r="F65" i="34"/>
  <c r="H367" i="29"/>
  <c r="B3660" i="106" s="1"/>
  <c r="D3660" i="106" s="1"/>
  <c r="F275" i="5"/>
  <c r="D44" i="36"/>
  <c r="L16" i="11"/>
  <c r="B2061" i="106" s="1"/>
  <c r="D2061" i="106" s="1"/>
  <c r="K342" i="29"/>
  <c r="F13" i="34" s="1"/>
  <c r="C114" i="29"/>
  <c r="B757" i="106" s="1"/>
  <c r="D757" i="106" s="1"/>
  <c r="C6" i="4"/>
  <c r="B2553" i="106" s="1"/>
  <c r="D2553" i="106" s="1"/>
  <c r="B6025" i="106"/>
  <c r="D6025" i="106" s="1"/>
  <c r="H4" i="4"/>
  <c r="C4" i="4"/>
  <c r="B2551" i="106" s="1"/>
  <c r="D2551"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K13" i="4" l="1"/>
  <c r="B3572" i="106" s="1"/>
  <c r="D3572" i="106" s="1"/>
  <c r="B3672" i="106"/>
  <c r="D3672" i="106" s="1"/>
  <c r="J17" i="4"/>
  <c r="B7224" i="106"/>
  <c r="D7224" i="106" s="1"/>
  <c r="E41" i="108"/>
  <c r="E44" i="108" s="1"/>
  <c r="E45" i="108" s="1"/>
  <c r="G41" i="108"/>
  <c r="G44" i="108" s="1"/>
  <c r="G45" i="108" s="1"/>
  <c r="B2655" i="106"/>
  <c r="D2655" i="106" s="1"/>
  <c r="H8" i="4"/>
  <c r="J8" i="4"/>
  <c r="B6223" i="106" s="1"/>
  <c r="D622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J10" i="4" l="1"/>
  <c r="B6225" i="106" s="1"/>
  <c r="D6225" i="106" s="1"/>
  <c r="B2595" i="106"/>
  <c r="D2595" i="106" s="1"/>
  <c r="F76" i="34"/>
  <c r="D10" i="171"/>
  <c r="D19" i="171" s="1"/>
  <c r="D32" i="171" s="1"/>
  <c r="D49" i="171" s="1"/>
  <c r="H10" i="4"/>
  <c r="B4127" i="106" s="1"/>
  <c r="D4127" i="106" s="1"/>
  <c r="B2658" i="106"/>
  <c r="D2658"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<sst xmlns="http://schemas.openxmlformats.org/spreadsheetml/2006/main" count="5149" uniqueCount="2139">
  <si>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</si>
  <si>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</si>
  <si>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</si>
  <si>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</si>
  <si>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</si>
  <si>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</si>
  <si>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</si>
  <si>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</si>
  <si>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</si>
  <si>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</si>
  <si>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</si>
  <si>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</si>
  <si>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</si>
  <si>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</si>
  <si>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</si>
  <si>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</si>
  <si>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</si>
  <si>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</si>
  <si>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</si>
  <si>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</si>
  <si>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</si>
  <si>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</si>
  <si>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</si>
  <si>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</si>
  <si>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</si>
  <si>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</si>
  <si>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</si>
  <si>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</si>
  <si>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</si>
  <si>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</si>
  <si>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</si>
  <si>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</si>
  <si>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</si>
  <si>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</si>
  <si>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</si>
  <si>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</si>
  <si>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</si>
  <si>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</si>
  <si>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</si>
  <si>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</si>
  <si>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</si>
  <si>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</si>
  <si>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</si>
  <si>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</si>
  <si>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</si>
  <si>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</si>
  <si>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</si>
  <si>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</si>
  <si>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</si>
  <si>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</si>
  <si>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</si>
  <si>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</si>
  <si>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</si>
  <si>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</si>
  <si>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</si>
  <si>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</si>
  <si>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</si>
  <si>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</si>
  <si>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</si>
  <si>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</si>
  <si>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</si>
  <si>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</si>
  <si>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</si>
  <si>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</si>
  <si>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</si>
  <si>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</si>
  <si>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</si>
  <si>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</si>
  <si>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</si>
  <si>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</si>
  <si>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</si>
  <si>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</si>
  <si>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</si>
  <si>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</si>
  <si>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</si>
  <si>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</si>
  <si>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</si>
  <si>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</si>
  <si>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</si>
  <si>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</si>
  <si>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</si>
  <si>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</si>
  <si>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</si>
  <si>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</si>
  <si>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</si>
  <si>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</si>
  <si>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</si>
  <si>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</si>
  <si>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</si>
  <si>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</si>
  <si>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</si>
  <si>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</si>
  <si>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</si>
  <si>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</si>
  <si>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</si>
  <si>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</si>
  <si>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</si>
  <si>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</si>
  <si>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</si>
  <si>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</si>
  <si>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</si>
  <si>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</si>
  <si>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</si>
  <si>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</si>
  <si>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</si>
  <si>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</si>
  <si>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</si>
  <si>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</si>
  <si>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</si>
  <si>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</si>
  <si>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</si>
  <si>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</si>
  <si>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</si>
  <si>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</si>
  <si>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</si>
  <si>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</si>
  <si>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</si>
  <si>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</si>
  <si>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</si>
  <si>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</si>
  <si>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</si>
  <si>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</si>
  <si>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</si>
  <si>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</si>
  <si>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</si>
  <si>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</si>
  <si>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</si>
  <si>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</si>
  <si>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</si>
  <si>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</si>
  <si>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</si>
  <si>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</si>
  <si>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</si>
  <si>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</si>
  <si>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</si>
  <si>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</si>
  <si>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</si>
  <si>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</si>
  <si>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</si>
  <si>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</si>
  <si>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</si>
  <si>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</si>
  <si>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</si>
  <si>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</si>
  <si>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</si>
  <si>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</si>
  <si>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</si>
  <si>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</si>
  <si>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</si>
  <si>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</si>
  <si>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</si>
  <si>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</si>
  <si>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</si>
  <si>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</si>
  <si>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</si>
  <si>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</si>
  <si>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</si>
  <si>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</si>
  <si>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</si>
  <si>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</si>
  <si>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</si>
  <si>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</si>
  <si>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</si>
  <si>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</si>
  <si>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</si>
  <si>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</si>
  <si>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</si>
  <si>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</si>
  <si>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</si>
  <si>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</si>
  <si>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</si>
  <si>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</si>
  <si>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</si>
  <si>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</si>
  <si>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</si>
  <si>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</si>
  <si>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</si>
  <si>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</si>
  <si>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</si>
  <si>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</si>
  <si>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</si>
  <si>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</si>
  <si>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</si>
  <si>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</si>
  <si>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</si>
  <si>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</si>
  <si>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</si>
  <si>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</si>
  <si>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</si>
  <si>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</si>
  <si>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</si>
  <si>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</si>
  <si>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</si>
  <si>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</si>
  <si>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</si>
  <si>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</si>
  <si>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</si>
  <si>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</si>
  <si>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</si>
  <si>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</si>
  <si>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</si>
  <si>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</si>
  <si>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</si>
  <si>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</si>
  <si>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</si>
  <si>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</si>
  <si>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</si>
  <si>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</si>
  <si>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</si>
  <si>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</si>
  <si>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</si>
  <si>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</si>
  <si>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</si>
  <si>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</si>
  <si>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</si>
  <si>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</si>
  <si>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</si>
  <si>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</si>
  <si>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</si>
  <si>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</si>
  <si>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</si>
  <si>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</si>
  <si>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</si>
  <si>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</si>
  <si>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</si>
  <si>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</si>
  <si>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</si>
  <si>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</si>
  <si>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</si>
  <si>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</si>
  <si>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</si>
  <si>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</si>
  <si>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</si>
  <si>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</si>
  <si>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</si>
  <si>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</si>
  <si>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</si>
  <si>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</si>
  <si>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</si>
  <si>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</si>
  <si>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</si>
  <si>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</si>
  <si>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</si>
  <si>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</si>
  <si>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</si>
  <si>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</si>
  <si>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</si>
  <si>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</si>
  <si>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</si>
  <si>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</si>
  <si>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</si>
  <si>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</si>
  <si>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</si>
  <si>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</si>
  <si>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</si>
  <si>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</si>
  <si>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</si>
  <si>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</si>
  <si>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</si>
  <si>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</si>
  <si>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</si>
  <si>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</si>
  <si>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</si>
  <si>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</si>
  <si>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</si>
  <si>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</si>
  <si>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</si>
  <si>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</si>
  <si>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</si>
  <si>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</si>
  <si>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</si>
  <si>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</si>
  <si>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</si>
  <si>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</si>
  <si>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</si>
  <si>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</si>
  <si>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</si>
  <si>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</si>
  <si>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</si>
  <si>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</si>
  <si>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</si>
  <si>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</si>
  <si>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</si>
  <si>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</si>
  <si>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</si>
  <si>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</si>
  <si>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</si>
  <si>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</si>
  <si>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</si>
  <si>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</si>
  <si>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</si>
  <si>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</si>
  <si>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</si>
  <si>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</si>
  <si>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</si>
  <si>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</si>
  <si>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</si>
  <si>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</si>
  <si>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</si>
  <si>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</si>
  <si>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</si>
  <si>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</si>
  <si>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</si>
  <si>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</si>
  <si>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</si>
  <si>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</si>
  <si>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</si>
  <si>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</si>
  <si>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</si>
  <si>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</si>
  <si>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</si>
  <si>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</si>
  <si>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</si>
  <si>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</si>
  <si>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</si>
  <si>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</si>
  <si>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</si>
  <si>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</si>
  <si>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</si>
  <si>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</si>
  <si>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</si>
  <si>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</si>
  <si>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</si>
  <si>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</si>
  <si>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</si>
  <si>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</si>
  <si>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</si>
  <si>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</si>
  <si>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</si>
  <si>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</si>
  <si>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</si>
  <si>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</si>
  <si>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</si>
  <si>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</si>
  <si>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</si>
  <si>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</si>
  <si>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</si>
  <si>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</si>
  <si>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</si>
  <si>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</si>
  <si>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</si>
  <si>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</si>
  <si>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</si>
  <si>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</si>
  <si>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</si>
  <si>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</si>
  <si>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</si>
  <si>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</si>
  <si>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</si>
  <si>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</si>
  <si>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</si>
  <si>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</si>
  <si>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</si>
  <si>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</si>
  <si>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</si>
  <si>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</si>
  <si>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</si>
  <si>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</si>
  <si>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</si>
  <si>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</si>
  <si>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</si>
  <si>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</si>
  <si>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</si>
  <si>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</si>
  <si>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</si>
  <si>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</si>
  <si>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</si>
  <si>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</si>
  <si>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</si>
  <si>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</si>
  <si>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</si>
  <si>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</si>
  <si>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</si>
  <si>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</si>
  <si>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</si>
  <si>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</si>
  <si>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</si>
  <si>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</si>
  <si>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</si>
  <si>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</si>
  <si>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</si>
  <si>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</si>
  <si>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</si>
  <si>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</si>
  <si>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</si>
  <si>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</si>
  <si>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</si>
  <si>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</si>
  <si>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</si>
  <si>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</si>
  <si>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</si>
  <si>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</si>
  <si>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</si>
  <si>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</si>
  <si>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</si>
  <si>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</si>
  <si>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</si>
  <si>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</si>
  <si>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</si>
  <si>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</si>
  <si>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</si>
  <si>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</si>
  <si>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</si>
  <si>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</si>
  <si>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</si>
  <si>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</si>
  <si>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</si>
  <si>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</si>
  <si>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</si>
  <si>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</si>
  <si>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</si>
  <si>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</si>
  <si>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</si>
  <si>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</si>
  <si>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</si>
  <si>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</si>
  <si>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</si>
  <si>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</si>
  <si>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</si>
  <si>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</si>
  <si>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</si>
  <si>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</si>
  <si>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</si>
  <si>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</si>
  <si>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</si>
  <si>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</si>
  <si>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</si>
  <si>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</si>
  <si>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</si>
  <si>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</si>
  <si>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</si>
  <si>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</si>
  <si>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</si>
  <si>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</si>
  <si>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</si>
  <si>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</si>
  <si>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</si>
  <si>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</si>
  <si>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</si>
  <si>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</si>
  <si>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</si>
  <si>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</si>
  <si>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</si>
  <si>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</si>
  <si>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</si>
  <si>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</si>
  <si>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</si>
  <si>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</si>
  <si>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</si>
  <si>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</si>
  <si>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</si>
  <si>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</si>
  <si>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</si>
  <si>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</si>
  <si>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</si>
  <si>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</si>
  <si>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</si>
  <si>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</si>
  <si>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</si>
  <si>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</si>
  <si>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</si>
  <si>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</si>
  <si>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</si>
  <si>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</si>
  <si>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</si>
  <si>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</si>
  <si>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</si>
  <si>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</si>
  <si>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</si>
  <si>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</si>
  <si>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</si>
  <si>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</si>
  <si>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</si>
  <si>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</si>
  <si>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</si>
  <si>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</si>
  <si>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</si>
  <si>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</si>
  <si>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</si>
  <si>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</si>
  <si>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</si>
  <si>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</si>
  <si>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</si>
  <si>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</si>
  <si>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</si>
  <si>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</si>
  <si>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</si>
  <si>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</si>
  <si>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</si>
  <si>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</si>
  <si>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</si>
  <si>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</si>
  <si>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</si>
  <si>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</si>
  <si>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</si>
  <si>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</si>
  <si>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</si>
  <si>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</si>
  <si>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</si>
  <si>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</si>
  <si>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</si>
  <si>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</si>
  <si>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</si>
  <si>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</si>
  <si>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</si>
  <si>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</si>
  <si>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</si>
  <si>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</si>
  <si>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</si>
  <si>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</si>
  <si>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</si>
  <si>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</si>
  <si>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</si>
  <si>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</si>
  <si>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</si>
  <si>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</si>
  <si>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</si>
  <si>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</si>
  <si>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</si>
  <si>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</si>
  <si>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</si>
  <si>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</si>
  <si>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</si>
  <si>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</si>
  <si>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</si>
  <si>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</si>
  <si>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</si>
  <si>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</si>
  <si>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</si>
  <si>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</si>
  <si>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</si>
  <si>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</si>
  <si>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</si>
  <si>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</si>
  <si>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</si>
  <si>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</si>
  <si>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</si>
  <si>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</si>
  <si>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</si>
  <si>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</si>
  <si>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</si>
  <si>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</si>
  <si>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</si>
  <si>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</si>
  <si>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</si>
  <si>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</si>
  <si>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</si>
  <si>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</si>
  <si>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</si>
  <si>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</si>
  <si>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</si>
  <si>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</si>
  <si>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</si>
  <si>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</si>
  <si>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</si>
  <si>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</si>
  <si>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</si>
  <si>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</si>
  <si>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</si>
  <si>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</si>
  <si>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</si>
  <si>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</si>
  <si>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</si>
  <si>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</si>
  <si>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</si>
  <si>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</si>
  <si>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</si>
  <si>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</si>
  <si>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</si>
  <si>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</si>
  <si>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</si>
  <si>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</si>
  <si>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</si>
  <si>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</si>
  <si>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</si>
  <si>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</si>
  <si>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</si>
  <si>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</si>
  <si>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</si>
  <si>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</si>
  <si>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</si>
  <si>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</si>
  <si>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</si>
  <si>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</si>
  <si>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</si>
  <si>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</si>
  <si>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</si>
  <si>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</si>
  <si>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</si>
  <si>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</si>
  <si>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</si>
  <si>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</si>
  <si>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</si>
  <si>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</si>
  <si>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</si>
  <si>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</si>
  <si>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</si>
  <si>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</si>
  <si>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</si>
  <si>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</si>
  <si>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</si>
  <si>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</si>
  <si>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</si>
  <si>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</si>
  <si>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</si>
  <si>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</si>
  <si>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</si>
  <si>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</si>
  <si>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</si>
  <si>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</si>
  <si>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</si>
  <si>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</si>
  <si>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</si>
  <si>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</si>
  <si>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</si>
  <si>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</si>
  <si>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</si>
  <si>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</si>
  <si>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</si>
  <si>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</si>
  <si>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</si>
  <si>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</si>
  <si>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</si>
  <si>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</si>
  <si>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</si>
  <si>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</si>
  <si>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</si>
  <si>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</si>
  <si>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</si>
  <si>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</si>
  <si>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</si>
  <si>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</si>
  <si>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</si>
  <si>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</si>
  <si>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</si>
  <si>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</si>
  <si>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</si>
  <si>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</si>
  <si>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</si>
  <si>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</si>
  <si>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</si>
  <si>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</si>
  <si>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</si>
  <si>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</si>
  <si>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</si>
  <si>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</si>
  <si>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</si>
  <si>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</si>
  <si>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</si>
  <si>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</si>
  <si>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</si>
  <si>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</si>
  <si>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</si>
  <si>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</si>
  <si>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</si>
  <si>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</si>
  <si>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</si>
  <si>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</si>
  <si>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</si>
  <si>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</si>
  <si>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</si>
  <si>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</si>
  <si>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</si>
  <si>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</si>
  <si>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</si>
  <si>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</si>
  <si>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</si>
  <si>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</si>
  <si>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</si>
  <si>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</si>
  <si>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</si>
  <si>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</si>
  <si>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</si>
  <si>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</si>
  <si>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</si>
  <si>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</si>
  <si>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</si>
  <si>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</si>
  <si>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</si>
  <si>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</si>
  <si>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</si>
  <si>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</si>
  <si>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</si>
  <si>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</si>
  <si>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</si>
  <si>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</si>
  <si>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</si>
  <si>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</si>
  <si>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</si>
  <si>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</si>
  <si>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</si>
  <si>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</si>
  <si>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</si>
  <si>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</si>
  <si>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</si>
  <si>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</si>
  <si>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</si>
  <si>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</si>
  <si>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</si>
  <si>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</si>
  <si>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</si>
  <si>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</si>
  <si>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</si>
  <si>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</si>
  <si>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</si>
  <si>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</si>
  <si>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</si>
  <si>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</si>
  <si>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</si>
  <si>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</si>
  <si>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</si>
  <si>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</si>
  <si>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</si>
  <si>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</si>
  <si>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</si>
  <si>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</si>
  <si>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</si>
  <si>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</si>
  <si>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</si>
  <si>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</si>
  <si>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</si>
  <si>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</si>
  <si>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</si>
  <si>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</si>
  <si>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</si>
  <si>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</si>
  <si>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</si>
  <si>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</si>
  <si>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</si>
  <si>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</si>
  <si>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</si>
  <si>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</si>
  <si>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</si>
  <si>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</si>
  <si>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</si>
  <si>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</si>
  <si>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</si>
  <si>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</si>
  <si>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</si>
  <si>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</si>
  <si>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</si>
  <si>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</si>
  <si>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</si>
  <si>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</si>
  <si>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</si>
  <si>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</si>
  <si>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</si>
  <si>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</si>
  <si>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</si>
  <si>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</si>
  <si>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</si>
  <si>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</si>
  <si>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</si>
  <si>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</si>
  <si>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</si>
  <si>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</si>
  <si>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</si>
  <si>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</si>
  <si>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</si>
  <si>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</si>
  <si>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</si>
  <si>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</si>
  <si>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</si>
  <si>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</si>
  <si>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</si>
  <si>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</si>
  <si>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</si>
  <si>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</si>
  <si>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</si>
  <si>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</si>
  <si>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</si>
  <si>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</si>
  <si>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</si>
  <si>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</si>
  <si>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</si>
  <si>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</si>
  <si>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</si>
  <si>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</si>
  <si>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</si>
  <si>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</si>
  <si>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</si>
  <si>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</si>
  <si>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</si>
  <si>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</si>
  <si>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</si>
  <si>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</si>
  <si>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</si>
  <si>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</si>
  <si>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</si>
  <si>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</si>
  <si>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</si>
  <si>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</si>
  <si>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</si>
  <si>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</si>
  <si>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</si>
  <si>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</si>
  <si>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</si>
  <si>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</si>
  <si>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</si>
  <si>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</si>
  <si>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</si>
  <si>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</si>
  <si>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</si>
  <si>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</si>
  <si>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</si>
  <si>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</si>
  <si>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</si>
  <si>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</si>
  <si>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</si>
  <si>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</si>
  <si>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</si>
  <si>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</si>
  <si>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</si>
  <si>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</si>
  <si>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</si>
  <si>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</si>
  <si>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</si>
  <si>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</si>
  <si>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</si>
  <si>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</si>
  <si>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</si>
  <si>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</si>
  <si>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</si>
  <si>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</si>
  <si>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</si>
  <si>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</si>
  <si>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</si>
  <si>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</si>
  <si>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</si>
  <si>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</si>
  <si>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</si>
  <si>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</si>
  <si>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</si>
  <si>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</si>
  <si>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</si>
  <si>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</si>
  <si>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</si>
  <si>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</si>
  <si>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</si>
  <si>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</si>
  <si>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</si>
  <si>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</si>
  <si>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</si>
  <si>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</si>
  <si>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</si>
  <si>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</si>
  <si>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</si>
  <si>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</si>
  <si>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</si>
  <si>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</si>
  <si>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</si>
  <si>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</si>
  <si>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</si>
  <si>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</si>
  <si>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</si>
  <si>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</si>
  <si>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</si>
  <si>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</si>
  <si>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</si>
  <si>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</si>
  <si>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</si>
  <si>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</si>
  <si>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</si>
  <si>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</si>
  <si>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</si>
  <si>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</si>
  <si>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</si>
  <si>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</si>
  <si>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</si>
  <si>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</si>
  <si>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</si>
  <si>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</si>
  <si>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</si>
  <si>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</si>
  <si>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</si>
  <si>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</si>
  <si>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</si>
  <si>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</si>
  <si>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</si>
  <si>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</si>
  <si>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</si>
  <si>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</si>
  <si>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</si>
  <si>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</si>
  <si>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</si>
  <si>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</si>
  <si>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</si>
  <si>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</si>
  <si>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</si>
  <si>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</si>
  <si>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</si>
  <si>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</si>
  <si>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</si>
  <si>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</si>
  <si>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</si>
  <si>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</si>
  <si>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</si>
  <si>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</si>
  <si>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</si>
  <si>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</si>
  <si>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</si>
  <si>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</si>
  <si>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</si>
  <si>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</si>
  <si>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</si>
  <si>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</si>
  <si>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</si>
  <si>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</si>
  <si>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</si>
  <si>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</si>
  <si>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</si>
  <si>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</si>
  <si>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</si>
  <si>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</si>
  <si>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</si>
  <si>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</si>
  <si>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</si>
  <si>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</si>
  <si>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</si>
  <si>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</si>
  <si>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</si>
  <si>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</si>
  <si>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</si>
  <si>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</si>
  <si>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</si>
  <si>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</si>
  <si>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</si>
  <si>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</si>
  <si>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</si>
  <si>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</si>
  <si>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</si>
  <si>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</si>
  <si>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</si>
  <si>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</si>
  <si>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</si>
  <si>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</si>
  <si>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</si>
  <si>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</si>
  <si>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</si>
  <si>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</si>
  <si>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</si>
  <si>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</si>
  <si>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</si>
  <si>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</si>
  <si>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</si>
  <si>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</si>
  <si>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</si>
  <si>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</si>
  <si>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</si>
  <si>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</si>
  <si>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</si>
  <si>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</si>
  <si>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</si>
  <si>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</si>
  <si>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</si>
  <si>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</si>
  <si>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</si>
  <si>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</si>
  <si>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</si>
  <si>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</si>
  <si>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</si>
  <si>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</si>
  <si>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</si>
  <si>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</si>
  <si>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</si>
  <si>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</si>
  <si>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</si>
  <si>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</si>
  <si>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</si>
  <si>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</si>
  <si>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</si>
  <si>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</si>
  <si>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</si>
  <si>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</si>
  <si>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</si>
  <si>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</si>
  <si>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</si>
  <si>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</si>
  <si>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</si>
  <si>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</si>
  <si>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</si>
  <si>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</si>
  <si>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</si>
  <si>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</si>
  <si>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</si>
  <si>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</si>
  <si>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</si>
  <si>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</si>
  <si>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</si>
  <si>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</si>
  <si>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</si>
  <si>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</si>
  <si>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</si>
  <si>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</si>
  <si>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</si>
  <si>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</si>
  <si>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</si>
  <si>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</si>
  <si>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</si>
  <si>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</si>
  <si>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</si>
  <si>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</si>
  <si>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</si>
  <si>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</si>
  <si>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</si>
  <si>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</si>
  <si>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</si>
  <si>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</si>
  <si>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</si>
  <si>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</si>
  <si>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</si>
  <si>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</si>
  <si>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</si>
  <si>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</si>
  <si>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</si>
  <si>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</si>
  <si>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</si>
  <si>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</si>
  <si>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</si>
  <si>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</si>
  <si>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</si>
  <si>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</si>
  <si>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</si>
  <si>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</si>
  <si>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</si>
  <si>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</si>
  <si>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</si>
  <si>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</si>
  <si>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</si>
  <si>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</si>
  <si>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</si>
  <si>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</si>
  <si>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</si>
  <si>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</si>
  <si>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</si>
  <si>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</si>
  <si>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</si>
  <si>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</si>
  <si>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</si>
  <si>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</si>
  <si>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</si>
  <si>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</si>
  <si>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</si>
  <si>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</si>
  <si>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</si>
  <si>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</si>
  <si>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</si>
  <si>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</si>
  <si>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</si>
  <si>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</si>
  <si>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</si>
  <si>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</si>
  <si>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</si>
  <si>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</si>
  <si>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</si>
  <si>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</si>
  <si>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</si>
  <si>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</si>
  <si>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</si>
  <si>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</si>
  <si>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</si>
  <si>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</si>
  <si>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</si>
  <si>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</si>
  <si>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</si>
  <si>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</si>
  <si>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</si>
  <si>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</si>
  <si>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</si>
  <si>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</si>
  <si>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</si>
  <si>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</si>
  <si>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</si>
  <si>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</si>
  <si>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</si>
  <si>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</si>
  <si>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</si>
  <si>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</si>
  <si>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</si>
  <si>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</si>
  <si>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</si>
  <si>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</si>
  <si>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</si>
  <si>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</si>
  <si>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</si>
  <si>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</si>
  <si>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</si>
  <si>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</si>
  <si>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</si>
  <si>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</si>
  <si>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</si>
  <si>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</si>
  <si>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</si>
  <si>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</si>
  <si>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</si>
  <si>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</si>
  <si>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</si>
  <si>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</si>
  <si>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</si>
  <si>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</si>
  <si>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</si>
  <si>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</si>
  <si>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</si>
  <si>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</si>
  <si>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</si>
  <si>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</si>
  <si>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</si>
  <si>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</si>
  <si>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</si>
  <si>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</si>
  <si>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</si>
  <si>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</si>
  <si>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</si>
  <si>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</si>
  <si>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</si>
  <si>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</si>
  <si>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</si>
  <si>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</si>
  <si>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</si>
  <si>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</si>
  <si>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</si>
  <si>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</si>
  <si>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</si>
  <si>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</si>
  <si>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</si>
  <si>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</si>
  <si>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</si>
  <si>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</si>
  <si>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</si>
  <si>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</si>
  <si>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</si>
  <si>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</si>
  <si>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</si>
  <si>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</si>
  <si>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</si>
  <si>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</si>
  <si>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</si>
  <si>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</si>
  <si>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</si>
  <si>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</si>
  <si>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</si>
  <si>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</si>
  <si>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</si>
  <si>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</si>
  <si>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</si>
  <si>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</si>
  <si>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</si>
  <si>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</si>
  <si>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</si>
  <si>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</si>
  <si>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</si>
  <si>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</si>
  <si>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</si>
  <si>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</si>
  <si>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</si>
  <si>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</si>
  <si>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</si>
  <si>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</si>
  <si>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</si>
  <si>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</si>
  <si>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</si>
  <si>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</si>
  <si>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</si>
  <si>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</si>
  <si>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</si>
  <si>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</si>
  <si>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</si>
  <si>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</si>
  <si>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</si>
  <si>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</si>
  <si>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</si>
  <si>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</si>
  <si>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</si>
  <si>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</si>
  <si>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</si>
  <si>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</si>
  <si>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</si>
  <si>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</si>
  <si>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</si>
  <si>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</si>
  <si>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</si>
  <si>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</si>
  <si>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</si>
  <si>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</si>
  <si>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</si>
  <si>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</si>
  <si>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</si>
  <si>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</si>
  <si>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</si>
  <si>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</si>
  <si>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</si>
  <si>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</si>
  <si>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</si>
  <si>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</si>
  <si>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</si>
  <si>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</si>
  <si>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</si>
  <si>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</si>
  <si>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</si>
  <si>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</si>
  <si>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</si>
  <si>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</si>
  <si>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</si>
  <si>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</si>
  <si>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</si>
  <si>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</si>
  <si>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</si>
  <si>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</si>
  <si>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</si>
  <si>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</si>
  <si>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</si>
  <si>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</si>
  <si>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</si>
  <si>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</si>
  <si>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</si>
  <si>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</si>
  <si>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</si>
  <si>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</si>
  <si>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</si>
  <si>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</si>
  <si>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</si>
  <si>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</si>
  <si>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</si>
  <si>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</si>
  <si>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</si>
  <si>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</si>
  <si>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</si>
  <si>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</si>
  <si>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</si>
  <si>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</si>
  <si>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</si>
  <si>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</si>
  <si>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</si>
  <si>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</si>
  <si>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</si>
  <si>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</si>
  <si>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</si>
  <si>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</si>
  <si>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</si>
  <si>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</si>
  <si>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</si>
  <si>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</si>
  <si>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</si>
  <si>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</si>
  <si>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</si>
  <si>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</si>
  <si>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</si>
  <si>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</si>
  <si>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</si>
  <si>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</si>
  <si>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</si>
  <si>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</si>
  <si>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</si>
  <si>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</si>
  <si>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</si>
  <si>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</si>
  <si>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</si>
  <si>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</si>
  <si>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</si>
  <si>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</si>
  <si>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</si>
  <si>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</si>
  <si>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</si>
  <si>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</si>
  <si>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</si>
  <si>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</si>
  <si>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</si>
  <si>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</si>
  <si>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</si>
  <si>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</si>
  <si>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</si>
  <si>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</si>
  <si>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</si>
  <si>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</si>
  <si>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</si>
  <si>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</si>
  <si>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</si>
  <si>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</si>
  <si>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</si>
  <si>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</si>
  <si>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</si>
  <si>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</si>
  <si>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</si>
  <si>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</si>
  <si>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</si>
  <si>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</si>
  <si>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</si>
  <si>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</si>
  <si>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</si>
  <si>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</si>
  <si>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</si>
  <si>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</si>
  <si>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</si>
  <si>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</si>
  <si>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</si>
  <si>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</si>
  <si>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</si>
  <si>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</si>
  <si>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</si>
  <si>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</si>
  <si>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</si>
  <si>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</si>
  <si>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</si>
  <si>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</si>
  <si>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</si>
  <si>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</si>
  <si>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</si>
  <si>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</si>
  <si>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</si>
  <si>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</si>
  <si>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</si>
  <si>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</si>
  <si>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</si>
  <si>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</si>
  <si>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</si>
  <si>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</si>
  <si>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</si>
  <si>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</si>
  <si>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</si>
  <si>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</si>
  <si>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</si>
  <si>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</si>
  <si>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</si>
  <si>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</si>
  <si>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</si>
  <si>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</si>
  <si>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</si>
  <si>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</si>
  <si>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</si>
  <si>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</si>
  <si>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</si>
  <si>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</si>
  <si>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</si>
  <si>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</si>
  <si>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</si>
  <si>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</si>
  <si>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</si>
  <si>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</si>
  <si>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</si>
  <si>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</si>
  <si>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</si>
  <si>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</si>
  <si>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</si>
  <si>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</si>
  <si>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</si>
  <si>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</si>
  <si>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</si>
  <si>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</si>
  <si>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</si>
  <si>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</si>
  <si>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</si>
  <si>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</si>
  <si>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</si>
  <si>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</si>
  <si>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</si>
  <si>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</si>
  <si>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</si>
  <si>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</si>
  <si>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</si>
  <si>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</si>
  <si>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</si>
  <si>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</si>
  <si>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</si>
  <si>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</si>
  <si>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</si>
  <si>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</si>
  <si>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</si>
  <si>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</si>
  <si>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</si>
  <si>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</si>
  <si>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</si>
  <si>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</si>
  <si>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</si>
  <si>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</si>
  <si>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</si>
  <si>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</si>
  <si>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</si>
  <si>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</si>
  <si>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</si>
  <si>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</si>
  <si>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</si>
  <si>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</si>
  <si>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</si>
  <si>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</si>
  <si>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</si>
  <si>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</si>
  <si>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</si>
  <si>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</si>
  <si>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</si>
  <si>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</si>
  <si>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</si>
  <si>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</si>
  <si>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</si>
  <si>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</si>
  <si>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</si>
  <si>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</si>
  <si>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</si>
  <si>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</si>
  <si>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</si>
  <si>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</si>
  <si>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</si>
  <si>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</si>
  <si>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</si>
  <si>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</si>
  <si>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</si>
  <si>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</si>
  <si>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</si>
  <si>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</si>
  <si>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</si>
  <si>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</si>
  <si>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</si>
  <si>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</si>
  <si>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</si>
  <si>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</si>
  <si>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</si>
  <si>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</si>
  <si>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</si>
  <si>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</si>
  <si>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</si>
  <si>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</si>
  <si>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</si>
  <si>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</si>
  <si>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</si>
  <si>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</si>
  <si>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</si>
  <si>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</si>
  <si>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</si>
  <si>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</si>
  <si>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</si>
  <si>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</si>
  <si>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</si>
  <si>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</si>
  <si>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</si>
  <si>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</si>
  <si>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</si>
  <si>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</si>
  <si>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</si>
  <si>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</si>
  <si>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</si>
  <si>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</si>
  <si>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</si>
  <si>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</si>
  <si>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</si>
  <si>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</si>
  <si>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</si>
  <si>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</si>
  <si>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</si>
  <si>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</si>
  <si>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</si>
  <si>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</si>
  <si>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</si>
  <si>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</si>
  <si>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</si>
  <si>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</si>
  <si>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</si>
  <si>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</si>
  <si>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</si>
  <si>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</si>
  <si>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</si>
  <si>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</si>
  <si>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</si>
  <si>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</si>
  <si>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</si>
  <si>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</si>
  <si>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</si>
  <si>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</si>
  <si>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</si>
  <si>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</si>
  <si>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</si>
  <si>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</si>
  <si>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</si>
  <si>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</si>
  <si>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</si>
  <si>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</si>
  <si>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</si>
  <si>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</si>
  <si>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</si>
  <si>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</si>
  <si>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</si>
  <si>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</si>
  <si>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</si>
  <si>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</si>
  <si>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</si>
  <si>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</si>
  <si>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</si>
  <si>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</si>
  <si>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</si>
  <si>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</si>
  <si>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</si>
  <si>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</si>
  <si>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</si>
  <si>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</si>
  <si>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</si>
  <si>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</si>
  <si>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</si>
  <si>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</si>
  <si>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</si>
  <si>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</si>
  <si>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</si>
  <si>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</si>
  <si>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</si>
  <si>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</si>
  <si>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</si>
  <si>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</si>
  <si>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</si>
  <si>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</si>
  <si>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</si>
  <si>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</si>
  <si>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</si>
  <si>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</si>
  <si>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</si>
  <si>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</si>
  <si>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</si>
  <si>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</si>
  <si>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</si>
  <si>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</si>
  <si>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</si>
  <si>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</si>
  <si>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</si>
  <si>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</si>
  <si>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</si>
  <si>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</si>
  <si>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</si>
  <si>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</si>
  <si>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</si>
  <si>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</si>
  <si>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</si>
  <si>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</si>
  <si>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</si>
  <si>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</si>
  <si>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</si>
  <si>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</si>
  <si>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</si>
  <si>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</si>
  <si>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</si>
  <si>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</si>
  <si>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</si>
  <si>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</si>
  <si>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</si>
  <si>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</si>
  <si>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</si>
  <si>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</si>
  <si>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</si>
  <si>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</si>
  <si>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</si>
  <si>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</si>
  <si>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</si>
  <si>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</si>
  <si>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</si>
  <si>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</si>
  <si>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</si>
  <si>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</si>
  <si>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</si>
  <si>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</si>
  <si>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</si>
  <si>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</si>
  <si>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</si>
  <si>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</si>
  <si>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</si>
  <si>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</si>
  <si>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</si>
  <si>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</si>
  <si>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</si>
  <si>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</si>
  <si>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</si>
  <si>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</si>
  <si>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</si>
  <si>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</si>
  <si>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</si>
  <si>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</si>
  <si>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</si>
  <si>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</si>
  <si>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</si>
  <si>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</si>
  <si>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</si>
  <si>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</si>
  <si>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</si>
  <si>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</si>
  <si>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</si>
  <si>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</si>
  <si>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</si>
  <si>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</si>
  <si>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</si>
  <si>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</si>
  <si>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</si>
  <si>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</si>
  <si>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</si>
  <si>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</si>
  <si>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</si>
  <si>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</si>
  <si>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</si>
  <si>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</si>
  <si>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</si>
  <si>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</si>
  <si>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</si>
  <si>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</si>
  <si>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</si>
  <si>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</si>
  <si>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</si>
  <si>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</si>
  <si>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</si>
  <si>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</si>
  <si>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</si>
  <si>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</si>
  <si>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</si>
  <si>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</si>
  <si>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</si>
  <si>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</si>
  <si>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</si>
  <si>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</si>
  <si>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</si>
  <si>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</si>
  <si>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</si>
  <si>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</si>
  <si>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</si>
  <si>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</si>
  <si>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</si>
  <si>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</si>
  <si>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</si>
  <si>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</si>
  <si>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</si>
  <si>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</si>
  <si>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</si>
  <si>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</si>
  <si>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</si>
  <si>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</si>
  <si>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</si>
  <si>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</si>
  <si>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</si>
  <si>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</si>
  <si>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</si>
  <si>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</si>
  <si>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</si>
  <si>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</si>
  <si>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</si>
  <si>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</si>
  <si>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</si>
  <si>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</si>
  <si>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</si>
  <si>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</si>
  <si>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</si>
  <si>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</si>
  <si>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</si>
  <si>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</si>
  <si>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</si>
  <si>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</si>
  <si>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</si>
  <si>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</si>
  <si>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</si>
  <si>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</si>
  <si>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</si>
  <si>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</si>
  <si>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</si>
  <si>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</si>
  <si>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</si>
  <si>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</si>
  <si>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</si>
  <si>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</si>
  <si>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</si>
  <si>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</si>
  <si>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</si>
  <si>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</si>
  <si>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</si>
  <si>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</si>
  <si>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</si>
  <si>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</si>
  <si>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</si>
  <si>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</si>
  <si>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</si>
  <si>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</si>
  <si>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</si>
  <si>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</si>
  <si>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</si>
  <si>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</si>
  <si>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</si>
  <si>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</si>
  <si>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</si>
  <si>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</si>
  <si>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</si>
  <si>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</si>
  <si>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</si>
  <si>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</si>
  <si>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</si>
  <si>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</si>
  <si>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</si>
  <si>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</si>
  <si>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</si>
  <si>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</si>
  <si>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</si>
  <si>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</si>
  <si>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</si>
  <si>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</si>
  <si>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</si>
  <si>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</si>
  <si>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</si>
  <si>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</si>
  <si>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</si>
  <si>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</si>
  <si>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</si>
  <si>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</si>
  <si>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</si>
  <si>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</si>
  <si>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</si>
  <si>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</si>
  <si>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</si>
  <si>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</si>
  <si>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</si>
  <si>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</si>
  <si>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</si>
  <si>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</si>
  <si>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</si>
  <si>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</si>
  <si>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</si>
  <si>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</si>
  <si>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</si>
  <si>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</si>
  <si>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</si>
  <si>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</si>
  <si>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</si>
  <si>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</si>
  <si>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</si>
  <si>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</si>
  <si>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</si>
  <si>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</si>
  <si>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</si>
  <si>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</si>
  <si>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</si>
  <si>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</si>
  <si>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</si>
  <si>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</si>
  <si>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</si>
  <si>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</si>
  <si>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</si>
  <si>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</si>
  <si>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</si>
  <si>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</si>
  <si>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</si>
  <si>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</si>
  <si>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</si>
  <si>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</si>
  <si>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</si>
  <si>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</si>
  <si>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</si>
  <si>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</si>
  <si>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</si>
  <si>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</si>
  <si>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</si>
  <si>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</si>
  <si>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</si>
  <si>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</si>
  <si>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</si>
  <si>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</si>
  <si>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</si>
  <si>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</si>
  <si>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</si>
  <si>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</si>
  <si>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</si>
  <si>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</si>
  <si>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</si>
  <si>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</si>
  <si>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</si>
  <si>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</si>
  <si>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</si>
  <si>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</si>
  <si>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</si>
  <si>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</si>
  <si>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</si>
  <si>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</si>
  <si>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</si>
  <si>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</si>
  <si>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</si>
  <si>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</si>
  <si>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</si>
  <si>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</si>
  <si>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</si>
  <si>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</si>
  <si>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</si>
  <si>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</si>
  <si>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</si>
  <si>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</si>
  <si>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</si>
  <si>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</si>
  <si>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</si>
  <si>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</si>
  <si>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</si>
  <si>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</si>
  <si>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</si>
  <si>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</si>
  <si>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</si>
  <si>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</si>
  <si>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</si>
  <si>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</si>
  <si>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</si>
  <si>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</si>
  <si>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</si>
  <si>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</si>
  <si>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</si>
  <si>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</si>
  <si>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</si>
  <si>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</si>
  <si>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</si>
  <si>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</si>
  <si>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</si>
  <si>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</si>
  <si>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</si>
  <si>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</si>
  <si>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</si>
  <si>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</si>
  <si>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</si>
  <si>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</si>
  <si>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</si>
  <si>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</si>
  <si>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</si>
  <si>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</si>
  <si>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</si>
  <si>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</si>
  <si>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</si>
  <si>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</si>
  <si>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</si>
  <si>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</si>
  <si>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</si>
  <si>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</si>
  <si>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</si>
  <si>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</si>
  <si>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</si>
  <si>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</si>
  <si>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</si>
  <si>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</si>
  <si>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</si>
  <si>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</si>
  <si>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</si>
  <si>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</si>
  <si>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</si>
  <si>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</si>
  <si>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</si>
  <si>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</si>
  <si>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</si>
  <si>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</si>
  <si>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</si>
  <si>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</si>
  <si>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</si>
  <si>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</si>
  <si>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</si>
  <si>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</si>
  <si>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</si>
  <si>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</si>
  <si>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</si>
  <si>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</si>
  <si>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</si>
  <si>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</si>
  <si>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</si>
  <si>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</si>
  <si>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</si>
  <si>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</si>
  <si>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</si>
  <si>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</si>
  <si>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</si>
  <si>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</si>
  <si>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</si>
  <si>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</si>
  <si>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</si>
  <si>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</si>
  <si>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</si>
  <si>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</si>
  <si>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</si>
  <si>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</si>
  <si>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</si>
  <si>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</si>
  <si>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</si>
  <si>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</si>
  <si>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</si>
  <si>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</si>
  <si>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</si>
  <si>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</si>
  <si>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</si>
  <si>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</si>
  <si>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</si>
  <si>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</si>
  <si>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</si>
  <si>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</si>
  <si>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</si>
  <si>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</si>
  <si>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</si>
  <si>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</si>
  <si>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</si>
  <si>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</si>
  <si>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</si>
  <si>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</si>
  <si>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</si>
  <si>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</si>
  <si>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</si>
  <si>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</si>
  <si>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</si>
  <si>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</si>
  <si>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</si>
  <si>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</si>
  <si>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</si>
  <si>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</si>
  <si>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</si>
  <si>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</si>
  <si>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</si>
  <si>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</si>
  <si>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</si>
  <si>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</si>
  <si>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</si>
  <si>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</si>
  <si>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</si>
  <si>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</si>
  <si>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</si>
  <si>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</si>
  <si>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</si>
  <si>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</si>
  <si>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</si>
  <si>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</si>
  <si>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</si>
  <si>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</si>
  <si>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</si>
  <si>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</si>
  <si>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</si>
  <si>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</si>
  <si>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</si>
  <si>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</si>
  <si>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</si>
  <si>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</si>
  <si>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</si>
  <si>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</si>
  <si>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</si>
  <si>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</si>
  <si>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</si>
  <si>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</si>
  <si>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</si>
  <si>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</si>
  <si>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</si>
  <si>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</si>
  <si>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</si>
  <si>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</si>
  <si>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</si>
  <si>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</si>
  <si>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</si>
  <si>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</si>
  <si>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</si>
  <si>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</si>
  <si>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</si>
  <si>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</si>
  <si>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</si>
  <si>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</si>
  <si>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</si>
  <si>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</si>
  <si>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</si>
  <si>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</si>
  <si>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</si>
  <si>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</si>
  <si>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</si>
  <si>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</si>
  <si>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</si>
  <si>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</si>
  <si>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</si>
  <si>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</si>
  <si>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</si>
  <si>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</si>
  <si>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</si>
  <si>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</si>
  <si>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</si>
  <si>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</si>
  <si>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</si>
  <si>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</si>
  <si>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</si>
  <si>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</si>
  <si>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</si>
  <si>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</si>
  <si>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</si>
  <si>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</si>
  <si>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</si>
  <si>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</si>
  <si>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</si>
  <si>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</si>
  <si>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</si>
  <si>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</si>
  <si>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</si>
  <si>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</si>
  <si>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</si>
  <si>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</si>
  <si>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</si>
  <si>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</si>
  <si>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</si>
  <si>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</si>
  <si>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</si>
  <si>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</si>
  <si>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</si>
  <si>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</si>
  <si>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</si>
  <si>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</si>
  <si>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</si>
  <si>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</si>
  <si>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</si>
  <si>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</si>
  <si>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</si>
  <si>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</si>
  <si>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</si>
  <si>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</si>
  <si>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</si>
  <si>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</si>
  <si>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</si>
  <si>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</si>
  <si>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</si>
  <si>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</si>
  <si>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</si>
  <si>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</si>
  <si>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</si>
  <si>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</si>
  <si>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</si>
  <si>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</si>
  <si>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</si>
  <si>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</si>
  <si>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</si>
  <si>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</si>
  <si>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</si>
  <si>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</si>
  <si>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</si>
  <si>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</si>
  <si>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</si>
  <si>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</si>
  <si>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</si>
  <si>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</si>
  <si>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</si>
  <si>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</si>
  <si>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</si>
  <si>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</si>
  <si>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</si>
  <si>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</si>
  <si>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</si>
  <si>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</si>
  <si>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</si>
  <si>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</si>
  <si>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</si>
  <si>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</si>
  <si>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</si>
  <si>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</si>
  <si>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</si>
  <si>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</si>
  <si>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</si>
  <si>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</si>
  <si>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</si>
  <si>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</si>
  <si>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</si>
  <si>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</si>
  <si>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</si>
  <si>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</si>
  <si>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</si>
  <si>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</si>
  <si>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</si>
  <si>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</si>
  <si>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</si>
  <si>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</si>
  <si>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</si>
  <si>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</si>
  <si>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</si>
  <si>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</si>
  <si>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</si>
  <si>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</si>
  <si>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</si>
  <si>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</si>
  <si>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</si>
  <si>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</si>
  <si>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</si>
  <si>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</si>
  <si>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</si>
  <si>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</si>
  <si>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</si>
  <si>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</si>
  <si>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</si>
  <si>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</si>
  <si>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</si>
  <si>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</si>
  <si>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</si>
  <si>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</si>
  <si>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424 Des Plaines Avenue</t>
  </si>
  <si>
    <t xml:space="preserve">Forest Park  </t>
  </si>
  <si>
    <t>Dr. Louis Cavallo</t>
  </si>
  <si>
    <t>x</t>
  </si>
  <si>
    <t>Proviso</t>
  </si>
  <si>
    <t>Daniel Coglianese</t>
  </si>
  <si>
    <t>708-450-3930</t>
  </si>
  <si>
    <t>708-450-8566</t>
  </si>
  <si>
    <t>Jeffery M. Rollefson, CPA</t>
  </si>
  <si>
    <t>1875 Hicks Road</t>
  </si>
  <si>
    <t>Rolling Meadows</t>
  </si>
  <si>
    <t>IL</t>
  </si>
  <si>
    <t>847-221-5700</t>
  </si>
  <si>
    <t>847-221-5701</t>
  </si>
  <si>
    <t>060-003973</t>
  </si>
  <si>
    <t>jeff@empcpa.com</t>
  </si>
  <si>
    <r>
      <t>The accompanying Schedule of Expenditures of Federal Awards includes the federal grant activity of Forest Park  School District No. 91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t>
    </r>
    <r>
      <rPr>
        <sz val="9"/>
        <rFont val="Calibri"/>
        <family val="2"/>
        <scheme val="minor"/>
      </rPr>
      <t xml:space="preserve"> financial statements.</t>
    </r>
  </si>
  <si>
    <r>
      <t>Of the federal expenditures presented in the schedule, Forest Park School District No. 91</t>
    </r>
    <r>
      <rPr>
        <sz val="9"/>
        <rFont val="Calibri"/>
        <family val="2"/>
        <scheme val="minor"/>
      </rPr>
      <t xml:space="preserve"> provided federal awards to subrecipients as follows:</t>
    </r>
  </si>
  <si>
    <t>none</t>
  </si>
  <si>
    <r>
      <t>The following amounts were expended in the form of non-cash assistance by Forest Park School District No. 91 and is</t>
    </r>
    <r>
      <rPr>
        <sz val="9"/>
        <rFont val="Calibri"/>
        <family val="2"/>
        <scheme val="minor"/>
      </rPr>
      <t xml:space="preserve"> included in the Schedule of Expenditures of Federal Awards:</t>
    </r>
  </si>
  <si>
    <t>no</t>
  </si>
  <si>
    <t>US DEPARTMENT OF EDUCATION</t>
  </si>
  <si>
    <t>PASSED THROUGH ILLINOIS STATE BOARD OF EDUCATION:</t>
  </si>
  <si>
    <t>Title I - Low Income (M)</t>
  </si>
  <si>
    <t>84.010A</t>
  </si>
  <si>
    <t>17-4300-00</t>
  </si>
  <si>
    <t>18-4300-00</t>
  </si>
  <si>
    <t>Evans, Marshall and Pease, P.C.</t>
  </si>
  <si>
    <t>CASH AND INVESTMENTS POOLED WITH PROVISO TOWNSHIP SCHOOL TREASURER</t>
  </si>
  <si>
    <t>84.367A</t>
  </si>
  <si>
    <t>17-4932-00</t>
  </si>
  <si>
    <t>18-4932-00</t>
  </si>
  <si>
    <t>84.173A</t>
  </si>
  <si>
    <t>17-4600-00</t>
  </si>
  <si>
    <t>18-4600-00</t>
  </si>
  <si>
    <t>84.027A</t>
  </si>
  <si>
    <t>17-4620--00</t>
  </si>
  <si>
    <t>18-4620-00</t>
  </si>
  <si>
    <t>17-4625-00</t>
  </si>
  <si>
    <t>18-4625-00</t>
  </si>
  <si>
    <t>n/a</t>
  </si>
  <si>
    <t xml:space="preserve">   TOTAL US DEPARTMENT OF EDUCATION</t>
  </si>
  <si>
    <t>US DEPARTMENT OF AGRICULTURE</t>
  </si>
  <si>
    <t>PASSED THROUGH THE ILLINOIS STATE BOARD OF EDUCATION</t>
  </si>
  <si>
    <t>17-4210-00</t>
  </si>
  <si>
    <t>18-4210-00</t>
  </si>
  <si>
    <t>prog end 9/30</t>
  </si>
  <si>
    <t xml:space="preserve">National School Breakfast </t>
  </si>
  <si>
    <t>17-4220-00</t>
  </si>
  <si>
    <t>18-4220-00</t>
  </si>
  <si>
    <t>Commodities (Non-cash)</t>
  </si>
  <si>
    <t>FY18</t>
  </si>
  <si>
    <t xml:space="preserve">   TOTAL US DEPARTMENT OF AGRICULTURE</t>
  </si>
  <si>
    <t xml:space="preserve">     TOTAL FEDERAL AWARDS</t>
  </si>
  <si>
    <t>ROUNDING</t>
  </si>
  <si>
    <t>Unmodifed</t>
  </si>
  <si>
    <t>Title I - low income</t>
  </si>
  <si>
    <t>IDEA Preschool flow through</t>
  </si>
  <si>
    <t>IDEA flow through</t>
  </si>
  <si>
    <t>IDEA Room and Board</t>
  </si>
  <si>
    <t>N/A</t>
  </si>
  <si>
    <t>N/A (NONE)</t>
  </si>
  <si>
    <t>Forest Park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</si>
</sst>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85" fillId="0" borderId="22" xfId="3" applyNumberFormat="1" applyFont="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304800</xdr:colOff>
          <xdr:row>11</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304800</xdr:colOff>
          <xdr:row>13</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2074</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2074</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6016091002</v>
      </c>
      <c r="B13" s="2042"/>
      <c r="C13" s="2042"/>
      <c r="D13" s="2042"/>
      <c r="E13" s="2042"/>
      <c r="F13" s="2042"/>
      <c r="G13" s="2042"/>
      <c r="H13" s="2043"/>
      <c r="I13" s="31"/>
      <c r="J13" s="30"/>
      <c r="K13" s="28"/>
      <c r="L13" s="30"/>
      <c r="M13" s="30"/>
      <c r="N13" s="30"/>
      <c r="O13" s="30"/>
      <c r="P13" s="30"/>
      <c r="Q13" s="30"/>
      <c r="R13" s="30"/>
      <c r="S13" s="30"/>
      <c r="T13" s="2046" t="s">
        <v>2103</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2075</v>
      </c>
      <c r="B15" s="2044"/>
      <c r="C15" s="2044"/>
      <c r="D15" s="2044"/>
      <c r="E15" s="2044"/>
      <c r="F15" s="2044"/>
      <c r="G15" s="2044"/>
      <c r="H15" s="2045"/>
      <c r="T15" s="2050" t="s">
        <v>2084</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2138</v>
      </c>
      <c r="B17" s="2001"/>
      <c r="C17" s="2001"/>
      <c r="D17" s="2001"/>
      <c r="E17" s="2001"/>
      <c r="F17" s="2001"/>
      <c r="G17" s="2001"/>
      <c r="H17" s="2026"/>
      <c r="T17" s="2057" t="s">
        <v>2085</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2076</v>
      </c>
      <c r="B19" s="1986"/>
      <c r="C19" s="1986"/>
      <c r="D19" s="1986"/>
      <c r="E19" s="1986"/>
      <c r="F19" s="1986"/>
      <c r="G19" s="1986"/>
      <c r="H19" s="1966"/>
      <c r="I19" s="30"/>
      <c r="J19" s="99"/>
      <c r="K19" s="40"/>
      <c r="L19" s="38"/>
      <c r="M19" s="112" t="s">
        <v>333</v>
      </c>
      <c r="P19" s="27"/>
      <c r="Q19" s="27"/>
      <c r="R19" s="27"/>
      <c r="S19" s="31"/>
      <c r="T19" s="2040" t="s">
        <v>2086</v>
      </c>
      <c r="U19" s="1965"/>
      <c r="V19" s="1965"/>
      <c r="W19" s="1966"/>
      <c r="X19" s="2055" t="s">
        <v>2087</v>
      </c>
      <c r="Y19" s="2056"/>
      <c r="Z19" s="2053">
        <v>60008</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2077</v>
      </c>
      <c r="B21" s="1965"/>
      <c r="C21" s="1965"/>
      <c r="D21" s="1965"/>
      <c r="E21" s="1965"/>
      <c r="F21" s="1965"/>
      <c r="G21" s="1965"/>
      <c r="H21" s="1966"/>
      <c r="I21" s="2020" t="s">
        <v>699</v>
      </c>
      <c r="J21" s="2015"/>
      <c r="K21" s="2015"/>
      <c r="L21" s="2015"/>
      <c r="M21" s="2015"/>
      <c r="N21" s="2015"/>
      <c r="O21" s="2015"/>
      <c r="P21" s="2015"/>
      <c r="Q21" s="2015"/>
      <c r="R21" s="2015"/>
      <c r="S21" s="2021"/>
      <c r="T21" s="2064" t="s">
        <v>2088</v>
      </c>
      <c r="U21" s="2065"/>
      <c r="V21" s="2065"/>
      <c r="W21" s="2065"/>
      <c r="X21" s="2070" t="s">
        <v>2089</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c r="B23" s="2018"/>
      <c r="C23" s="2018"/>
      <c r="D23" s="2018"/>
      <c r="E23" s="2018"/>
      <c r="F23" s="2018"/>
      <c r="G23" s="2018"/>
      <c r="H23" s="2019"/>
      <c r="T23" s="2000" t="s">
        <v>2090</v>
      </c>
      <c r="U23" s="2063"/>
      <c r="V23" s="2063"/>
      <c r="W23" s="2063"/>
      <c r="X23" s="2067">
        <v>43466</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60130</v>
      </c>
      <c r="B25" s="1965"/>
      <c r="C25" s="1965"/>
      <c r="D25" s="1965"/>
      <c r="E25" s="1965"/>
      <c r="F25" s="1965"/>
      <c r="G25" s="1965"/>
      <c r="H25" s="1966"/>
      <c r="I25" s="113"/>
      <c r="J25" s="1989"/>
      <c r="K25" s="1989"/>
      <c r="L25" s="1989"/>
      <c r="M25" s="1989"/>
      <c r="N25" s="1989"/>
      <c r="O25" s="1989"/>
      <c r="P25" s="1989"/>
      <c r="Q25" s="1989"/>
      <c r="R25" s="1989"/>
      <c r="S25" s="1990"/>
      <c r="T25" s="2060" t="s">
        <v>2091</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t="s">
        <v>2080</v>
      </c>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2078</v>
      </c>
      <c r="B38" s="2001"/>
      <c r="C38" s="2001"/>
      <c r="D38" s="2001"/>
      <c r="E38" s="2001"/>
      <c r="F38" s="1965"/>
      <c r="G38" s="1965"/>
      <c r="H38" s="1966"/>
      <c r="I38" s="1993" t="s">
        <v>2081</v>
      </c>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c r="B42" s="1984"/>
      <c r="C42" s="1985"/>
      <c r="D42" s="1983"/>
      <c r="E42" s="1984"/>
      <c r="F42" s="1984"/>
      <c r="G42" s="1984"/>
      <c r="H42" s="1985"/>
      <c r="I42" s="1967" t="s">
        <v>2082</v>
      </c>
      <c r="J42" s="1968"/>
      <c r="K42" s="1968"/>
      <c r="L42" s="1968"/>
      <c r="M42" s="1968"/>
      <c r="N42" s="1968"/>
      <c r="O42" s="1969"/>
      <c r="P42" s="2002" t="s">
        <v>2083</v>
      </c>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5" sqref="C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6" t="s">
        <v>1902</v>
      </c>
      <c r="B2" s="1550" t="s">
        <v>2034</v>
      </c>
      <c r="C2" s="715" t="s">
        <v>1907</v>
      </c>
      <c r="D2" s="715" t="s">
        <v>1908</v>
      </c>
      <c r="E2" s="715" t="s">
        <v>1909</v>
      </c>
      <c r="F2" s="715" t="s">
        <v>1910</v>
      </c>
    </row>
    <row r="3" spans="1:6" ht="12" customHeight="1" x14ac:dyDescent="0.2">
      <c r="A3" s="2207"/>
      <c r="B3" s="1547"/>
      <c r="C3" s="1548"/>
      <c r="D3" s="1549" t="s">
        <v>274</v>
      </c>
      <c r="E3" s="1548"/>
      <c r="F3" s="1549" t="s">
        <v>275</v>
      </c>
    </row>
    <row r="4" spans="1:6" ht="13.7" customHeight="1" x14ac:dyDescent="0.2">
      <c r="A4" s="716" t="s">
        <v>1217</v>
      </c>
      <c r="B4" s="1771">
        <f>'Revenues 9-14'!C5</f>
        <v>10341851</v>
      </c>
      <c r="C4" s="1546">
        <v>5651766</v>
      </c>
      <c r="D4" s="1774">
        <f>B4-C4</f>
        <v>4690085</v>
      </c>
      <c r="E4" s="1546">
        <v>10975844</v>
      </c>
      <c r="F4" s="1774">
        <f>E4-C4</f>
        <v>5324078</v>
      </c>
    </row>
    <row r="5" spans="1:6" ht="13.7" customHeight="1" x14ac:dyDescent="0.2">
      <c r="A5" s="716" t="s">
        <v>925</v>
      </c>
      <c r="B5" s="1772">
        <f>'Revenues 9-14'!D5</f>
        <v>1618935</v>
      </c>
      <c r="C5" s="585">
        <v>881954</v>
      </c>
      <c r="D5" s="1775">
        <f t="shared" ref="D5:D18" si="0">B5-C5</f>
        <v>736981</v>
      </c>
      <c r="E5" s="585">
        <v>1712773</v>
      </c>
      <c r="F5" s="1775">
        <f>E5-C5</f>
        <v>830819</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499946</v>
      </c>
      <c r="C7" s="585">
        <v>161272</v>
      </c>
      <c r="D7" s="1775">
        <f t="shared" si="0"/>
        <v>338674</v>
      </c>
      <c r="E7" s="585">
        <v>313193</v>
      </c>
      <c r="F7" s="1775">
        <f t="shared" si="1"/>
        <v>151921</v>
      </c>
    </row>
    <row r="8" spans="1:6" ht="13.7" customHeight="1" x14ac:dyDescent="0.2">
      <c r="A8" s="716" t="s">
        <v>1241</v>
      </c>
      <c r="B8" s="1772">
        <f>'Revenues 9-14'!G5</f>
        <v>381053</v>
      </c>
      <c r="C8" s="585">
        <v>241465</v>
      </c>
      <c r="D8" s="1775">
        <f t="shared" si="0"/>
        <v>139588</v>
      </c>
      <c r="E8" s="585">
        <v>468930</v>
      </c>
      <c r="F8" s="1775">
        <f t="shared" si="1"/>
        <v>227465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149259</v>
      </c>
      <c r="C10" s="585">
        <v>80177</v>
      </c>
      <c r="D10" s="1775">
        <f t="shared" si="0"/>
        <v>69082</v>
      </c>
      <c r="E10" s="585">
        <v>155707</v>
      </c>
      <c r="F10" s="1775">
        <f t="shared" si="1"/>
        <v>75530</v>
      </c>
    </row>
    <row r="11" spans="1:6" x14ac:dyDescent="0.2">
      <c r="A11" s="716" t="s">
        <v>429</v>
      </c>
      <c r="B11" s="1772">
        <f>'Revenues 9-14'!J5</f>
        <v>239808</v>
      </c>
      <c r="C11" s="585">
        <v>80635</v>
      </c>
      <c r="D11" s="1775">
        <f t="shared" si="0"/>
        <v>159173</v>
      </c>
      <c r="E11" s="585">
        <v>156596</v>
      </c>
      <c r="F11" s="1775">
        <f t="shared" si="1"/>
        <v>75961</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1192964</v>
      </c>
      <c r="C14" s="585">
        <v>641421</v>
      </c>
      <c r="D14" s="1775">
        <f t="shared" si="0"/>
        <v>551543</v>
      </c>
      <c r="E14" s="585">
        <v>1245653</v>
      </c>
      <c r="F14" s="1775">
        <f t="shared" si="1"/>
        <v>604232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381053</v>
      </c>
      <c r="C16" s="585">
        <v>241465</v>
      </c>
      <c r="D16" s="1775">
        <f t="shared" si="0"/>
        <v>139588</v>
      </c>
      <c r="E16" s="585">
        <v>468930</v>
      </c>
      <c r="F16" s="1775">
        <f t="shared" si="1"/>
        <v>227465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14804869</v>
      </c>
      <c r="C19" s="1773">
        <f>SUM(C4:C18)</f>
        <v>7980155</v>
      </c>
      <c r="D19" s="1773">
        <f>SUM(D4:D18)</f>
        <v>6824714</v>
      </c>
      <c r="E19" s="1773">
        <f>SUM(E4:E18)</f>
        <v>15497626</v>
      </c>
      <c r="F19" s="1773">
        <f>SUM(F4:F18)</f>
        <v>7517471</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53" sqref="A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1902</v>
      </c>
      <c r="B2" s="2234"/>
      <c r="C2" s="1909" t="s">
        <v>2035</v>
      </c>
      <c r="D2" s="724" t="s">
        <v>2042</v>
      </c>
      <c r="E2" s="724" t="s">
        <v>2043</v>
      </c>
      <c r="F2" s="1909" t="s">
        <v>2036</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7">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9" t="s">
        <v>652</v>
      </c>
      <c r="B15" s="2220"/>
      <c r="C15" s="1777">
        <f>SUM(C6:C14)</f>
        <v>0</v>
      </c>
      <c r="D15" s="1777">
        <f>SUM(D6:D14)</f>
        <v>0</v>
      </c>
      <c r="E15" s="1777">
        <f>SUM(E6:E14)</f>
        <v>0</v>
      </c>
      <c r="F15" s="1777">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7">
        <f>SUM(C17+D17)-E17</f>
        <v>0</v>
      </c>
    </row>
    <row r="18" spans="1:11" ht="12.75" customHeight="1" thickTop="1" thickBot="1" x14ac:dyDescent="0.25">
      <c r="A18" s="2214" t="s">
        <v>6</v>
      </c>
      <c r="B18" s="2215"/>
      <c r="C18" s="727"/>
      <c r="D18" s="585"/>
      <c r="E18" s="727"/>
      <c r="F18" s="1777">
        <f>SUM(C18+D18)-E18</f>
        <v>0</v>
      </c>
    </row>
    <row r="19" spans="1:11" ht="12.75" customHeight="1" thickTop="1" thickBot="1" x14ac:dyDescent="0.25">
      <c r="A19" s="2214" t="s">
        <v>406</v>
      </c>
      <c r="B19" s="2215"/>
      <c r="C19" s="727"/>
      <c r="D19" s="585"/>
      <c r="E19" s="727"/>
      <c r="F19" s="1777">
        <f>SUM(C19+D19)-E19</f>
        <v>0</v>
      </c>
    </row>
    <row r="20" spans="1:11" ht="12.75" customHeight="1" thickTop="1" thickBot="1" x14ac:dyDescent="0.25">
      <c r="A20" s="2214" t="s">
        <v>468</v>
      </c>
      <c r="B20" s="2215"/>
      <c r="C20" s="727"/>
      <c r="D20" s="585"/>
      <c r="E20" s="727"/>
      <c r="F20" s="1777">
        <f>SUM(C20+D20)-E20</f>
        <v>0</v>
      </c>
    </row>
    <row r="21" spans="1:11" ht="14.25" thickTop="1" thickBot="1" x14ac:dyDescent="0.25">
      <c r="A21" s="2219" t="s">
        <v>653</v>
      </c>
      <c r="B21" s="2220"/>
      <c r="C21" s="1777">
        <f>SUM(C17:C20)</f>
        <v>0</v>
      </c>
      <c r="D21" s="1777">
        <f>SUM(D17:D20)</f>
        <v>0</v>
      </c>
      <c r="E21" s="1777">
        <f>SUM(E17:E20)</f>
        <v>0</v>
      </c>
      <c r="F21" s="1777">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7">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7">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7">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2"/>
      <c r="I1" s="761"/>
      <c r="J1" s="433"/>
    </row>
    <row r="2" spans="1:11" ht="26.25" x14ac:dyDescent="0.2">
      <c r="A2" s="2256" t="s">
        <v>1776</v>
      </c>
      <c r="B2" s="2257"/>
      <c r="C2" s="2257"/>
      <c r="D2" s="2257"/>
      <c r="E2" s="2258"/>
      <c r="F2" s="762" t="s">
        <v>960</v>
      </c>
      <c r="G2" s="763" t="s">
        <v>1773</v>
      </c>
      <c r="H2" s="763" t="s">
        <v>430</v>
      </c>
      <c r="I2" s="763" t="s">
        <v>1220</v>
      </c>
      <c r="J2" s="763" t="s">
        <v>1916</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v>1181315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0" t="s">
        <v>1917</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9"/>
      <c r="G12" s="1780">
        <f>SUM(G5:G11)</f>
        <v>0</v>
      </c>
      <c r="H12" s="1780">
        <f>SUM(H5:H11)</f>
        <v>1181315</v>
      </c>
      <c r="I12" s="1780">
        <f>SUM(I5:I11)</f>
        <v>0</v>
      </c>
      <c r="J12" s="1780">
        <f>SUM(J5:J11)</f>
        <v>0</v>
      </c>
      <c r="K12" s="1780">
        <f>SUM(K5:K11)</f>
        <v>0</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1181315</v>
      </c>
      <c r="I14" s="772"/>
      <c r="J14" s="774"/>
      <c r="K14" s="766"/>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1913</v>
      </c>
      <c r="B19" s="2249"/>
      <c r="C19" s="2249"/>
      <c r="D19" s="2249"/>
      <c r="E19" s="2250"/>
      <c r="F19" s="790" t="s">
        <v>990</v>
      </c>
      <c r="G19" s="783"/>
      <c r="H19" s="783"/>
      <c r="I19" s="783"/>
      <c r="J19" s="766"/>
      <c r="K19" s="796"/>
    </row>
    <row r="20" spans="1:11" x14ac:dyDescent="0.2">
      <c r="A20" s="2251" t="s">
        <v>1918</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1"/>
      <c r="G21" s="793"/>
      <c r="H21" s="797"/>
      <c r="I21" s="797"/>
      <c r="J21" s="1782">
        <f>SUM(J18:J20)</f>
        <v>0</v>
      </c>
      <c r="K21" s="794"/>
    </row>
    <row r="22" spans="1:11" ht="13.5" thickTop="1" x14ac:dyDescent="0.2">
      <c r="A22" s="2241" t="s">
        <v>1919</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3"/>
      <c r="G23" s="1780">
        <f>SUM(G14:G16,G21,G22)</f>
        <v>0</v>
      </c>
      <c r="H23" s="1780">
        <f>SUM(H14:H16,H21,H22)</f>
        <v>1181315</v>
      </c>
      <c r="I23" s="1780">
        <f>SUM(I14:I16,I21,I22)</f>
        <v>0</v>
      </c>
      <c r="J23" s="1780">
        <f>SUM(J14:J16,J21,J22)</f>
        <v>0</v>
      </c>
      <c r="K23" s="1780">
        <f>SUM(K14:K16,K21,K22)</f>
        <v>0</v>
      </c>
    </row>
    <row r="24" spans="1:11" ht="14.25" thickTop="1" thickBot="1" x14ac:dyDescent="0.25">
      <c r="A24" s="2271" t="s">
        <v>2023</v>
      </c>
      <c r="B24" s="2270"/>
      <c r="C24" s="2270"/>
      <c r="D24" s="2270"/>
      <c r="E24" s="227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1" colorId="8" zoomScaleNormal="100" workbookViewId="0">
      <selection activeCell="D17" sqref="D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v>296250</v>
      </c>
      <c r="D6" s="766"/>
      <c r="E6" s="766"/>
      <c r="F6" s="1782">
        <f>(C6+D6)-E6</f>
        <v>296250</v>
      </c>
      <c r="G6" s="838">
        <v>50</v>
      </c>
      <c r="H6" s="766"/>
      <c r="I6" s="766"/>
      <c r="J6" s="766"/>
      <c r="K6" s="1791">
        <f>(H6+I6)-J6</f>
        <v>0</v>
      </c>
      <c r="L6" s="1791">
        <f>F6-K6</f>
        <v>296250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20479315</v>
      </c>
      <c r="D8" s="845">
        <v>3930</v>
      </c>
      <c r="E8" s="845"/>
      <c r="F8" s="1782">
        <f>(C8+D8)-E8</f>
        <v>20483245</v>
      </c>
      <c r="G8" s="844">
        <v>50</v>
      </c>
      <c r="H8" s="766">
        <v>11387405</v>
      </c>
      <c r="I8" s="766">
        <v>545925</v>
      </c>
      <c r="J8" s="766"/>
      <c r="K8" s="1791">
        <f>(H8+I8)-J8</f>
        <v>11933330</v>
      </c>
      <c r="L8" s="1791">
        <f>F8-K8</f>
        <v>8549915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714508</v>
      </c>
      <c r="D10" s="847"/>
      <c r="E10" s="847"/>
      <c r="F10" s="1786">
        <f>(C10+D10)-E10</f>
        <v>714508</v>
      </c>
      <c r="G10" s="844">
        <v>20</v>
      </c>
      <c r="H10" s="848">
        <v>203375</v>
      </c>
      <c r="I10" s="848">
        <v>30559</v>
      </c>
      <c r="J10" s="848"/>
      <c r="K10" s="1791">
        <f>(H10+I10)-J10</f>
        <v>233934</v>
      </c>
      <c r="L10" s="1791">
        <f>F10-K10</f>
        <v>480574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2793465</v>
      </c>
      <c r="D12" s="845">
        <v>23764</v>
      </c>
      <c r="E12" s="845"/>
      <c r="F12" s="1782">
        <f>(C12+D12)-E12</f>
        <v>2817229</v>
      </c>
      <c r="G12" s="844">
        <v>10</v>
      </c>
      <c r="H12" s="766">
        <v>1909109</v>
      </c>
      <c r="I12" s="766">
        <v>192889</v>
      </c>
      <c r="J12" s="766"/>
      <c r="K12" s="1791">
        <f>(H12+I12)-J12</f>
        <v>2101998</v>
      </c>
      <c r="L12" s="1791">
        <f>F12-K12</f>
        <v>715231</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24283538</v>
      </c>
      <c r="D16" s="1782">
        <f>SUM(D3,D5:D6,D8:D10,D12:D15)</f>
        <v>27694</v>
      </c>
      <c r="E16" s="1782">
        <f>SUM(E3,E5:E6,E8:E10,E12:E15)</f>
        <v>0</v>
      </c>
      <c r="F16" s="1782">
        <f>SUM(F3,F5:F6,F8:F10,F12:F15)</f>
        <v>24311232</v>
      </c>
      <c r="G16" s="844"/>
      <c r="H16" s="1782">
        <f>SUM(H3,H6,H8:H10,H12:H14,)</f>
        <v>13499889</v>
      </c>
      <c r="I16" s="1782">
        <f>SUM(I3,I6,I8:I10,I12:I14,)</f>
        <v>769373</v>
      </c>
      <c r="J16" s="1782">
        <f>SUM(J3,J6,J8:J10,J12:J14,)</f>
        <v>0</v>
      </c>
      <c r="K16" s="1782">
        <f>(H16+I16)-J16</f>
        <v>14269262</v>
      </c>
      <c r="L16" s="1782">
        <f>F16-K16</f>
        <v>10041970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769373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5" activePane="bottomLeft" state="frozen"/>
      <selection activeCell="A47" sqref="A47"/>
      <selection pane="bottomLeft" activeCell="F131" sqref="F13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14955359</v>
      </c>
      <c r="G8" s="866"/>
    </row>
    <row r="9" spans="1:7" x14ac:dyDescent="0.2">
      <c r="A9" s="870" t="s">
        <v>480</v>
      </c>
      <c r="B9" s="871" t="s">
        <v>1986</v>
      </c>
      <c r="C9" s="872"/>
      <c r="D9" s="870" t="s">
        <v>522</v>
      </c>
      <c r="E9" s="869"/>
      <c r="F9" s="1935">
        <f>'Expenditures 15-22'!K151</f>
        <v>1803258</v>
      </c>
      <c r="G9" s="873"/>
    </row>
    <row r="10" spans="1:7" x14ac:dyDescent="0.2">
      <c r="A10" s="870" t="s">
        <v>520</v>
      </c>
      <c r="B10" s="871" t="s">
        <v>1987</v>
      </c>
      <c r="C10" s="872"/>
      <c r="D10" s="870" t="s">
        <v>522</v>
      </c>
      <c r="E10" s="869"/>
      <c r="F10" s="1935">
        <f>'Expenditures 15-22'!K174</f>
        <v>0</v>
      </c>
      <c r="G10" s="873"/>
    </row>
    <row r="11" spans="1:7" x14ac:dyDescent="0.2">
      <c r="A11" s="870" t="s">
        <v>481</v>
      </c>
      <c r="B11" s="871" t="s">
        <v>1988</v>
      </c>
      <c r="C11" s="872"/>
      <c r="D11" s="870" t="s">
        <v>522</v>
      </c>
      <c r="E11" s="869"/>
      <c r="F11" s="1935">
        <f>'Expenditures 15-22'!K210</f>
        <v>331837</v>
      </c>
      <c r="G11" s="873"/>
    </row>
    <row r="12" spans="1:7" x14ac:dyDescent="0.2">
      <c r="A12" s="870" t="s">
        <v>482</v>
      </c>
      <c r="B12" s="871" t="s">
        <v>1989</v>
      </c>
      <c r="C12" s="872"/>
      <c r="D12" s="870" t="s">
        <v>522</v>
      </c>
      <c r="E12" s="869"/>
      <c r="F12" s="1935">
        <f>'Expenditures 15-22'!K295</f>
        <v>710052</v>
      </c>
      <c r="G12" s="873"/>
    </row>
    <row r="13" spans="1:7" x14ac:dyDescent="0.2">
      <c r="A13" s="870" t="s">
        <v>108</v>
      </c>
      <c r="B13" s="871" t="s">
        <v>1990</v>
      </c>
      <c r="C13" s="872"/>
      <c r="D13" s="870" t="s">
        <v>522</v>
      </c>
      <c r="E13" s="869"/>
      <c r="F13" s="1935">
        <f>'Expenditures 15-22'!K342</f>
        <v>188009</v>
      </c>
      <c r="G13" s="874"/>
    </row>
    <row r="14" spans="1:7" ht="12" customHeight="1" thickBot="1" x14ac:dyDescent="0.25">
      <c r="A14" s="1792"/>
      <c r="B14" s="1793"/>
      <c r="C14" s="1794"/>
      <c r="D14" s="1795" t="s">
        <v>522</v>
      </c>
      <c r="E14" s="1796" t="s">
        <v>1015</v>
      </c>
      <c r="F14" s="1797">
        <f>SUM(F8:F13)</f>
        <v>17988515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441929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107328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43318</v>
      </c>
      <c r="G52" s="866"/>
    </row>
    <row r="53" spans="1:7" x14ac:dyDescent="0.2">
      <c r="A53" s="870" t="s">
        <v>479</v>
      </c>
      <c r="B53" s="870" t="s">
        <v>1551</v>
      </c>
      <c r="C53" s="890">
        <f>'Expenditures 15-22'!B102</f>
        <v>4000</v>
      </c>
      <c r="D53" s="889" t="str">
        <f>'Expenditures 15-22'!A102</f>
        <v>Total Payments to Other Govt Units</v>
      </c>
      <c r="E53" s="869"/>
      <c r="F53" s="1939">
        <f>'Expenditures 15-22'!K102</f>
        <v>746414</v>
      </c>
      <c r="G53" s="866"/>
    </row>
    <row r="54" spans="1:7" x14ac:dyDescent="0.2">
      <c r="A54" s="870" t="s">
        <v>479</v>
      </c>
      <c r="B54" s="870" t="s">
        <v>1552</v>
      </c>
      <c r="C54" s="890" t="s">
        <v>1039</v>
      </c>
      <c r="D54" s="886" t="s">
        <v>1157</v>
      </c>
      <c r="E54" s="869"/>
      <c r="F54" s="1939">
        <f>'Expenditures 15-22'!G114</f>
        <v>22715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4979</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33919</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3643</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1404245</v>
      </c>
      <c r="G76" s="866"/>
    </row>
    <row r="77" spans="1:8" s="894" customFormat="1" ht="12" customHeight="1" thickTop="1" thickBot="1" x14ac:dyDescent="0.25">
      <c r="A77" s="1801"/>
      <c r="B77" s="1798"/>
      <c r="C77" s="1794"/>
      <c r="D77" s="1799" t="s">
        <v>2009</v>
      </c>
      <c r="E77" s="1796"/>
      <c r="F77" s="1802">
        <f>(F14-F76)</f>
        <v>16584270</v>
      </c>
      <c r="G77" s="870"/>
    </row>
    <row r="78" spans="1:8" s="894" customFormat="1" ht="12" customHeight="1" thickTop="1" x14ac:dyDescent="0.2">
      <c r="A78" s="1803"/>
      <c r="B78" s="1798"/>
      <c r="C78" s="1794"/>
      <c r="D78" s="1799" t="s">
        <v>2056</v>
      </c>
      <c r="E78" s="1796"/>
      <c r="F78" s="899">
        <v>696.05</v>
      </c>
      <c r="G78" s="900"/>
      <c r="H78" s="870"/>
    </row>
    <row r="79" spans="1:8" s="894" customFormat="1" ht="12" customHeight="1" thickBot="1" x14ac:dyDescent="0.25">
      <c r="A79" s="1804"/>
      <c r="B79" s="1798"/>
      <c r="C79" s="1794"/>
      <c r="D79" s="1799" t="s">
        <v>2010</v>
      </c>
      <c r="E79" s="1796" t="s">
        <v>1015</v>
      </c>
      <c r="F79" s="1805">
        <f>IF(F78&gt;0,F77/F78," Complete Line 78")</f>
        <v>23826.262481143596</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41248</v>
      </c>
      <c r="G94" s="913"/>
    </row>
    <row r="95" spans="1:7" x14ac:dyDescent="0.2">
      <c r="A95" s="909" t="s">
        <v>142</v>
      </c>
      <c r="B95" s="909" t="s">
        <v>177</v>
      </c>
      <c r="C95" s="911">
        <v>1700</v>
      </c>
      <c r="D95" s="919" t="str">
        <f>'Revenues 9-14'!A82</f>
        <v>Total District/School Activity Income</v>
      </c>
      <c r="E95" s="907"/>
      <c r="F95" s="1811">
        <f>SUM('Revenues 9-14'!C82,'Revenues 9-14'!D82)</f>
        <v>9606</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344835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769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3090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290362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215187</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275698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237049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137989</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46127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1601960</v>
      </c>
    </row>
    <row r="179" spans="1:7" ht="12" customHeight="1" x14ac:dyDescent="0.2">
      <c r="A179" s="1792"/>
      <c r="B179" s="1806"/>
      <c r="C179" s="1807"/>
      <c r="D179" s="1808" t="s">
        <v>2012</v>
      </c>
      <c r="E179" s="1809"/>
      <c r="F179" s="1811">
        <f>'PCTC-OEPP 27-28'!F77-F178</f>
        <v>14982310</v>
      </c>
    </row>
    <row r="180" spans="1:7" ht="12" customHeight="1" x14ac:dyDescent="0.2">
      <c r="A180" s="1792"/>
      <c r="B180" s="1806"/>
      <c r="C180" s="1807"/>
      <c r="D180" s="1808" t="s">
        <v>1921</v>
      </c>
      <c r="E180" s="1809"/>
      <c r="F180" s="1811">
        <f>'Cap Outlay Deprec 26'!I18</f>
        <v>769373</v>
      </c>
    </row>
    <row r="181" spans="1:7" ht="12" customHeight="1" x14ac:dyDescent="0.2">
      <c r="A181" s="1792"/>
      <c r="B181" s="1806"/>
      <c r="C181" s="1807"/>
      <c r="D181" s="1808" t="s">
        <v>2013</v>
      </c>
      <c r="E181" s="1809"/>
      <c r="F181" s="1811">
        <f>F179+F180</f>
        <v>15751683</v>
      </c>
    </row>
    <row r="182" spans="1:7" ht="12" customHeight="1" x14ac:dyDescent="0.2">
      <c r="A182" s="1792"/>
      <c r="B182" s="1812"/>
      <c r="C182" s="1807"/>
      <c r="D182" s="1808" t="str">
        <f>D78</f>
        <v>9 Month ADA from District Average Daily Attendance/Prior General State Aid Inquiry 2017-2018</v>
      </c>
      <c r="E182" s="1809"/>
      <c r="F182" s="1813">
        <f>'PCTC-OEPP 27-28'!F78</f>
        <v>696.05</v>
      </c>
      <c r="G182" s="931"/>
    </row>
    <row r="183" spans="1:7" ht="12" customHeight="1" thickBot="1" x14ac:dyDescent="0.25">
      <c r="A183" s="1792"/>
      <c r="B183" s="1812"/>
      <c r="C183" s="1807"/>
      <c r="D183" s="1808" t="s">
        <v>2014</v>
      </c>
      <c r="E183" s="1809" t="s">
        <v>1626</v>
      </c>
      <c r="F183" s="1814">
        <f>F181/F182</f>
        <v>22630.10272250557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56" t="s">
        <v>1923</v>
      </c>
      <c r="B6" s="1557"/>
      <c r="C6" s="1557"/>
      <c r="D6" s="1557"/>
      <c r="E6" s="1557"/>
      <c r="F6" s="1557"/>
      <c r="G6" s="1558"/>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9" t="s">
        <v>1924</v>
      </c>
      <c r="B10" s="1560"/>
      <c r="C10" s="1560"/>
      <c r="D10" s="1560"/>
      <c r="E10" s="1560"/>
      <c r="F10" s="1560"/>
      <c r="G10" s="1561"/>
    </row>
    <row r="11" spans="1:7" ht="17.25" customHeight="1" x14ac:dyDescent="0.25">
      <c r="A11" s="2299" t="s">
        <v>1938</v>
      </c>
      <c r="B11" s="2300"/>
      <c r="C11" s="2300"/>
      <c r="D11" s="2300"/>
      <c r="E11" s="2300"/>
      <c r="F11" s="2300"/>
      <c r="G11" s="2301"/>
    </row>
    <row r="12" spans="1:7" ht="15" customHeight="1" x14ac:dyDescent="0.25">
      <c r="A12" s="1559" t="s">
        <v>1929</v>
      </c>
      <c r="B12" s="1560"/>
      <c r="C12" s="1560"/>
      <c r="D12" s="1560"/>
      <c r="E12" s="1560"/>
      <c r="F12" s="1560"/>
      <c r="G12" s="1561"/>
    </row>
    <row r="13" spans="1:7" ht="32.25" customHeight="1" x14ac:dyDescent="0.25">
      <c r="A13" s="2290" t="s">
        <v>1930</v>
      </c>
      <c r="B13" s="2291"/>
      <c r="C13" s="2291"/>
      <c r="D13" s="2291"/>
      <c r="E13" s="2291"/>
      <c r="F13" s="2291"/>
      <c r="G13" s="2292"/>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1" t="s">
        <v>2137</v>
      </c>
      <c r="B17" s="1962" t="s">
        <v>2136</v>
      </c>
      <c r="C17" s="1963" t="s">
        <v>2136</v>
      </c>
      <c r="D17" s="1867">
        <v>1</v>
      </c>
      <c r="E17" s="1562">
        <f t="shared" ref="E17:E141" si="1">IF(D17&lt;=25000,D17,IF(D17&gt;25000,25000,0))</f>
        <v>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29" sqref="D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111405</v>
      </c>
      <c r="F10" s="975"/>
      <c r="G10" s="976"/>
      <c r="H10" s="162"/>
      <c r="I10" s="162"/>
    </row>
    <row r="11" spans="1:9" s="669" customFormat="1" ht="22.5" customHeight="1" x14ac:dyDescent="0.2">
      <c r="A11" s="2310" t="s">
        <v>1942</v>
      </c>
      <c r="B11" s="2311"/>
      <c r="C11" s="2311"/>
      <c r="D11" s="2312"/>
      <c r="E11" s="978">
        <v>25288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10371332</v>
      </c>
      <c r="F19" s="1822"/>
      <c r="G19" s="1824">
        <f>'Expenditures 15-22'!K33-SUM('Expenditures 15-22'!G33,'Expenditures 15-22'!I33)+'Expenditures 15-22'!D229</f>
        <v>10371332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743453</v>
      </c>
      <c r="F21" s="1825"/>
      <c r="G21" s="1828">
        <f>'Expenditures 15-22'!K42-SUM('Expenditures 15-22'!G42,'Expenditures 15-22'!I42)+'Expenditures 15-22'!K120-SUM('Expenditures 15-22'!G120,'Expenditures 15-22'!I120)+'Expenditures 15-22'!K180-SUM('Expenditures 15-22'!G180,'Expenditures 15-22'!I180)+'Expenditures 15-22'!D238</f>
        <v>743453</v>
      </c>
      <c r="H21" s="988"/>
      <c r="I21" s="162"/>
    </row>
    <row r="22" spans="1:9" s="669" customFormat="1" ht="12" customHeight="1" x14ac:dyDescent="0.2">
      <c r="A22" s="995" t="s">
        <v>585</v>
      </c>
      <c r="B22" s="996"/>
      <c r="C22" s="994">
        <v>2200</v>
      </c>
      <c r="D22" s="1825"/>
      <c r="E22" s="1827">
        <f>'Expenditures 15-22'!K47-SUM('Expenditures 15-22'!G47,'Expenditures 15-22'!I47)+'Expenditures 15-22'!D243</f>
        <v>461296</v>
      </c>
      <c r="F22" s="1825"/>
      <c r="G22" s="1828">
        <f>'Expenditures 15-22'!K47-SUM('Expenditures 15-22'!G47,'Expenditures 15-22'!I47)+'Expenditures 15-22'!D243</f>
        <v>461296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821972</v>
      </c>
      <c r="F23" s="1825"/>
      <c r="G23" s="1827">
        <f>'Expenditures 15-22'!K53-SUM('Expenditures 15-22'!G53,'Expenditures 15-22'!I53)+'Expenditures 15-22'!D257+'Expenditures 15-22'!K330-SUM('Expenditures 15-22'!G330,'Expenditures 15-22'!I330)</f>
        <v>821972</v>
      </c>
      <c r="H23" s="988"/>
      <c r="I23" s="162"/>
    </row>
    <row r="24" spans="1:9" s="669" customFormat="1" ht="12" customHeight="1" x14ac:dyDescent="0.2">
      <c r="A24" s="995" t="s">
        <v>587</v>
      </c>
      <c r="B24" s="996"/>
      <c r="C24" s="994">
        <v>2400</v>
      </c>
      <c r="D24" s="1825"/>
      <c r="E24" s="1827">
        <f>'Expenditures 15-22'!K57-SUM('Expenditures 15-22'!G57,'Expenditures 15-22'!I57)+'Expenditures 15-22'!D261</f>
        <v>1500074</v>
      </c>
      <c r="F24" s="1825"/>
      <c r="G24" s="1828">
        <f>'Expenditures 15-22'!K57-SUM('Expenditures 15-22'!G57,'Expenditures 15-22'!I57)+'Expenditures 15-22'!D261</f>
        <v>1500074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176361</v>
      </c>
      <c r="E26" s="1827">
        <f>'Expenditures 15-22'!K122-SUM('Expenditures 15-22'!G122,'Expenditures 15-22'!I122)+E7</f>
        <v>0</v>
      </c>
      <c r="F26" s="1827">
        <f>'Expenditures 15-22'!K59-SUM('Expenditures 15-22'!G59,'Expenditures 15-22'!I59)+'Expenditures 15-22'!D263-E7</f>
        <v>176361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397776</v>
      </c>
      <c r="E27" s="1827">
        <f>E8</f>
        <v>0</v>
      </c>
      <c r="F27" s="1827">
        <f>'Expenditures 15-22'!K60-SUM('Expenditures 15-22'!G60,'Expenditures 15-22'!I60)+'Expenditures 15-22'!D264-E8</f>
        <v>397776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1959307</v>
      </c>
      <c r="F28" s="1829">
        <f>'Expenditures 15-22'!K61-SUM('Expenditures 15-22'!G61,'Expenditures 15-22'!I61)+'Expenditures 15-22'!K124-SUM('Expenditures 15-22'!G124,'Expenditures 15-22'!I124)+'Expenditures 15-22'!D266-E9</f>
        <v>1959307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369831</v>
      </c>
      <c r="F29" s="1825"/>
      <c r="G29" s="1828">
        <f>'Expenditures 15-22'!K62-SUM('Expenditures 15-22'!G62,'Expenditures 15-22'!I62)+'Expenditures 15-22'!K125-SUM('Expenditures 15-22'!G125,'Expenditures 15-22'!I125)+'Expenditures 15-22'!K182-SUM('Expenditures 15-22'!G182,'Expenditures 15-22'!I182)+'Expenditures 15-22'!D267</f>
        <v>369831</v>
      </c>
      <c r="H29" s="986"/>
    </row>
    <row r="30" spans="1:9" ht="12" customHeight="1" x14ac:dyDescent="0.2">
      <c r="A30" s="995" t="s">
        <v>102</v>
      </c>
      <c r="B30" s="998"/>
      <c r="C30" s="994">
        <v>2560</v>
      </c>
      <c r="D30" s="1825"/>
      <c r="E30" s="1827">
        <f>'Expenditures 15-22'!K63-SUM('Expenditures 15-22'!G63,'Expenditures 15-22'!I63)+'Expenditures 15-22'!D268-E10</f>
        <v>148699</v>
      </c>
      <c r="F30" s="1825"/>
      <c r="G30" s="1827">
        <f>'Expenditures 15-22'!K63-SUM('Expenditures 15-22'!G63,'Expenditures 15-22'!I63)+'Expenditures 15-22'!D268-E10</f>
        <v>148699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109583</v>
      </c>
      <c r="F35" s="1825"/>
      <c r="G35" s="1827">
        <f>'Expenditures 15-22'!K69-SUM('Expenditures 15-22'!G69,'Expenditures 15-22'!I69)+'Expenditures 15-22'!D274</f>
        <v>109583</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43318</v>
      </c>
      <c r="F39" s="1825"/>
      <c r="G39" s="1827">
        <f>'Expenditures 15-22'!K75-SUM('Expenditures 15-22'!G75,'Expenditures 15-22'!I75)+'Expenditures 15-22'!K130-SUM('Expenditures 15-22'!G130,'Expenditures 15-22'!I130)+'Expenditures 15-22'!K185-SUM('Expenditures 15-22'!G185,'Expenditures 15-22'!I185)+'Expenditures 15-22'!D280</f>
        <v>43318</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574137</v>
      </c>
      <c r="E41" s="1829">
        <f>SUM(E19:E40)</f>
        <v>16528865</v>
      </c>
      <c r="F41" s="1829">
        <f>SUM(F19:F39)</f>
        <v>2533444</v>
      </c>
      <c r="G41" s="1829">
        <f>SUM(G19:G40)</f>
        <v>14569558</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574137</v>
      </c>
      <c r="F43" s="1830" t="s">
        <v>495</v>
      </c>
      <c r="G43" s="1831">
        <f>F41</f>
        <v>2533444</v>
      </c>
    </row>
    <row r="44" spans="1:7" ht="12" customHeight="1" x14ac:dyDescent="0.2">
      <c r="A44" s="988"/>
      <c r="B44" s="162"/>
      <c r="C44" s="1002"/>
      <c r="D44" s="1830" t="s">
        <v>494</v>
      </c>
      <c r="E44" s="1831">
        <f>E41</f>
        <v>16528865</v>
      </c>
      <c r="F44" s="1830" t="s">
        <v>494</v>
      </c>
      <c r="G44" s="1831">
        <f>G41</f>
        <v>14569558</v>
      </c>
    </row>
    <row r="45" spans="1:7" ht="12" customHeight="1" x14ac:dyDescent="0.2">
      <c r="A45" s="988"/>
      <c r="B45" s="162"/>
      <c r="C45" s="162"/>
      <c r="D45" s="1832" t="s">
        <v>1063</v>
      </c>
      <c r="E45" s="1833">
        <f>(E43/E44)</f>
        <v>3.4735415892137786E-2</v>
      </c>
      <c r="F45" s="1832" t="s">
        <v>1063</v>
      </c>
      <c r="G45" s="1833">
        <f>(G43/G44)</f>
        <v>0.17388612612681867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7" t="s">
        <v>1446</v>
      </c>
      <c r="B1" s="2327"/>
      <c r="C1" s="2327"/>
      <c r="D1" s="2327"/>
      <c r="E1" s="2327"/>
      <c r="F1" s="2327"/>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8" t="s">
        <v>1627</v>
      </c>
      <c r="B5" s="2329"/>
      <c r="C5" s="2330"/>
      <c r="D5" s="2330"/>
      <c r="E5" s="2330"/>
      <c r="F5" s="2330"/>
    </row>
    <row r="6" spans="1:10" ht="12" customHeight="1" x14ac:dyDescent="0.25">
      <c r="A6" s="1875"/>
      <c r="B6" s="1876"/>
      <c r="C6" s="2331" t="str">
        <f>COVER!A17</f>
        <v>Forest Park SD 91</v>
      </c>
      <c r="D6" s="2331"/>
      <c r="E6" s="2331"/>
      <c r="F6" s="1877"/>
    </row>
    <row r="7" spans="1:10" ht="11.25" customHeight="1" thickBot="1" x14ac:dyDescent="0.3">
      <c r="A7" s="1875"/>
      <c r="B7" s="1876"/>
      <c r="C7" s="2332">
        <f>COVER!A13</f>
        <v>6016091002</v>
      </c>
      <c r="D7" s="2332"/>
      <c r="E7" s="2332"/>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t="s">
        <v>2074</v>
      </c>
      <c r="D20" s="1890" t="s">
        <v>2074</v>
      </c>
      <c r="E20" s="1893"/>
      <c r="F20" s="1892" t="s">
        <v>2104</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8"/>
      <c r="B39" s="1898"/>
      <c r="C39" s="1898"/>
      <c r="D39" s="1898"/>
      <c r="E39" s="1898"/>
      <c r="F39" s="1898"/>
    </row>
    <row r="40" spans="1:11" s="1895" customFormat="1" ht="12" customHeight="1" x14ac:dyDescent="0.25">
      <c r="A40" s="1899" t="s">
        <v>1458</v>
      </c>
      <c r="B40" s="1900"/>
      <c r="C40" s="2322"/>
      <c r="D40" s="2322"/>
      <c r="E40" s="2322"/>
      <c r="F40" s="2323"/>
      <c r="H40" s="1904"/>
      <c r="I40" s="1904"/>
      <c r="J40" s="1904"/>
      <c r="K40" s="1904"/>
    </row>
    <row r="41" spans="1:11" s="1895" customFormat="1" ht="12" customHeight="1" x14ac:dyDescent="0.25">
      <c r="A41" s="2324"/>
      <c r="B41" s="2325"/>
      <c r="C41" s="2325"/>
      <c r="D41" s="2325"/>
      <c r="E41" s="2325"/>
      <c r="F41" s="2326"/>
      <c r="H41" s="1904"/>
      <c r="I41" s="1904"/>
      <c r="J41" s="1904"/>
      <c r="K41" s="1904"/>
    </row>
    <row r="42" spans="1:11" s="1895" customFormat="1" ht="12" customHeight="1" x14ac:dyDescent="0.25">
      <c r="A42" s="2324"/>
      <c r="B42" s="2325"/>
      <c r="C42" s="2325"/>
      <c r="D42" s="2325"/>
      <c r="E42" s="2325"/>
      <c r="F42" s="2326"/>
      <c r="H42" s="1904"/>
      <c r="I42" s="1904"/>
      <c r="J42" s="1904"/>
      <c r="K42" s="1904"/>
    </row>
    <row r="43" spans="1:11" s="1895" customFormat="1" ht="15" x14ac:dyDescent="0.25">
      <c r="A43" s="2313"/>
      <c r="B43" s="2314"/>
      <c r="C43" s="2314"/>
      <c r="D43" s="2314"/>
      <c r="E43" s="2314"/>
      <c r="F43" s="2315"/>
      <c r="H43" s="1904"/>
      <c r="I43" s="1904"/>
      <c r="J43" s="1904"/>
      <c r="K43" s="1904"/>
    </row>
    <row r="44" spans="1:11" s="1895" customFormat="1" ht="12" hidden="1" customHeight="1" x14ac:dyDescent="0.25">
      <c r="A44" s="2313"/>
      <c r="B44" s="2314"/>
      <c r="C44" s="2314"/>
      <c r="D44" s="2314"/>
      <c r="E44" s="2314"/>
      <c r="F44" s="231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0" t="str">
        <f>COVER!A17</f>
        <v>Forest Park SD 91</v>
      </c>
      <c r="J6" s="2341"/>
      <c r="Q6" s="1686"/>
    </row>
    <row r="7" spans="1:17" x14ac:dyDescent="0.2">
      <c r="A7" s="2342" t="s">
        <v>924</v>
      </c>
      <c r="B7" s="2343"/>
      <c r="C7" s="2343"/>
      <c r="D7" s="2343"/>
      <c r="E7" s="2344"/>
      <c r="F7" s="1018"/>
      <c r="G7" s="1010"/>
      <c r="H7" s="1017" t="s">
        <v>390</v>
      </c>
      <c r="I7" s="2345">
        <f>COVER!A13</f>
        <v>6016091002</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384701</v>
      </c>
      <c r="F12" s="1040"/>
      <c r="G12" s="1834">
        <f t="shared" ref="G12:G18" si="0">SUM(E12:F12)</f>
        <v>384701</v>
      </c>
      <c r="H12" s="1041">
        <v>407520</v>
      </c>
      <c r="I12" s="1040"/>
      <c r="J12" s="1834">
        <f t="shared" ref="J12:J18" si="1">SUM(H12:I12)</f>
        <v>407520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174295</v>
      </c>
      <c r="F15" s="1834">
        <f>'Expenditures 15-22'!K122</f>
        <v>0</v>
      </c>
      <c r="G15" s="1834">
        <f t="shared" si="0"/>
        <v>174295</v>
      </c>
      <c r="H15" s="1041">
        <v>182203</v>
      </c>
      <c r="I15" s="1041"/>
      <c r="J15" s="1834">
        <f t="shared" si="1"/>
        <v>182203</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558996</v>
      </c>
      <c r="F19" s="1836">
        <f t="shared" si="2"/>
        <v>0</v>
      </c>
      <c r="G19" s="1836">
        <f t="shared" si="2"/>
        <v>558996</v>
      </c>
      <c r="H19" s="1836">
        <f t="shared" si="2"/>
        <v>589723</v>
      </c>
      <c r="I19" s="1836">
        <f t="shared" si="2"/>
        <v>0</v>
      </c>
      <c r="J19" s="1836">
        <f t="shared" si="2"/>
        <v>589723</v>
      </c>
    </row>
    <row r="20" spans="1:10" ht="13.5" thickTop="1" x14ac:dyDescent="0.2">
      <c r="A20" s="1036">
        <v>9</v>
      </c>
      <c r="B20" s="2352" t="s">
        <v>1703</v>
      </c>
      <c r="C20" s="2352"/>
      <c r="D20" s="2353"/>
      <c r="E20" s="1047"/>
      <c r="F20" s="1047"/>
      <c r="G20" s="1047"/>
      <c r="H20" s="1047"/>
      <c r="I20" s="1047"/>
      <c r="J20" s="1837">
        <f>IF(AND(G19&gt;0,J19&gt;0),(((J19-G19)/G19)),"Enter Budget Data")</f>
        <v>5.4968192974547227E-2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Forest Park SD 91</v>
      </c>
    </row>
    <row r="65" spans="2:2" x14ac:dyDescent="0.2">
      <c r="B65" s="1071">
        <f>COVER!A13</f>
        <v>6016091002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0</xdr:colOff>
                <xdr:row>7</xdr:row>
                <xdr:rowOff>0</xdr:rowOff>
              </from>
              <to>
                <xdr:col>5</xdr:col>
                <xdr:colOff>304800</xdr:colOff>
                <xdr:row>11</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6</xdr:col>
                <xdr:colOff>0</xdr:colOff>
                <xdr:row>9</xdr:row>
                <xdr:rowOff>0</xdr:rowOff>
              </from>
              <to>
                <xdr:col>7</xdr:col>
                <xdr:colOff>304800</xdr:colOff>
                <xdr:row>13</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14946062</v>
      </c>
      <c r="C8" s="1838">
        <f>'Acct Summary 7-8'!D8</f>
        <v>1824384</v>
      </c>
      <c r="D8" s="1838">
        <f>'Acct Summary 7-8'!F8</f>
        <v>800872</v>
      </c>
      <c r="E8" s="1838">
        <f>'Acct Summary 7-8'!I8</f>
        <v>154247</v>
      </c>
      <c r="F8" s="1838">
        <f>SUM(B8:E8)</f>
        <v>17725565</v>
      </c>
    </row>
    <row r="9" spans="1:8" s="1080" customFormat="1" ht="14.25" customHeight="1" thickBot="1" x14ac:dyDescent="0.25">
      <c r="A9" s="1079" t="s">
        <v>1436</v>
      </c>
      <c r="B9" s="1839">
        <f>'Acct Summary 7-8'!C17</f>
        <v>14955359</v>
      </c>
      <c r="C9" s="1839">
        <f>'Acct Summary 7-8'!D17</f>
        <v>1803258</v>
      </c>
      <c r="D9" s="1839">
        <f>'Acct Summary 7-8'!F17</f>
        <v>331837</v>
      </c>
      <c r="E9" s="1838"/>
      <c r="F9" s="1838">
        <f>SUM(B9:E9)</f>
        <v>17090454</v>
      </c>
    </row>
    <row r="10" spans="1:8" s="1080" customFormat="1" ht="14.25" thickTop="1" thickBot="1" x14ac:dyDescent="0.25">
      <c r="A10" s="1081" t="s">
        <v>1437</v>
      </c>
      <c r="B10" s="1840">
        <f>(B8-B9)</f>
        <v>-9297</v>
      </c>
      <c r="C10" s="1840">
        <f>(C8-C9)</f>
        <v>21126</v>
      </c>
      <c r="D10" s="1840">
        <f>(D8-D9)</f>
        <v>469035</v>
      </c>
      <c r="E10" s="1839">
        <f>(E8-E9)</f>
        <v>154247</v>
      </c>
      <c r="F10" s="1841">
        <f>SUM(F8-F9)</f>
        <v>635111</v>
      </c>
    </row>
    <row r="11" spans="1:8" s="1080" customFormat="1" ht="14.25" thickTop="1" thickBot="1" x14ac:dyDescent="0.25">
      <c r="A11" s="1082" t="s">
        <v>1785</v>
      </c>
      <c r="B11" s="1842">
        <f>'Acct Summary 7-8'!C81</f>
        <v>15836963</v>
      </c>
      <c r="C11" s="1842">
        <f>'Acct Summary 7-8'!D81</f>
        <v>2123287</v>
      </c>
      <c r="D11" s="1842">
        <f>'Acct Summary 7-8'!F81</f>
        <v>1387182</v>
      </c>
      <c r="E11" s="1842">
        <f>'Acct Summary 7-8'!I81</f>
        <v>642057</v>
      </c>
      <c r="F11" s="1843">
        <f>SUM(B11:E11)</f>
        <v>19989489</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6016091002</v>
      </c>
    </row>
    <row r="3" spans="1:2" x14ac:dyDescent="0.2">
      <c r="A3" t="s">
        <v>1013</v>
      </c>
      <c r="B3" s="138" t="str">
        <f>COVER!A15</f>
        <v>Cook</v>
      </c>
    </row>
    <row r="4" spans="1:2" x14ac:dyDescent="0.2">
      <c r="A4" t="s">
        <v>1064</v>
      </c>
      <c r="B4" s="138" t="str">
        <f>COVER!A17</f>
        <v>Forest Park SD 91</v>
      </c>
    </row>
    <row r="5" spans="1:2" x14ac:dyDescent="0.2">
      <c r="A5" t="s">
        <v>728</v>
      </c>
      <c r="B5" s="138" t="str">
        <f>COVER!A38</f>
        <v>Dr. Louis Cavallo</v>
      </c>
    </row>
    <row r="6" spans="1:2" x14ac:dyDescent="0.2">
      <c r="A6" t="s">
        <v>733</v>
      </c>
      <c r="B6" s="138" t="str">
        <f>COVER!P35</f>
        <v>Proviso</v>
      </c>
    </row>
    <row r="7" spans="1:2" x14ac:dyDescent="0.2">
      <c r="A7" t="s">
        <v>729</v>
      </c>
      <c r="B7" s="138" t="str">
        <f>COVER!I38</f>
        <v>Daniel Coglianese</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16025333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188370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188370</v>
      </c>
      <c r="C91" s="2" t="s">
        <v>594</v>
      </c>
      <c r="D91" s="2" t="str">
        <f t="shared" si="0"/>
        <v>Error?</v>
      </c>
    </row>
    <row r="92" spans="1:4" x14ac:dyDescent="0.2">
      <c r="A92" s="5">
        <v>31</v>
      </c>
      <c r="B92" s="138">
        <f>'Assets-Liab 5-6'!C39</f>
        <v>15836963</v>
      </c>
      <c r="D92" s="2" t="str">
        <f t="shared" si="0"/>
        <v>Error?</v>
      </c>
    </row>
    <row r="93" spans="1:4" x14ac:dyDescent="0.2">
      <c r="A93" s="5">
        <v>32</v>
      </c>
      <c r="B93" s="138">
        <f>'Assets-Liab 5-6'!C41</f>
        <v>16025333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2136268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12981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12981</v>
      </c>
      <c r="C122" s="2" t="s">
        <v>594</v>
      </c>
      <c r="D122" s="2" t="str">
        <f t="shared" si="0"/>
        <v>Error?</v>
      </c>
    </row>
    <row r="123" spans="1:4" x14ac:dyDescent="0.2">
      <c r="A123" s="5">
        <v>62</v>
      </c>
      <c r="B123" s="138">
        <f>'Assets-Liab 5-6'!D39</f>
        <v>2123287</v>
      </c>
      <c r="D123" s="2" t="str">
        <f t="shared" si="0"/>
        <v>Error?</v>
      </c>
    </row>
    <row r="124" spans="1:4" x14ac:dyDescent="0.2">
      <c r="A124" s="5">
        <v>63</v>
      </c>
      <c r="B124" s="138">
        <f>'Assets-Liab 5-6'!D41</f>
        <v>2136268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93963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93963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1390044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2862</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2862</v>
      </c>
      <c r="C169" s="2" t="s">
        <v>594</v>
      </c>
      <c r="D169" s="2" t="str">
        <f t="shared" si="1"/>
        <v>Error?</v>
      </c>
    </row>
    <row r="170" spans="1:4" x14ac:dyDescent="0.2">
      <c r="A170" s="5">
        <v>109</v>
      </c>
      <c r="B170" s="138">
        <f>'Assets-Liab 5-6'!F39</f>
        <v>1387182</v>
      </c>
      <c r="D170" s="2" t="str">
        <f t="shared" si="1"/>
        <v>Error?</v>
      </c>
    </row>
    <row r="171" spans="1:4" x14ac:dyDescent="0.2">
      <c r="A171" s="5">
        <v>110</v>
      </c>
      <c r="B171" s="138">
        <f>'Assets-Liab 5-6'!F41</f>
        <v>1390044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1052291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1052291</v>
      </c>
      <c r="D189" s="2" t="str">
        <f t="shared" si="1"/>
        <v>Error?</v>
      </c>
    </row>
    <row r="190" spans="1:4" x14ac:dyDescent="0.2">
      <c r="A190" s="5">
        <v>129</v>
      </c>
      <c r="B190" s="138">
        <f>'Assets-Liab 5-6'!G41</f>
        <v>1052291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2034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2034</v>
      </c>
      <c r="D212" s="2" t="str">
        <f t="shared" si="2"/>
        <v>Error?</v>
      </c>
    </row>
    <row r="213" spans="1:4" x14ac:dyDescent="0.2">
      <c r="A213" s="12">
        <v>152</v>
      </c>
      <c r="B213" s="138">
        <f>'Assets-Liab 5-6'!H41</f>
        <v>2034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296250</v>
      </c>
      <c r="D273" s="2" t="str">
        <f t="shared" si="3"/>
        <v>Error?</v>
      </c>
    </row>
    <row r="274" spans="1:4" x14ac:dyDescent="0.2">
      <c r="A274" s="5">
        <v>213</v>
      </c>
      <c r="B274" s="138">
        <f>'Assets-Liab 5-6'!M17</f>
        <v>20483245</v>
      </c>
      <c r="D274" s="2" t="str">
        <f t="shared" si="3"/>
        <v>Error?</v>
      </c>
    </row>
    <row r="275" spans="1:4" x14ac:dyDescent="0.2">
      <c r="A275" s="5">
        <v>214</v>
      </c>
      <c r="B275" s="138">
        <f>'Assets-Liab 5-6'!M18</f>
        <v>714508</v>
      </c>
      <c r="D275" s="2" t="str">
        <f t="shared" si="3"/>
        <v>Error?</v>
      </c>
    </row>
    <row r="276" spans="1:4" x14ac:dyDescent="0.2">
      <c r="A276" s="5">
        <v>215</v>
      </c>
      <c r="B276" s="138">
        <f>'Assets-Liab 5-6'!M19</f>
        <v>2817229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24311232</v>
      </c>
      <c r="C279" s="2" t="s">
        <v>594</v>
      </c>
      <c r="D279" s="2" t="str">
        <f t="shared" si="3"/>
        <v>Error?</v>
      </c>
    </row>
    <row r="280" spans="1:4" x14ac:dyDescent="0.2">
      <c r="A280" s="5">
        <v>219</v>
      </c>
      <c r="B280" s="138">
        <f>'Assets-Liab 5-6'!M40</f>
        <v>24311232</v>
      </c>
      <c r="D280" s="2" t="str">
        <f t="shared" si="3"/>
        <v>Error?</v>
      </c>
    </row>
    <row r="281" spans="1:4" x14ac:dyDescent="0.2">
      <c r="A281" s="5">
        <v>220</v>
      </c>
      <c r="B281" s="138">
        <f>'Assets-Liab 5-6'!M41</f>
        <v>24311232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4363872</v>
      </c>
      <c r="D705" s="2" t="str">
        <f t="shared" si="10"/>
        <v>Error?</v>
      </c>
    </row>
    <row r="706" spans="1:4" x14ac:dyDescent="0.2">
      <c r="A706" s="5">
        <v>645</v>
      </c>
      <c r="B706" s="138">
        <f>'Expenditures 15-22'!C16</f>
        <v>88808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180061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397244</v>
      </c>
      <c r="D718" s="2" t="str">
        <f t="shared" si="10"/>
        <v>Error?</v>
      </c>
    </row>
    <row r="719" spans="1:4" x14ac:dyDescent="0.2">
      <c r="A719" s="5">
        <v>658</v>
      </c>
      <c r="B719" s="138">
        <f>'Expenditures 15-22'!C15</f>
        <v>51623</v>
      </c>
      <c r="D719" s="2" t="str">
        <f t="shared" si="10"/>
        <v>Error?</v>
      </c>
    </row>
    <row r="720" spans="1:4" x14ac:dyDescent="0.2">
      <c r="A720" s="5">
        <v>659</v>
      </c>
      <c r="B720" s="138">
        <f>'Expenditures 15-22'!C33</f>
        <v>7541353</v>
      </c>
      <c r="C720" s="2" t="s">
        <v>594</v>
      </c>
      <c r="D720" s="2" t="str">
        <f t="shared" si="10"/>
        <v>Error?</v>
      </c>
    </row>
    <row r="721" spans="1:4" x14ac:dyDescent="0.2">
      <c r="A721" s="5">
        <v>660</v>
      </c>
      <c r="B721" s="138">
        <f>'Expenditures 15-22'!C36</f>
        <v>294731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141178</v>
      </c>
      <c r="D723" s="2" t="str">
        <f t="shared" si="10"/>
        <v>Error?</v>
      </c>
    </row>
    <row r="724" spans="1:4" x14ac:dyDescent="0.2">
      <c r="A724" s="5">
        <v>663</v>
      </c>
      <c r="B724" s="138">
        <f>'Expenditures 15-22'!C39</f>
        <v>89898</v>
      </c>
      <c r="D724" s="2" t="str">
        <f t="shared" si="10"/>
        <v>Error?</v>
      </c>
    </row>
    <row r="725" spans="1:4" x14ac:dyDescent="0.2">
      <c r="A725" s="5">
        <v>664</v>
      </c>
      <c r="B725" s="138">
        <f>'Expenditures 15-22'!C40</f>
        <v>102925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628732</v>
      </c>
      <c r="C727" s="2" t="s">
        <v>594</v>
      </c>
      <c r="D727" s="2" t="str">
        <f t="shared" si="10"/>
        <v>Error?</v>
      </c>
    </row>
    <row r="728" spans="1:4" x14ac:dyDescent="0.2">
      <c r="A728" s="5">
        <v>667</v>
      </c>
      <c r="B728" s="138">
        <f>'Expenditures 15-22'!C44</f>
        <v>106779</v>
      </c>
      <c r="D728" s="2" t="str">
        <f t="shared" si="10"/>
        <v>Error?</v>
      </c>
    </row>
    <row r="729" spans="1:4" x14ac:dyDescent="0.2">
      <c r="A729" s="5">
        <v>668</v>
      </c>
      <c r="B729" s="138">
        <f>'Expenditures 15-22'!C45</f>
        <v>195309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302088</v>
      </c>
      <c r="C731" s="2" t="s">
        <v>594</v>
      </c>
      <c r="D731" s="2" t="str">
        <f t="shared" si="10"/>
        <v>Error?</v>
      </c>
    </row>
    <row r="732" spans="1:4" x14ac:dyDescent="0.2">
      <c r="A732" s="5">
        <v>671</v>
      </c>
      <c r="B732" s="138">
        <f>'Expenditures 15-22'!C49</f>
        <v>78850</v>
      </c>
      <c r="D732" s="2" t="str">
        <f t="shared" si="10"/>
        <v>Error?</v>
      </c>
    </row>
    <row r="733" spans="1:4" x14ac:dyDescent="0.2">
      <c r="A733" s="5">
        <v>672</v>
      </c>
      <c r="B733" s="138">
        <f>'Expenditures 15-22'!C50</f>
        <v>299002</v>
      </c>
      <c r="D733" s="2" t="str">
        <f t="shared" si="10"/>
        <v>Error?</v>
      </c>
    </row>
    <row r="734" spans="1:4" x14ac:dyDescent="0.2">
      <c r="A734" s="5">
        <v>673</v>
      </c>
      <c r="B734" s="138">
        <f>'Expenditures 15-22'!C53</f>
        <v>377852</v>
      </c>
      <c r="C734" s="2" t="s">
        <v>594</v>
      </c>
      <c r="D734" s="2" t="str">
        <f t="shared" si="10"/>
        <v>Error?</v>
      </c>
    </row>
    <row r="735" spans="1:4" x14ac:dyDescent="0.2">
      <c r="A735" s="5">
        <v>674</v>
      </c>
      <c r="B735" s="138">
        <f>'Expenditures 15-22'!C55</f>
        <v>1086619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1086619</v>
      </c>
      <c r="C737" s="2" t="s">
        <v>594</v>
      </c>
      <c r="D737" s="2" t="str">
        <f t="shared" si="10"/>
        <v>Error?</v>
      </c>
    </row>
    <row r="738" spans="1:4" x14ac:dyDescent="0.2">
      <c r="A738" s="5">
        <v>677</v>
      </c>
      <c r="B738" s="138">
        <f>'Expenditures 15-22'!C59</f>
        <v>142376</v>
      </c>
      <c r="D738" s="2" t="str">
        <f t="shared" si="10"/>
        <v>Error?</v>
      </c>
    </row>
    <row r="739" spans="1:4" x14ac:dyDescent="0.2">
      <c r="A739" s="5">
        <v>678</v>
      </c>
      <c r="B739" s="138">
        <f>'Expenditures 15-22'!C60</f>
        <v>258607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128959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529942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58350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58350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2983583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10524936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821595</v>
      </c>
      <c r="D763" s="2" t="str">
        <f t="shared" si="10"/>
        <v>Error?</v>
      </c>
    </row>
    <row r="764" spans="1:4" x14ac:dyDescent="0.2">
      <c r="A764" s="5">
        <v>703</v>
      </c>
      <c r="B764" s="138">
        <f>'Expenditures 15-22'!D16</f>
        <v>6872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14071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1245911</v>
      </c>
      <c r="C778" s="2" t="s">
        <v>594</v>
      </c>
      <c r="D778" s="2" t="str">
        <f t="shared" si="11"/>
        <v>Error?</v>
      </c>
    </row>
    <row r="779" spans="1:4" x14ac:dyDescent="0.2">
      <c r="A779" s="5">
        <v>718</v>
      </c>
      <c r="B779" s="138">
        <f>'Expenditures 15-22'!D36</f>
        <v>28654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15770</v>
      </c>
      <c r="D781" s="2" t="str">
        <f t="shared" si="11"/>
        <v>Error?</v>
      </c>
    </row>
    <row r="782" spans="1:4" x14ac:dyDescent="0.2">
      <c r="A782" s="5">
        <v>721</v>
      </c>
      <c r="B782" s="138">
        <f>'Expenditures 15-22'!D39</f>
        <v>6724</v>
      </c>
      <c r="D782" s="2" t="str">
        <f t="shared" si="11"/>
        <v>Error?</v>
      </c>
    </row>
    <row r="783" spans="1:4" x14ac:dyDescent="0.2">
      <c r="A783" s="5">
        <v>722</v>
      </c>
      <c r="B783" s="138">
        <f>'Expenditures 15-22'!D40</f>
        <v>14646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65794</v>
      </c>
      <c r="C785" s="2" t="s">
        <v>594</v>
      </c>
      <c r="D785" s="2" t="str">
        <f t="shared" si="11"/>
        <v>Error?</v>
      </c>
    </row>
    <row r="786" spans="1:4" x14ac:dyDescent="0.2">
      <c r="A786" s="5">
        <v>725</v>
      </c>
      <c r="B786" s="138">
        <f>'Expenditures 15-22'!D44</f>
        <v>2297</v>
      </c>
      <c r="D786" s="2" t="str">
        <f t="shared" si="11"/>
        <v>Error?</v>
      </c>
    </row>
    <row r="787" spans="1:4" x14ac:dyDescent="0.2">
      <c r="A787" s="5">
        <v>726</v>
      </c>
      <c r="B787" s="138">
        <f>'Expenditures 15-22'!D45</f>
        <v>7908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10205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79897</v>
      </c>
      <c r="D791" s="2" t="str">
        <f t="shared" si="11"/>
        <v>Error?</v>
      </c>
    </row>
    <row r="792" spans="1:4" x14ac:dyDescent="0.2">
      <c r="A792" s="5">
        <v>731</v>
      </c>
      <c r="B792" s="138">
        <f>'Expenditures 15-22'!D53</f>
        <v>79897</v>
      </c>
      <c r="C792" s="2" t="s">
        <v>594</v>
      </c>
      <c r="D792" s="2" t="str">
        <f t="shared" si="11"/>
        <v>Error?</v>
      </c>
    </row>
    <row r="793" spans="1:4" x14ac:dyDescent="0.2">
      <c r="A793" s="5">
        <v>732</v>
      </c>
      <c r="B793" s="138">
        <f>'Expenditures 15-22'!D55</f>
        <v>285914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285914</v>
      </c>
      <c r="C795" s="2" t="s">
        <v>594</v>
      </c>
      <c r="D795" s="2" t="str">
        <f t="shared" si="11"/>
        <v>Error?</v>
      </c>
    </row>
    <row r="796" spans="1:4" x14ac:dyDescent="0.2">
      <c r="A796" s="5">
        <v>735</v>
      </c>
      <c r="B796" s="138">
        <f>'Expenditures 15-22'!D59</f>
        <v>28514</v>
      </c>
      <c r="D796" s="2" t="str">
        <f t="shared" si="11"/>
        <v>Error?</v>
      </c>
    </row>
    <row r="797" spans="1:4" x14ac:dyDescent="0.2">
      <c r="A797" s="5">
        <v>736</v>
      </c>
      <c r="B797" s="138">
        <f>'Expenditures 15-22'!D60</f>
        <v>85641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114155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4429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4429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560394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1806305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384135</v>
      </c>
      <c r="D821" s="2" t="str">
        <f t="shared" si="11"/>
        <v>Error?</v>
      </c>
    </row>
    <row r="822" spans="1:4" x14ac:dyDescent="0.2">
      <c r="A822" s="5">
        <v>761</v>
      </c>
      <c r="B822" s="138">
        <f>'Expenditures 15-22'!E16</f>
        <v>1135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3860</v>
      </c>
      <c r="D834" s="2" t="str">
        <f t="shared" si="12"/>
        <v>Error?</v>
      </c>
    </row>
    <row r="835" spans="1:4" x14ac:dyDescent="0.2">
      <c r="A835" s="5">
        <v>774</v>
      </c>
      <c r="B835" s="138">
        <f>'Expenditures 15-22'!E15</f>
        <v>55250</v>
      </c>
      <c r="D835" s="2" t="str">
        <f t="shared" si="12"/>
        <v>Error?</v>
      </c>
    </row>
    <row r="836" spans="1:4" x14ac:dyDescent="0.2">
      <c r="A836" s="5">
        <v>775</v>
      </c>
      <c r="B836" s="138">
        <f>'Expenditures 15-22'!E33</f>
        <v>697146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2696</v>
      </c>
      <c r="D839" s="2" t="str">
        <f t="shared" si="12"/>
        <v>Error?</v>
      </c>
    </row>
    <row r="840" spans="1:4" x14ac:dyDescent="0.2">
      <c r="A840" s="5">
        <v>779</v>
      </c>
      <c r="B840" s="138">
        <f>'Expenditures 15-22'!E39</f>
        <v>679</v>
      </c>
      <c r="D840" s="2" t="str">
        <f t="shared" si="12"/>
        <v>Error?</v>
      </c>
    </row>
    <row r="841" spans="1:4" x14ac:dyDescent="0.2">
      <c r="A841" s="5">
        <v>780</v>
      </c>
      <c r="B841" s="138">
        <f>'Expenditures 15-22'!E40</f>
        <v>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3875</v>
      </c>
      <c r="C843" s="2" t="s">
        <v>594</v>
      </c>
      <c r="D843" s="2" t="str">
        <f t="shared" si="12"/>
        <v>Error?</v>
      </c>
    </row>
    <row r="844" spans="1:4" x14ac:dyDescent="0.2">
      <c r="A844" s="5">
        <v>783</v>
      </c>
      <c r="B844" s="138">
        <f>'Expenditures 15-22'!E44</f>
        <v>103666</v>
      </c>
      <c r="D844" s="2" t="str">
        <f t="shared" si="12"/>
        <v>Error?</v>
      </c>
    </row>
    <row r="845" spans="1:4" x14ac:dyDescent="0.2">
      <c r="A845" s="5">
        <v>784</v>
      </c>
      <c r="B845" s="138">
        <f>'Expenditures 15-22'!E45</f>
        <v>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103916</v>
      </c>
      <c r="C847" s="2" t="s">
        <v>594</v>
      </c>
      <c r="D847" s="2" t="str">
        <f t="shared" si="12"/>
        <v>Error?</v>
      </c>
    </row>
    <row r="848" spans="1:4" x14ac:dyDescent="0.2">
      <c r="A848" s="5">
        <v>787</v>
      </c>
      <c r="B848" s="138">
        <f>'Expenditures 15-22'!E49</f>
        <v>135956</v>
      </c>
      <c r="D848" s="2" t="str">
        <f t="shared" si="12"/>
        <v>Error?</v>
      </c>
    </row>
    <row r="849" spans="1:4" x14ac:dyDescent="0.2">
      <c r="A849" s="5">
        <v>788</v>
      </c>
      <c r="B849" s="138">
        <f>'Expenditures 15-22'!E50</f>
        <v>4073</v>
      </c>
      <c r="D849" s="2" t="str">
        <f t="shared" si="12"/>
        <v>Error?</v>
      </c>
    </row>
    <row r="850" spans="1:4" x14ac:dyDescent="0.2">
      <c r="A850" s="5">
        <v>789</v>
      </c>
      <c r="B850" s="138">
        <f>'Expenditures 15-22'!E53</f>
        <v>140029</v>
      </c>
      <c r="C850" s="2" t="s">
        <v>594</v>
      </c>
      <c r="D850" s="2" t="str">
        <f t="shared" si="12"/>
        <v>Error?</v>
      </c>
    </row>
    <row r="851" spans="1:4" x14ac:dyDescent="0.2">
      <c r="A851" s="5">
        <v>790</v>
      </c>
      <c r="B851" s="138">
        <f>'Expenditures 15-22'!E55</f>
        <v>1080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1080</v>
      </c>
      <c r="C853" s="2" t="s">
        <v>594</v>
      </c>
      <c r="D853" s="2" t="str">
        <f t="shared" si="12"/>
        <v>Error?</v>
      </c>
    </row>
    <row r="854" spans="1:4" x14ac:dyDescent="0.2">
      <c r="A854" s="5">
        <v>793</v>
      </c>
      <c r="B854" s="138">
        <f>'Expenditures 15-22'!E59</f>
        <v>1500</v>
      </c>
      <c r="D854" s="2" t="str">
        <f t="shared" si="12"/>
        <v>Error?</v>
      </c>
    </row>
    <row r="855" spans="1:4" x14ac:dyDescent="0.2">
      <c r="A855" s="5">
        <v>794</v>
      </c>
      <c r="B855" s="138">
        <f>'Expenditures 15-22'!E60</f>
        <v>3500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23000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23000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278213</v>
      </c>
      <c r="C871" s="2" t="s">
        <v>594</v>
      </c>
      <c r="D871" s="2" t="str">
        <f t="shared" si="12"/>
        <v>Error?</v>
      </c>
    </row>
    <row r="872" spans="1:4" x14ac:dyDescent="0.2">
      <c r="A872" s="5">
        <v>811</v>
      </c>
      <c r="B872" s="138">
        <f>'Expenditures 15-22'!E75</f>
        <v>43318</v>
      </c>
      <c r="D872" s="2" t="str">
        <f t="shared" si="12"/>
        <v>Error?</v>
      </c>
    </row>
    <row r="873" spans="1:4" x14ac:dyDescent="0.2">
      <c r="A873" s="5">
        <v>812</v>
      </c>
      <c r="B873" s="138">
        <f>'Expenditures 15-22'!E114</f>
        <v>1018677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334061</v>
      </c>
      <c r="D879" s="2" t="str">
        <f t="shared" si="12"/>
        <v>Error?</v>
      </c>
    </row>
    <row r="880" spans="1:4" x14ac:dyDescent="0.2">
      <c r="A880" s="5">
        <v>819</v>
      </c>
      <c r="B880" s="138">
        <f>'Expenditures 15-22'!F16</f>
        <v>2133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7343</v>
      </c>
      <c r="D892" s="2" t="str">
        <f t="shared" si="12"/>
        <v>Error?</v>
      </c>
    </row>
    <row r="893" spans="1:4" x14ac:dyDescent="0.2">
      <c r="A893" s="5">
        <v>832</v>
      </c>
      <c r="B893" s="138">
        <f>'Expenditures 15-22'!F15</f>
        <v>455</v>
      </c>
      <c r="D893" s="2" t="str">
        <f t="shared" si="12"/>
        <v>Error?</v>
      </c>
    </row>
    <row r="894" spans="1:4" x14ac:dyDescent="0.2">
      <c r="A894" s="5">
        <v>833</v>
      </c>
      <c r="B894" s="138">
        <f>'Expenditures 15-22'!F33</f>
        <v>378664</v>
      </c>
      <c r="C894" s="2" t="s">
        <v>594</v>
      </c>
      <c r="D894" s="2" t="str">
        <f t="shared" si="12"/>
        <v>Error?</v>
      </c>
    </row>
    <row r="895" spans="1:4" x14ac:dyDescent="0.2">
      <c r="A895" s="5">
        <v>834</v>
      </c>
      <c r="B895" s="138">
        <f>'Expenditures 15-22'!F36</f>
        <v>3807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3626</v>
      </c>
      <c r="D897" s="2" t="str">
        <f t="shared" si="13"/>
        <v>Error?</v>
      </c>
    </row>
    <row r="898" spans="1:4" x14ac:dyDescent="0.2">
      <c r="A898" s="5">
        <v>837</v>
      </c>
      <c r="B898" s="138">
        <f>'Expenditures 15-22'!F39</f>
        <v>1840</v>
      </c>
      <c r="D898" s="2" t="str">
        <f t="shared" si="13"/>
        <v>Error?</v>
      </c>
    </row>
    <row r="899" spans="1:4" x14ac:dyDescent="0.2">
      <c r="A899" s="5">
        <v>838</v>
      </c>
      <c r="B899" s="138">
        <f>'Expenditures 15-22'!F40</f>
        <v>2094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11367</v>
      </c>
      <c r="C901" s="2" t="s">
        <v>594</v>
      </c>
      <c r="D901" s="2" t="str">
        <f t="shared" si="13"/>
        <v>Error?</v>
      </c>
    </row>
    <row r="902" spans="1:4" x14ac:dyDescent="0.2">
      <c r="A902" s="5">
        <v>841</v>
      </c>
      <c r="B902" s="138">
        <f>'Expenditures 15-22'!F44</f>
        <v>2970</v>
      </c>
      <c r="D902" s="2" t="str">
        <f t="shared" si="13"/>
        <v>Error?</v>
      </c>
    </row>
    <row r="903" spans="1:4" x14ac:dyDescent="0.2">
      <c r="A903" s="5">
        <v>842</v>
      </c>
      <c r="B903" s="138">
        <f>'Expenditures 15-22'!F45</f>
        <v>37830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40800</v>
      </c>
      <c r="C905" s="2" t="s">
        <v>594</v>
      </c>
      <c r="D905" s="2" t="str">
        <f t="shared" si="13"/>
        <v>Error?</v>
      </c>
    </row>
    <row r="906" spans="1:4" x14ac:dyDescent="0.2">
      <c r="A906" s="5">
        <v>845</v>
      </c>
      <c r="B906" s="138">
        <f>'Expenditures 15-22'!F49</f>
        <v>11090</v>
      </c>
      <c r="D906" s="2" t="str">
        <f t="shared" si="13"/>
        <v>Error?</v>
      </c>
    </row>
    <row r="907" spans="1:4" x14ac:dyDescent="0.2">
      <c r="A907" s="5">
        <v>846</v>
      </c>
      <c r="B907" s="138">
        <f>'Expenditures 15-22'!F50</f>
        <v>485</v>
      </c>
      <c r="D907" s="2" t="str">
        <f t="shared" si="13"/>
        <v>Error?</v>
      </c>
    </row>
    <row r="908" spans="1:4" x14ac:dyDescent="0.2">
      <c r="A908" s="5">
        <v>847</v>
      </c>
      <c r="B908" s="138">
        <f>'Expenditures 15-22'!F53</f>
        <v>11575</v>
      </c>
      <c r="C908" s="2" t="s">
        <v>594</v>
      </c>
      <c r="D908" s="2" t="str">
        <f t="shared" si="13"/>
        <v>Error?</v>
      </c>
    </row>
    <row r="909" spans="1:4" x14ac:dyDescent="0.2">
      <c r="A909" s="5">
        <v>848</v>
      </c>
      <c r="B909" s="138">
        <f>'Expenditures 15-22'!F55</f>
        <v>43458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43458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111405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111405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11665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11665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230270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608934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21597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22715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22715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216146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5845</v>
      </c>
      <c r="D1022" s="2" t="str">
        <f t="shared" si="14"/>
        <v>Error?</v>
      </c>
    </row>
    <row r="1023" spans="1:4" x14ac:dyDescent="0.2">
      <c r="A1023" s="5">
        <v>962</v>
      </c>
      <c r="B1023" s="138">
        <f>'Expenditures 15-22'!H50</f>
        <v>1244</v>
      </c>
      <c r="D1023" s="2" t="str">
        <f t="shared" ref="D1023:D1086" si="15">IF(ISBLANK(B1023),"OK",IF(A1023-B1023=0,"OK","Error?"))</f>
        <v>Error?</v>
      </c>
    </row>
    <row r="1024" spans="1:4" x14ac:dyDescent="0.2">
      <c r="A1024" s="5">
        <v>963</v>
      </c>
      <c r="B1024" s="138">
        <f>'Expenditures 15-22'!H53</f>
        <v>7089</v>
      </c>
      <c r="C1024" s="2" t="s">
        <v>594</v>
      </c>
      <c r="D1024" s="2" t="str">
        <f t="shared" si="15"/>
        <v>Error?</v>
      </c>
    </row>
    <row r="1025" spans="1:4" x14ac:dyDescent="0.2">
      <c r="A1025" s="5">
        <v>964</v>
      </c>
      <c r="B1025" s="138">
        <f>'Expenditures 15-22'!H55</f>
        <v>1148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1148</v>
      </c>
      <c r="C1027" s="2" t="s">
        <v>594</v>
      </c>
      <c r="D1027" s="2" t="str">
        <f t="shared" si="15"/>
        <v>Error?</v>
      </c>
    </row>
    <row r="1028" spans="1:4" x14ac:dyDescent="0.2">
      <c r="A1028" s="5">
        <v>967</v>
      </c>
      <c r="B1028" s="138">
        <f>'Expenditures 15-22'!H59</f>
        <v>1905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1905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1090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1090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11232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746414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973792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5925260</v>
      </c>
      <c r="C1093" s="2" t="s">
        <v>594</v>
      </c>
      <c r="D1093" s="2" t="str">
        <f t="shared" si="16"/>
        <v>Error?</v>
      </c>
    </row>
    <row r="1094" spans="1:4" x14ac:dyDescent="0.2">
      <c r="A1094" s="5">
        <v>1033</v>
      </c>
      <c r="B1094" s="138">
        <f>'Expenditures 15-22'!K16</f>
        <v>98948</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194916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411071</v>
      </c>
      <c r="C1106" s="2" t="s">
        <v>594</v>
      </c>
      <c r="D1106" s="2" t="str">
        <f t="shared" si="16"/>
        <v>Error?</v>
      </c>
    </row>
    <row r="1107" spans="1:4" x14ac:dyDescent="0.2">
      <c r="A1107" s="5">
        <v>1046</v>
      </c>
      <c r="B1107" s="138">
        <f>'Expenditures 15-22'!K15</f>
        <v>107328</v>
      </c>
      <c r="C1107" s="2" t="s">
        <v>594</v>
      </c>
      <c r="D1107" s="2" t="str">
        <f t="shared" si="16"/>
        <v>Error?</v>
      </c>
    </row>
    <row r="1108" spans="1:4" x14ac:dyDescent="0.2">
      <c r="A1108" s="5">
        <v>1047</v>
      </c>
      <c r="B1108" s="138">
        <f>'Expenditures 15-22'!K33</f>
        <v>10101935</v>
      </c>
      <c r="C1108" s="2" t="s">
        <v>594</v>
      </c>
      <c r="D1108" s="2" t="str">
        <f t="shared" si="16"/>
        <v>Error?</v>
      </c>
    </row>
    <row r="1109" spans="1:4" x14ac:dyDescent="0.2">
      <c r="A1109" s="5">
        <v>1048</v>
      </c>
      <c r="B1109" s="138">
        <f>'Expenditures 15-22'!K36</f>
        <v>327192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163270</v>
      </c>
      <c r="C1111" s="2" t="s">
        <v>594</v>
      </c>
      <c r="D1111" s="2" t="str">
        <f t="shared" si="16"/>
        <v>Error?</v>
      </c>
    </row>
    <row r="1112" spans="1:4" x14ac:dyDescent="0.2">
      <c r="A1112" s="5">
        <v>1051</v>
      </c>
      <c r="B1112" s="138">
        <f>'Expenditures 15-22'!K39</f>
        <v>99141</v>
      </c>
      <c r="C1112" s="2" t="s">
        <v>594</v>
      </c>
      <c r="D1112" s="2" t="str">
        <f t="shared" si="16"/>
        <v>Error?</v>
      </c>
    </row>
    <row r="1113" spans="1:4" x14ac:dyDescent="0.2">
      <c r="A1113" s="5">
        <v>1052</v>
      </c>
      <c r="B1113" s="138">
        <f>'Expenditures 15-22'!K40</f>
        <v>120165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709768</v>
      </c>
      <c r="C1115" s="2" t="s">
        <v>594</v>
      </c>
      <c r="D1115" s="2" t="str">
        <f t="shared" si="16"/>
        <v>Error?</v>
      </c>
    </row>
    <row r="1116" spans="1:4" x14ac:dyDescent="0.2">
      <c r="A1116" s="5">
        <v>1055</v>
      </c>
      <c r="B1116" s="138">
        <f>'Expenditures 15-22'!K44</f>
        <v>215712</v>
      </c>
      <c r="C1116" s="2" t="s">
        <v>594</v>
      </c>
      <c r="D1116" s="2" t="str">
        <f t="shared" si="16"/>
        <v>Error?</v>
      </c>
    </row>
    <row r="1117" spans="1:4" x14ac:dyDescent="0.2">
      <c r="A1117" s="5">
        <v>1056</v>
      </c>
      <c r="B1117" s="138">
        <f>'Expenditures 15-22'!K45</f>
        <v>241297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457009</v>
      </c>
      <c r="C1119" s="2" t="s">
        <v>594</v>
      </c>
      <c r="D1119" s="2" t="str">
        <f t="shared" si="16"/>
        <v>Error?</v>
      </c>
    </row>
    <row r="1120" spans="1:4" x14ac:dyDescent="0.2">
      <c r="A1120" s="5">
        <v>1059</v>
      </c>
      <c r="B1120" s="138">
        <f>'Expenditures 15-22'!K49</f>
        <v>231741</v>
      </c>
      <c r="C1120" s="2" t="s">
        <v>594</v>
      </c>
      <c r="D1120" s="2" t="str">
        <f t="shared" si="16"/>
        <v>Error?</v>
      </c>
    </row>
    <row r="1121" spans="1:4" x14ac:dyDescent="0.2">
      <c r="A1121" s="5">
        <v>1060</v>
      </c>
      <c r="B1121" s="138">
        <f>'Expenditures 15-22'!K50</f>
        <v>384701</v>
      </c>
      <c r="C1121" s="2" t="s">
        <v>594</v>
      </c>
      <c r="D1121" s="2" t="str">
        <f t="shared" si="16"/>
        <v>Error?</v>
      </c>
    </row>
    <row r="1122" spans="1:4" x14ac:dyDescent="0.2">
      <c r="A1122" s="5">
        <v>1061</v>
      </c>
      <c r="B1122" s="138">
        <f>'Expenditures 15-22'!K53</f>
        <v>616442</v>
      </c>
      <c r="C1122" s="2" t="s">
        <v>594</v>
      </c>
      <c r="D1122" s="2" t="str">
        <f t="shared" si="16"/>
        <v>Error?</v>
      </c>
    </row>
    <row r="1123" spans="1:4" x14ac:dyDescent="0.2">
      <c r="A1123" s="5">
        <v>1062</v>
      </c>
      <c r="B1123" s="138">
        <f>'Expenditures 15-22'!K55</f>
        <v>1418219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1418219</v>
      </c>
      <c r="C1125" s="2" t="s">
        <v>594</v>
      </c>
      <c r="D1125" s="2" t="str">
        <f t="shared" si="16"/>
        <v>Error?</v>
      </c>
    </row>
    <row r="1126" spans="1:4" x14ac:dyDescent="0.2">
      <c r="A1126" s="5">
        <v>1065</v>
      </c>
      <c r="B1126" s="138">
        <f>'Expenditures 15-22'!K59</f>
        <v>174295</v>
      </c>
      <c r="C1126" s="2" t="s">
        <v>594</v>
      </c>
      <c r="D1126" s="2" t="str">
        <f t="shared" si="16"/>
        <v>Error?</v>
      </c>
    </row>
    <row r="1127" spans="1:4" x14ac:dyDescent="0.2">
      <c r="A1127" s="5">
        <v>1066</v>
      </c>
      <c r="B1127" s="138">
        <f>'Expenditures 15-22'!K60</f>
        <v>347748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241677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763720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98534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98534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4063692</v>
      </c>
      <c r="C1143" s="2" t="s">
        <v>594</v>
      </c>
      <c r="D1143" s="2" t="str">
        <f t="shared" si="16"/>
        <v>Error?</v>
      </c>
    </row>
    <row r="1144" spans="1:4" x14ac:dyDescent="0.2">
      <c r="A1144" s="5">
        <v>1083</v>
      </c>
      <c r="B1144" s="138">
        <f>'Expenditures 15-22'!K75</f>
        <v>43318</v>
      </c>
      <c r="C1144" s="2" t="s">
        <v>594</v>
      </c>
      <c r="D1144" s="2" t="str">
        <f t="shared" si="16"/>
        <v>Error?</v>
      </c>
    </row>
    <row r="1145" spans="1:4" x14ac:dyDescent="0.2">
      <c r="A1145" s="5">
        <v>1084</v>
      </c>
      <c r="B1145" s="138">
        <f>'Expenditures 15-22'!K102</f>
        <v>746414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14955359</v>
      </c>
      <c r="C1152" s="2" t="s">
        <v>594</v>
      </c>
      <c r="D1152" s="2" t="str">
        <f t="shared" si="17"/>
        <v>Error?</v>
      </c>
    </row>
    <row r="1153" spans="1:4" x14ac:dyDescent="0.2">
      <c r="A1153" s="5">
        <v>1092</v>
      </c>
      <c r="B1153" s="138">
        <f>'Expenditures 15-22'!K115</f>
        <v>-9297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872386</v>
      </c>
      <c r="D1221" s="2" t="str">
        <f t="shared" si="18"/>
        <v>Error?</v>
      </c>
    </row>
    <row r="1222" spans="1:4" x14ac:dyDescent="0.2">
      <c r="A1222" s="10">
        <v>1161</v>
      </c>
      <c r="D1222" s="2" t="str">
        <f t="shared" si="18"/>
        <v>OK</v>
      </c>
    </row>
    <row r="1223" spans="1:4" x14ac:dyDescent="0.2">
      <c r="A1223" s="5">
        <v>1162</v>
      </c>
      <c r="B1223" s="138">
        <f>'Expenditures 15-22'!C127</f>
        <v>872386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872386</v>
      </c>
      <c r="C1225" s="2" t="s">
        <v>594</v>
      </c>
      <c r="D1225" s="2" t="str">
        <f t="shared" si="18"/>
        <v>Error?</v>
      </c>
    </row>
    <row r="1226" spans="1:4" x14ac:dyDescent="0.2">
      <c r="A1226" s="5">
        <v>1165</v>
      </c>
      <c r="B1226" s="138">
        <f>'Expenditures 15-22'!C151</f>
        <v>872386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105772</v>
      </c>
      <c r="D1229" s="2" t="str">
        <f t="shared" si="18"/>
        <v>Error?</v>
      </c>
    </row>
    <row r="1230" spans="1:4" x14ac:dyDescent="0.2">
      <c r="A1230" s="10">
        <v>1169</v>
      </c>
      <c r="D1230" s="2" t="str">
        <f t="shared" si="18"/>
        <v>OK</v>
      </c>
    </row>
    <row r="1231" spans="1:4" x14ac:dyDescent="0.2">
      <c r="A1231" s="5">
        <v>1170</v>
      </c>
      <c r="B1231" s="138">
        <f>'Expenditures 15-22'!D127</f>
        <v>105772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105772</v>
      </c>
      <c r="C1233" s="2" t="s">
        <v>594</v>
      </c>
      <c r="D1233" s="2" t="str">
        <f t="shared" si="18"/>
        <v>Error?</v>
      </c>
    </row>
    <row r="1234" spans="1:4" x14ac:dyDescent="0.2">
      <c r="A1234" s="5">
        <v>1173</v>
      </c>
      <c r="B1234" s="138">
        <f>'Expenditures 15-22'!D151</f>
        <v>105772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396868</v>
      </c>
      <c r="D1237" s="2" t="str">
        <f t="shared" si="18"/>
        <v>Error?</v>
      </c>
    </row>
    <row r="1238" spans="1:4" x14ac:dyDescent="0.2">
      <c r="A1238" s="10">
        <v>1177</v>
      </c>
      <c r="D1238" s="2" t="str">
        <f t="shared" si="18"/>
        <v>OK</v>
      </c>
    </row>
    <row r="1239" spans="1:4" x14ac:dyDescent="0.2">
      <c r="A1239" s="5">
        <v>1178</v>
      </c>
      <c r="B1239" s="138">
        <f>'Expenditures 15-22'!E127</f>
        <v>396868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396868</v>
      </c>
      <c r="C1241" s="2" t="s">
        <v>594</v>
      </c>
      <c r="D1241" s="2" t="str">
        <f t="shared" si="18"/>
        <v>Error?</v>
      </c>
    </row>
    <row r="1242" spans="1:4" x14ac:dyDescent="0.2">
      <c r="A1242" s="5">
        <v>1181</v>
      </c>
      <c r="B1242" s="138">
        <f>'Expenditures 15-22'!E151</f>
        <v>396868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423253</v>
      </c>
      <c r="D1245" s="2" t="str">
        <f t="shared" si="18"/>
        <v>Error?</v>
      </c>
    </row>
    <row r="1246" spans="1:4" x14ac:dyDescent="0.2">
      <c r="A1246" s="10">
        <v>1185</v>
      </c>
      <c r="D1246" s="2" t="str">
        <f t="shared" si="18"/>
        <v>OK</v>
      </c>
    </row>
    <row r="1247" spans="1:4" x14ac:dyDescent="0.2">
      <c r="A1247" s="5">
        <v>1186</v>
      </c>
      <c r="B1247" s="138">
        <f>'Expenditures 15-22'!F127</f>
        <v>423253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423253</v>
      </c>
      <c r="C1249" s="2" t="s">
        <v>594</v>
      </c>
      <c r="D1249" s="2" t="str">
        <f t="shared" si="18"/>
        <v>Error?</v>
      </c>
    </row>
    <row r="1250" spans="1:4" x14ac:dyDescent="0.2">
      <c r="A1250" s="5">
        <v>1189</v>
      </c>
      <c r="B1250" s="138">
        <f>'Expenditures 15-22'!F151</f>
        <v>423253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4979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4979</v>
      </c>
      <c r="C1258" s="2" t="s">
        <v>594</v>
      </c>
      <c r="D1258" s="2" t="str">
        <f t="shared" si="18"/>
        <v>Error?</v>
      </c>
    </row>
    <row r="1259" spans="1:4" x14ac:dyDescent="0.2">
      <c r="A1259" s="5">
        <v>1198</v>
      </c>
      <c r="B1259" s="138">
        <f>'Expenditures 15-22'!G151</f>
        <v>4979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1803258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1803258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1803258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1803258</v>
      </c>
      <c r="C1288" s="2" t="s">
        <v>594</v>
      </c>
      <c r="D1288" s="2" t="str">
        <f t="shared" si="19"/>
        <v>Error?</v>
      </c>
    </row>
    <row r="1289" spans="1:4" x14ac:dyDescent="0.2">
      <c r="A1289" s="5">
        <v>1228</v>
      </c>
      <c r="B1289" s="138">
        <f>'Expenditures 15-22'!K152</f>
        <v>21126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869</v>
      </c>
      <c r="C1333" s="2" t="s">
        <v>594</v>
      </c>
      <c r="D1333" s="2" t="str">
        <f t="shared" si="19"/>
        <v>Error?</v>
      </c>
    </row>
    <row r="1334" spans="1:4" x14ac:dyDescent="0.2">
      <c r="A1334" s="10">
        <v>1273</v>
      </c>
      <c r="D1334" s="2" t="str">
        <f t="shared" si="19"/>
        <v>OK</v>
      </c>
    </row>
    <row r="1335" spans="1:4" x14ac:dyDescent="0.2">
      <c r="A1335" s="5">
        <v>1274</v>
      </c>
      <c r="B1335" s="138">
        <f>'Expenditures 15-22'!C182</f>
        <v>202391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202391</v>
      </c>
      <c r="C1339" s="2" t="s">
        <v>594</v>
      </c>
      <c r="D1339" s="2" t="str">
        <f t="shared" si="19"/>
        <v>Error?</v>
      </c>
    </row>
    <row r="1340" spans="1:4" x14ac:dyDescent="0.2">
      <c r="A1340" s="5">
        <v>1279</v>
      </c>
      <c r="B1340" s="138">
        <f>'Expenditures 15-22'!C210</f>
        <v>202391</v>
      </c>
      <c r="C1340" s="2" t="s">
        <v>594</v>
      </c>
      <c r="D1340" s="2" t="str">
        <f t="shared" si="19"/>
        <v>Error?</v>
      </c>
    </row>
    <row r="1341" spans="1:4" x14ac:dyDescent="0.2">
      <c r="A1341" s="5">
        <v>1280</v>
      </c>
      <c r="B1341" s="138">
        <f>'Expenditures 15-22'!D182</f>
        <v>31873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31873</v>
      </c>
      <c r="C1345" s="2" t="s">
        <v>594</v>
      </c>
      <c r="D1345" s="2" t="str">
        <f t="shared" si="20"/>
        <v>Error?</v>
      </c>
    </row>
    <row r="1346" spans="1:4" x14ac:dyDescent="0.2">
      <c r="A1346" s="5">
        <v>1285</v>
      </c>
      <c r="B1346" s="138">
        <f>'Expenditures 15-22'!D210</f>
        <v>31873</v>
      </c>
      <c r="C1346" s="2" t="s">
        <v>594</v>
      </c>
      <c r="D1346" s="2" t="str">
        <f t="shared" si="20"/>
        <v>Error?</v>
      </c>
    </row>
    <row r="1347" spans="1:4" x14ac:dyDescent="0.2">
      <c r="A1347" s="5">
        <v>1286</v>
      </c>
      <c r="B1347" s="138">
        <f>'Expenditures 15-22'!E182</f>
        <v>63997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63997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63997</v>
      </c>
      <c r="C1353" s="2" t="s">
        <v>594</v>
      </c>
      <c r="D1353" s="2" t="str">
        <f t="shared" si="20"/>
        <v>Error?</v>
      </c>
    </row>
    <row r="1354" spans="1:4" x14ac:dyDescent="0.2">
      <c r="A1354" s="5">
        <v>1293</v>
      </c>
      <c r="B1354" s="138">
        <f>'Expenditures 15-22'!F182</f>
        <v>33576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33576</v>
      </c>
      <c r="C1358" s="2" t="s">
        <v>594</v>
      </c>
      <c r="D1358" s="2" t="str">
        <f t="shared" si="20"/>
        <v>Error?</v>
      </c>
    </row>
    <row r="1359" spans="1:4" x14ac:dyDescent="0.2">
      <c r="A1359" s="5">
        <v>1298</v>
      </c>
      <c r="B1359" s="138">
        <f>'Expenditures 15-22'!F210</f>
        <v>33576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331837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331837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331837</v>
      </c>
      <c r="C1388" s="2" t="s">
        <v>594</v>
      </c>
      <c r="D1388" s="2" t="str">
        <f t="shared" si="20"/>
        <v>Error?</v>
      </c>
    </row>
    <row r="1389" spans="1:4" x14ac:dyDescent="0.2">
      <c r="A1389" s="5">
        <v>1328</v>
      </c>
      <c r="B1389" s="138">
        <f>'Expenditures 15-22'!K211</f>
        <v>469035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1289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2584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5681</v>
      </c>
      <c r="D1408" s="2" t="str">
        <f t="shared" si="21"/>
        <v>Error?</v>
      </c>
    </row>
    <row r="1409" spans="1:4" x14ac:dyDescent="0.2">
      <c r="A1409" s="5">
        <v>1348</v>
      </c>
      <c r="B1409" s="138">
        <f>'Expenditures 15-22'!D224</f>
        <v>3643</v>
      </c>
      <c r="D1409" s="2" t="str">
        <f t="shared" si="21"/>
        <v>Error?</v>
      </c>
    </row>
    <row r="1410" spans="1:4" x14ac:dyDescent="0.2">
      <c r="A1410" s="5">
        <v>1349</v>
      </c>
      <c r="B1410" s="138">
        <f>'Expenditures 15-22'!D229</f>
        <v>292112</v>
      </c>
      <c r="C1410" s="2" t="s">
        <v>594</v>
      </c>
      <c r="D1410" s="2" t="str">
        <f t="shared" si="21"/>
        <v>Error?</v>
      </c>
    </row>
    <row r="1411" spans="1:4" x14ac:dyDescent="0.2">
      <c r="A1411" s="5">
        <v>1350</v>
      </c>
      <c r="B1411" s="138">
        <f>'Expenditures 15-22'!D232</f>
        <v>4274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26611</v>
      </c>
      <c r="D1413" s="2" t="str">
        <f t="shared" si="21"/>
        <v>Error?</v>
      </c>
    </row>
    <row r="1414" spans="1:4" x14ac:dyDescent="0.2">
      <c r="A1414" s="5">
        <v>1353</v>
      </c>
      <c r="B1414" s="138">
        <f>'Expenditures 15-22'!D235</f>
        <v>1308</v>
      </c>
      <c r="D1414" s="2" t="str">
        <f t="shared" si="21"/>
        <v>Error?</v>
      </c>
    </row>
    <row r="1415" spans="1:4" x14ac:dyDescent="0.2">
      <c r="A1415" s="5">
        <v>1354</v>
      </c>
      <c r="B1415" s="138">
        <f>'Expenditures 15-22'!D236</f>
        <v>1492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33685</v>
      </c>
      <c r="C1417" s="2" t="s">
        <v>594</v>
      </c>
      <c r="D1417" s="2" t="str">
        <f t="shared" si="21"/>
        <v>Error?</v>
      </c>
    </row>
    <row r="1418" spans="1:4" x14ac:dyDescent="0.2">
      <c r="A1418" s="5">
        <v>1357</v>
      </c>
      <c r="B1418" s="138">
        <f>'Expenditures 15-22'!D240</f>
        <v>1402</v>
      </c>
      <c r="D1418" s="2" t="str">
        <f t="shared" si="21"/>
        <v>Error?</v>
      </c>
    </row>
    <row r="1419" spans="1:4" x14ac:dyDescent="0.2">
      <c r="A1419" s="5">
        <v>1358</v>
      </c>
      <c r="B1419" s="138">
        <f>'Expenditures 15-22'!D241</f>
        <v>2885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4287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17521</v>
      </c>
      <c r="D1423" s="2" t="str">
        <f t="shared" si="21"/>
        <v>Error?</v>
      </c>
    </row>
    <row r="1424" spans="1:4" x14ac:dyDescent="0.2">
      <c r="A1424" s="5">
        <v>1363</v>
      </c>
      <c r="B1424" s="138">
        <f>'Expenditures 15-22'!D257</f>
        <v>17521</v>
      </c>
      <c r="C1424" s="2" t="s">
        <v>594</v>
      </c>
      <c r="D1424" s="2" t="str">
        <f t="shared" si="21"/>
        <v>Error?</v>
      </c>
    </row>
    <row r="1425" spans="1:4" x14ac:dyDescent="0.2">
      <c r="A1425" s="5">
        <v>1364</v>
      </c>
      <c r="B1425" s="138">
        <f>'Expenditures 15-22'!D259</f>
        <v>81855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81855</v>
      </c>
      <c r="C1427" s="2" t="s">
        <v>594</v>
      </c>
      <c r="D1427" s="2" t="str">
        <f t="shared" si="21"/>
        <v>Error?</v>
      </c>
    </row>
    <row r="1428" spans="1:4" x14ac:dyDescent="0.2">
      <c r="A1428" s="5">
        <v>1367</v>
      </c>
      <c r="B1428" s="138">
        <f>'Expenditures 15-22'!D263</f>
        <v>2066</v>
      </c>
      <c r="D1428" s="2" t="str">
        <f t="shared" si="21"/>
        <v>Error?</v>
      </c>
    </row>
    <row r="1429" spans="1:4" x14ac:dyDescent="0.2">
      <c r="A1429" s="5">
        <v>1368</v>
      </c>
      <c r="B1429" s="138">
        <f>'Expenditures 15-22'!D264</f>
        <v>50028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161028</v>
      </c>
      <c r="D1431" s="2" t="str">
        <f t="shared" si="21"/>
        <v>Error?</v>
      </c>
    </row>
    <row r="1432" spans="1:4" x14ac:dyDescent="0.2">
      <c r="A1432" s="5">
        <v>1371</v>
      </c>
      <c r="B1432" s="138">
        <f>'Expenditures 15-22'!D267</f>
        <v>37994</v>
      </c>
      <c r="D1432" s="2" t="str">
        <f t="shared" si="21"/>
        <v>Error?</v>
      </c>
    </row>
    <row r="1433" spans="1:4" x14ac:dyDescent="0.2">
      <c r="A1433" s="5">
        <v>1372</v>
      </c>
      <c r="B1433" s="138">
        <f>'Expenditures 15-22'!D268</f>
        <v>18427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269543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11049</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11049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417940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710052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1289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2584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5681</v>
      </c>
      <c r="C1472" s="2" t="s">
        <v>594</v>
      </c>
      <c r="D1472" s="2" t="str">
        <f t="shared" si="22"/>
        <v>Error?</v>
      </c>
    </row>
    <row r="1473" spans="1:4" x14ac:dyDescent="0.2">
      <c r="A1473" s="5">
        <v>1412</v>
      </c>
      <c r="B1473" s="138">
        <f>'Expenditures 15-22'!K224</f>
        <v>3643</v>
      </c>
      <c r="C1473" s="2" t="s">
        <v>594</v>
      </c>
      <c r="D1473" s="2" t="str">
        <f t="shared" si="22"/>
        <v>Error?</v>
      </c>
    </row>
    <row r="1474" spans="1:4" x14ac:dyDescent="0.2">
      <c r="A1474" s="5">
        <v>1413</v>
      </c>
      <c r="B1474" s="138">
        <f>'Expenditures 15-22'!K229</f>
        <v>292112</v>
      </c>
      <c r="C1474" s="2" t="s">
        <v>594</v>
      </c>
      <c r="D1474" s="2" t="str">
        <f t="shared" si="22"/>
        <v>Error?</v>
      </c>
    </row>
    <row r="1475" spans="1:4" x14ac:dyDescent="0.2">
      <c r="A1475" s="5">
        <v>1414</v>
      </c>
      <c r="B1475" s="138">
        <f>'Expenditures 15-22'!K232</f>
        <v>4274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26611</v>
      </c>
      <c r="C1477" s="2" t="s">
        <v>594</v>
      </c>
      <c r="D1477" s="2" t="str">
        <f t="shared" si="22"/>
        <v>Error?</v>
      </c>
    </row>
    <row r="1478" spans="1:4" x14ac:dyDescent="0.2">
      <c r="A1478" s="5">
        <v>1417</v>
      </c>
      <c r="B1478" s="138">
        <f>'Expenditures 15-22'!K235</f>
        <v>1308</v>
      </c>
      <c r="C1478" s="2" t="s">
        <v>594</v>
      </c>
      <c r="D1478" s="2" t="str">
        <f t="shared" si="22"/>
        <v>Error?</v>
      </c>
    </row>
    <row r="1479" spans="1:4" x14ac:dyDescent="0.2">
      <c r="A1479" s="5">
        <v>1418</v>
      </c>
      <c r="B1479" s="138">
        <f>'Expenditures 15-22'!K236</f>
        <v>1492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33685</v>
      </c>
      <c r="C1481" s="2" t="s">
        <v>594</v>
      </c>
      <c r="D1481" s="2" t="str">
        <f t="shared" si="22"/>
        <v>Error?</v>
      </c>
    </row>
    <row r="1482" spans="1:4" x14ac:dyDescent="0.2">
      <c r="A1482" s="5">
        <v>1421</v>
      </c>
      <c r="B1482" s="138">
        <f>'Expenditures 15-22'!K240</f>
        <v>1402</v>
      </c>
      <c r="C1482" s="2" t="s">
        <v>594</v>
      </c>
      <c r="D1482" s="2" t="str">
        <f t="shared" si="22"/>
        <v>Error?</v>
      </c>
    </row>
    <row r="1483" spans="1:4" x14ac:dyDescent="0.2">
      <c r="A1483" s="5">
        <v>1422</v>
      </c>
      <c r="B1483" s="138">
        <f>'Expenditures 15-22'!K241</f>
        <v>2885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4287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17521</v>
      </c>
      <c r="C1487" s="2" t="s">
        <v>594</v>
      </c>
      <c r="D1487" s="2" t="str">
        <f t="shared" si="22"/>
        <v>Error?</v>
      </c>
    </row>
    <row r="1488" spans="1:4" x14ac:dyDescent="0.2">
      <c r="A1488" s="5">
        <v>1427</v>
      </c>
      <c r="B1488" s="138">
        <f>'Expenditures 15-22'!K257</f>
        <v>17521</v>
      </c>
      <c r="C1488" s="2" t="s">
        <v>594</v>
      </c>
      <c r="D1488" s="2" t="str">
        <f t="shared" si="22"/>
        <v>Error?</v>
      </c>
    </row>
    <row r="1489" spans="1:4" x14ac:dyDescent="0.2">
      <c r="A1489" s="5">
        <v>1428</v>
      </c>
      <c r="B1489" s="138">
        <f>'Expenditures 15-22'!K259</f>
        <v>81855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81855</v>
      </c>
      <c r="C1491" s="2" t="s">
        <v>594</v>
      </c>
      <c r="D1491" s="2" t="str">
        <f t="shared" si="22"/>
        <v>Error?</v>
      </c>
    </row>
    <row r="1492" spans="1:4" x14ac:dyDescent="0.2">
      <c r="A1492" s="5">
        <v>1431</v>
      </c>
      <c r="B1492" s="138">
        <f>'Expenditures 15-22'!K263</f>
        <v>2066</v>
      </c>
      <c r="C1492" s="2" t="s">
        <v>594</v>
      </c>
      <c r="D1492" s="2" t="str">
        <f t="shared" si="22"/>
        <v>Error?</v>
      </c>
    </row>
    <row r="1493" spans="1:4" x14ac:dyDescent="0.2">
      <c r="A1493" s="5">
        <v>1432</v>
      </c>
      <c r="B1493" s="138">
        <f>'Expenditures 15-22'!K264</f>
        <v>50028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161028</v>
      </c>
      <c r="C1495" s="2" t="s">
        <v>594</v>
      </c>
      <c r="D1495" s="2" t="str">
        <f t="shared" si="22"/>
        <v>Error?</v>
      </c>
    </row>
    <row r="1496" spans="1:4" x14ac:dyDescent="0.2">
      <c r="A1496" s="5">
        <v>1435</v>
      </c>
      <c r="B1496" s="138">
        <f>'Expenditures 15-22'!K267</f>
        <v>37994</v>
      </c>
      <c r="C1496" s="2" t="s">
        <v>594</v>
      </c>
      <c r="D1496" s="2" t="str">
        <f t="shared" si="22"/>
        <v>Error?</v>
      </c>
    </row>
    <row r="1497" spans="1:4" x14ac:dyDescent="0.2">
      <c r="A1497" s="5">
        <v>1436</v>
      </c>
      <c r="B1497" s="138">
        <f>'Expenditures 15-22'!K268</f>
        <v>18427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269543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11049</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11049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417940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710052</v>
      </c>
      <c r="C1517" s="2" t="s">
        <v>594</v>
      </c>
      <c r="D1517" s="2" t="str">
        <f t="shared" si="22"/>
        <v>Error?</v>
      </c>
    </row>
    <row r="1518" spans="1:4" x14ac:dyDescent="0.2">
      <c r="A1518" s="5">
        <v>1457</v>
      </c>
      <c r="B1518" s="138">
        <f>'Expenditures 15-22'!K296</f>
        <v>81363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15846260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15836963</v>
      </c>
      <c r="C1630" s="2" t="s">
        <v>594</v>
      </c>
      <c r="D1630" s="2" t="str">
        <f t="shared" si="24"/>
        <v>Error?</v>
      </c>
    </row>
    <row r="1631" spans="1:4" x14ac:dyDescent="0.2">
      <c r="A1631" s="5">
        <v>1570</v>
      </c>
      <c r="B1631" s="138">
        <f>'Acct Summary 7-8'!D79</f>
        <v>2102161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2123287</v>
      </c>
      <c r="C1644" s="2" t="s">
        <v>594</v>
      </c>
      <c r="D1644" s="2" t="str">
        <f t="shared" si="24"/>
        <v>Error?</v>
      </c>
    </row>
    <row r="1645" spans="1:4" x14ac:dyDescent="0.2">
      <c r="A1645" s="5">
        <v>1584</v>
      </c>
      <c r="B1645" s="138">
        <f>'Acct Summary 7-8'!E79</f>
        <v>93094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93963</v>
      </c>
      <c r="C1658" s="2" t="s">
        <v>594</v>
      </c>
      <c r="D1658" s="2" t="str">
        <f t="shared" si="24"/>
        <v>Error?</v>
      </c>
    </row>
    <row r="1659" spans="1:4" x14ac:dyDescent="0.2">
      <c r="A1659" s="5">
        <v>1598</v>
      </c>
      <c r="B1659" s="138">
        <f>'Acct Summary 7-8'!F79</f>
        <v>918147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1387182</v>
      </c>
      <c r="C1672" s="2" t="s">
        <v>594</v>
      </c>
      <c r="D1672" s="2" t="str">
        <f t="shared" si="25"/>
        <v>Error?</v>
      </c>
    </row>
    <row r="1673" spans="1:4" x14ac:dyDescent="0.2">
      <c r="A1673" s="5">
        <v>1612</v>
      </c>
      <c r="B1673" s="138">
        <f>'Acct Summary 7-8'!G79</f>
        <v>970928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1052291</v>
      </c>
      <c r="C1686" s="2" t="s">
        <v>594</v>
      </c>
      <c r="D1686" s="2" t="str">
        <f t="shared" si="25"/>
        <v>Error?</v>
      </c>
    </row>
    <row r="1687" spans="1:4" x14ac:dyDescent="0.2">
      <c r="A1687" s="5">
        <v>1626</v>
      </c>
      <c r="B1687" s="138">
        <f>'Acct Summary 7-8'!H79</f>
        <v>2015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2034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10341851</v>
      </c>
      <c r="C1744" s="2" t="s">
        <v>594</v>
      </c>
      <c r="D1744" s="2" t="str">
        <f t="shared" si="26"/>
        <v>Error?</v>
      </c>
    </row>
    <row r="1745" spans="1:5" x14ac:dyDescent="0.2">
      <c r="A1745" s="5">
        <v>1684</v>
      </c>
      <c r="B1745" s="138">
        <f>'Tax Sched 23'!B5</f>
        <v>1618935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499946</v>
      </c>
      <c r="C1747" s="2" t="s">
        <v>594</v>
      </c>
      <c r="D1747" s="2" t="str">
        <f t="shared" si="26"/>
        <v>Error?</v>
      </c>
    </row>
    <row r="1748" spans="1:5" x14ac:dyDescent="0.2">
      <c r="A1748" s="5">
        <v>1687</v>
      </c>
      <c r="B1748" s="138">
        <f>'Tax Sched 23'!B8</f>
        <v>381053</v>
      </c>
      <c r="C1748" s="2" t="s">
        <v>594</v>
      </c>
      <c r="D1748" s="2" t="str">
        <f t="shared" si="26"/>
        <v>Error?</v>
      </c>
    </row>
    <row r="1749" spans="1:5" x14ac:dyDescent="0.2">
      <c r="A1749" s="5">
        <v>1688</v>
      </c>
      <c r="B1749" s="138">
        <f>'Tax Sched 23'!B10</f>
        <v>149259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239808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1192964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14804869</v>
      </c>
      <c r="C1759" s="2" t="s">
        <v>594</v>
      </c>
      <c r="D1759" s="2" t="str">
        <f t="shared" si="26"/>
        <v>Error?</v>
      </c>
    </row>
    <row r="1760" spans="1:5" x14ac:dyDescent="0.2">
      <c r="A1760" s="5">
        <v>1699</v>
      </c>
      <c r="B1760" s="138">
        <f>'Tax Sched 23'!D4</f>
        <v>4690085</v>
      </c>
      <c r="C1760" s="2" t="s">
        <v>594</v>
      </c>
      <c r="D1760" s="2" t="str">
        <f t="shared" si="26"/>
        <v>Error?</v>
      </c>
    </row>
    <row r="1761" spans="1:5" x14ac:dyDescent="0.2">
      <c r="A1761" s="5">
        <v>1700</v>
      </c>
      <c r="B1761" s="138">
        <f>'Tax Sched 23'!D5</f>
        <v>736981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338674</v>
      </c>
      <c r="C1763" s="2" t="s">
        <v>594</v>
      </c>
      <c r="D1763" s="2" t="str">
        <f t="shared" si="26"/>
        <v>Error?</v>
      </c>
    </row>
    <row r="1764" spans="1:5" x14ac:dyDescent="0.2">
      <c r="A1764" s="5">
        <v>1703</v>
      </c>
      <c r="B1764" s="138">
        <f>'Tax Sched 23'!D8</f>
        <v>139588</v>
      </c>
      <c r="C1764" s="2" t="s">
        <v>594</v>
      </c>
      <c r="D1764" s="2" t="str">
        <f t="shared" si="26"/>
        <v>Error?</v>
      </c>
    </row>
    <row r="1765" spans="1:5" x14ac:dyDescent="0.2">
      <c r="A1765" s="5">
        <v>1704</v>
      </c>
      <c r="B1765" s="138">
        <f>'Tax Sched 23'!D10</f>
        <v>69082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159173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551543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6824714</v>
      </c>
      <c r="C1775" s="2" t="s">
        <v>594</v>
      </c>
      <c r="D1775" s="2" t="str">
        <f t="shared" si="26"/>
        <v>Error?</v>
      </c>
    </row>
    <row r="1776" spans="1:5" x14ac:dyDescent="0.2">
      <c r="A1776" s="5">
        <v>1715</v>
      </c>
      <c r="B1776" s="138">
        <f>'Tax Sched 23'!C4</f>
        <v>5651766</v>
      </c>
      <c r="D1776" s="2" t="str">
        <f t="shared" si="26"/>
        <v>Error?</v>
      </c>
    </row>
    <row r="1777" spans="1:4" x14ac:dyDescent="0.2">
      <c r="A1777" s="5">
        <v>1716</v>
      </c>
      <c r="B1777" s="138">
        <f>'Tax Sched 23'!C5</f>
        <v>881954</v>
      </c>
      <c r="D1777" s="2" t="str">
        <f t="shared" si="26"/>
        <v>Error?</v>
      </c>
    </row>
    <row r="1778" spans="1:4" x14ac:dyDescent="0.2">
      <c r="A1778" s="5">
        <v>1717</v>
      </c>
      <c r="B1778" s="138">
        <f>'Tax Sched 23'!C6</f>
        <v>0</v>
      </c>
      <c r="D1778" s="2" t="str">
        <f t="shared" si="26"/>
        <v>Error?</v>
      </c>
    </row>
    <row r="1779" spans="1:4" x14ac:dyDescent="0.2">
      <c r="A1779" s="5">
        <v>1718</v>
      </c>
      <c r="B1779" s="138">
        <f>'Tax Sched 23'!C7</f>
        <v>161272</v>
      </c>
      <c r="D1779" s="2" t="str">
        <f t="shared" si="26"/>
        <v>Error?</v>
      </c>
    </row>
    <row r="1780" spans="1:4" x14ac:dyDescent="0.2">
      <c r="A1780" s="5">
        <v>1719</v>
      </c>
      <c r="B1780" s="138">
        <f>'Tax Sched 23'!C8</f>
        <v>241465</v>
      </c>
      <c r="D1780" s="2" t="str">
        <f t="shared" si="26"/>
        <v>Error?</v>
      </c>
    </row>
    <row r="1781" spans="1:4" x14ac:dyDescent="0.2">
      <c r="A1781" s="5">
        <v>1720</v>
      </c>
      <c r="B1781" s="138">
        <f>'Tax Sched 23'!C10</f>
        <v>80177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80635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641421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7980155</v>
      </c>
      <c r="C1791" s="2" t="s">
        <v>594</v>
      </c>
      <c r="D1791" s="2" t="str">
        <f t="shared" ref="D1791:D1854" si="27">IF(ISBLANK(B1791),"OK",IF(A1791-B1791=0,"OK","Error?"))</f>
        <v>Error?</v>
      </c>
    </row>
    <row r="1792" spans="1:4" x14ac:dyDescent="0.2">
      <c r="A1792" s="5">
        <v>1731</v>
      </c>
      <c r="B1792" s="138">
        <f>'Tax Sched 23'!F4</f>
        <v>5324078</v>
      </c>
      <c r="C1792" s="2" t="s">
        <v>594</v>
      </c>
      <c r="D1792" s="2" t="str">
        <f t="shared" si="27"/>
        <v>Error?</v>
      </c>
    </row>
    <row r="1793" spans="1:4" x14ac:dyDescent="0.2">
      <c r="A1793" s="5">
        <v>1732</v>
      </c>
      <c r="B1793" s="138">
        <f>'Tax Sched 23'!F5</f>
        <v>830819</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151921</v>
      </c>
      <c r="C1795" s="2" t="s">
        <v>594</v>
      </c>
      <c r="D1795" s="2" t="str">
        <f t="shared" si="27"/>
        <v>Error?</v>
      </c>
    </row>
    <row r="1796" spans="1:4" x14ac:dyDescent="0.2">
      <c r="A1796" s="5">
        <v>1735</v>
      </c>
      <c r="B1796" s="138">
        <f>'Tax Sched 23'!F8</f>
        <v>227465</v>
      </c>
      <c r="C1796" s="2" t="s">
        <v>594</v>
      </c>
      <c r="D1796" s="2" t="str">
        <f t="shared" si="27"/>
        <v>Error?</v>
      </c>
    </row>
    <row r="1797" spans="1:4" x14ac:dyDescent="0.2">
      <c r="A1797" s="5">
        <v>1736</v>
      </c>
      <c r="B1797" s="138">
        <f>'Tax Sched 23'!F10</f>
        <v>75530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75961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604232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7517471</v>
      </c>
      <c r="C1807" s="2" t="s">
        <v>594</v>
      </c>
      <c r="D1807" s="2" t="str">
        <f t="shared" si="27"/>
        <v>Error?</v>
      </c>
    </row>
    <row r="1808" spans="1:4" x14ac:dyDescent="0.2">
      <c r="A1808" s="5">
        <v>1747</v>
      </c>
      <c r="B1808" s="138">
        <f>'Tax Sched 23'!E4</f>
        <v>10975844</v>
      </c>
      <c r="D1808" s="2" t="str">
        <f t="shared" si="27"/>
        <v>Error?</v>
      </c>
    </row>
    <row r="1809" spans="1:4" x14ac:dyDescent="0.2">
      <c r="A1809" s="5">
        <v>1748</v>
      </c>
      <c r="B1809" s="138">
        <f>'Tax Sched 23'!E5</f>
        <v>1712773</v>
      </c>
      <c r="D1809" s="2" t="str">
        <f t="shared" si="27"/>
        <v>Error?</v>
      </c>
    </row>
    <row r="1810" spans="1:4" x14ac:dyDescent="0.2">
      <c r="A1810" s="5">
        <v>1749</v>
      </c>
      <c r="B1810" s="138">
        <f>'Tax Sched 23'!E6</f>
        <v>0</v>
      </c>
      <c r="D1810" s="2" t="str">
        <f t="shared" si="27"/>
        <v>Error?</v>
      </c>
    </row>
    <row r="1811" spans="1:4" x14ac:dyDescent="0.2">
      <c r="A1811" s="5">
        <v>1750</v>
      </c>
      <c r="B1811" s="138">
        <f>'Tax Sched 23'!E7</f>
        <v>313193</v>
      </c>
      <c r="D1811" s="2" t="str">
        <f t="shared" si="27"/>
        <v>Error?</v>
      </c>
    </row>
    <row r="1812" spans="1:4" x14ac:dyDescent="0.2">
      <c r="A1812" s="5">
        <v>1751</v>
      </c>
      <c r="B1812" s="138">
        <f>'Tax Sched 23'!E8</f>
        <v>468930</v>
      </c>
      <c r="D1812" s="2" t="str">
        <f t="shared" si="27"/>
        <v>Error?</v>
      </c>
    </row>
    <row r="1813" spans="1:4" x14ac:dyDescent="0.2">
      <c r="A1813" s="5">
        <v>1752</v>
      </c>
      <c r="B1813" s="138">
        <f>'Tax Sched 23'!E10</f>
        <v>155707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156596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1245653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15497626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1181315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1181315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1181315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20479315</v>
      </c>
      <c r="D2009" s="2" t="str">
        <f t="shared" si="30"/>
        <v>Error?</v>
      </c>
    </row>
    <row r="2010" spans="1:4" x14ac:dyDescent="0.2">
      <c r="A2010" s="5">
        <v>1949</v>
      </c>
      <c r="B2010" s="138">
        <f>'Cap Outlay Deprec 26'!C10</f>
        <v>714508</v>
      </c>
      <c r="D2010" s="2" t="str">
        <f t="shared" si="30"/>
        <v>Error?</v>
      </c>
    </row>
    <row r="2011" spans="1:4" x14ac:dyDescent="0.2">
      <c r="A2011" s="5">
        <v>1950</v>
      </c>
      <c r="B2011" s="138">
        <f>'Cap Outlay Deprec 26'!C12</f>
        <v>2793465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24283538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23764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27694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20483245</v>
      </c>
      <c r="C2027" s="2" t="s">
        <v>594</v>
      </c>
      <c r="D2027" s="2" t="str">
        <f t="shared" si="30"/>
        <v>Error?</v>
      </c>
    </row>
    <row r="2028" spans="1:4" x14ac:dyDescent="0.2">
      <c r="A2028" s="5">
        <v>1967</v>
      </c>
      <c r="B2028" s="138">
        <f>'Cap Outlay Deprec 26'!F10</f>
        <v>714508</v>
      </c>
      <c r="C2028" s="2" t="s">
        <v>594</v>
      </c>
      <c r="D2028" s="2" t="str">
        <f t="shared" si="30"/>
        <v>Error?</v>
      </c>
    </row>
    <row r="2029" spans="1:4" x14ac:dyDescent="0.2">
      <c r="A2029" s="5">
        <v>1968</v>
      </c>
      <c r="B2029" s="138">
        <f>'Cap Outlay Deprec 26'!F12</f>
        <v>2817229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24311232</v>
      </c>
      <c r="C2031" s="2" t="s">
        <v>594</v>
      </c>
      <c r="D2031" s="2" t="str">
        <f t="shared" si="30"/>
        <v>Error?</v>
      </c>
    </row>
    <row r="2032" spans="1:4" x14ac:dyDescent="0.2">
      <c r="A2032" s="10">
        <v>1971</v>
      </c>
      <c r="D2032" s="2" t="str">
        <f t="shared" si="30"/>
        <v>OK</v>
      </c>
    </row>
    <row r="2033" spans="1:4" x14ac:dyDescent="0.2">
      <c r="A2033" s="5">
        <v>1972</v>
      </c>
      <c r="B2033" s="138">
        <f>'Cap Outlay Deprec 26'!H8</f>
        <v>11387405</v>
      </c>
      <c r="D2033" s="2" t="str">
        <f t="shared" si="30"/>
        <v>Error?</v>
      </c>
    </row>
    <row r="2034" spans="1:4" x14ac:dyDescent="0.2">
      <c r="A2034" s="5">
        <v>1973</v>
      </c>
      <c r="B2034" s="138">
        <f>'Cap Outlay Deprec 26'!H10</f>
        <v>203375</v>
      </c>
      <c r="D2034" s="2" t="str">
        <f t="shared" si="30"/>
        <v>Error?</v>
      </c>
    </row>
    <row r="2035" spans="1:4" x14ac:dyDescent="0.2">
      <c r="A2035" s="5">
        <v>1974</v>
      </c>
      <c r="B2035" s="138">
        <f>'Cap Outlay Deprec 26'!H12</f>
        <v>1909109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13499889</v>
      </c>
      <c r="C2037" s="2" t="s">
        <v>594</v>
      </c>
      <c r="D2037" s="2" t="str">
        <f t="shared" si="30"/>
        <v>Error?</v>
      </c>
    </row>
    <row r="2038" spans="1:4" x14ac:dyDescent="0.2">
      <c r="A2038" s="10">
        <v>1977</v>
      </c>
      <c r="D2038" s="2" t="str">
        <f t="shared" si="30"/>
        <v>OK</v>
      </c>
    </row>
    <row r="2039" spans="1:4" x14ac:dyDescent="0.2">
      <c r="A2039" s="5">
        <v>1978</v>
      </c>
      <c r="B2039" s="138">
        <f>'Cap Outlay Deprec 26'!I8</f>
        <v>545925</v>
      </c>
      <c r="D2039" s="2" t="str">
        <f t="shared" si="30"/>
        <v>Error?</v>
      </c>
    </row>
    <row r="2040" spans="1:4" x14ac:dyDescent="0.2">
      <c r="A2040" s="5">
        <v>1979</v>
      </c>
      <c r="B2040" s="138">
        <f>'Cap Outlay Deprec 26'!I10</f>
        <v>30559</v>
      </c>
      <c r="D2040" s="2" t="str">
        <f t="shared" si="30"/>
        <v>Error?</v>
      </c>
    </row>
    <row r="2041" spans="1:4" x14ac:dyDescent="0.2">
      <c r="A2041" s="5">
        <v>1980</v>
      </c>
      <c r="B2041" s="138">
        <f>'Cap Outlay Deprec 26'!I12</f>
        <v>192889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769373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11933330</v>
      </c>
      <c r="C2051" s="2" t="s">
        <v>594</v>
      </c>
      <c r="D2051" s="2" t="str">
        <f t="shared" si="31"/>
        <v>Error?</v>
      </c>
    </row>
    <row r="2052" spans="1:4" x14ac:dyDescent="0.2">
      <c r="A2052" s="5">
        <v>1991</v>
      </c>
      <c r="B2052" s="138">
        <f>'Cap Outlay Deprec 26'!K10</f>
        <v>233934</v>
      </c>
      <c r="C2052" s="2" t="s">
        <v>594</v>
      </c>
      <c r="D2052" s="2" t="str">
        <f t="shared" si="31"/>
        <v>Error?</v>
      </c>
    </row>
    <row r="2053" spans="1:4" x14ac:dyDescent="0.2">
      <c r="A2053" s="5">
        <v>1992</v>
      </c>
      <c r="B2053" s="138">
        <f>'Cap Outlay Deprec 26'!K12</f>
        <v>2101998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14269262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8549915</v>
      </c>
      <c r="C2057" s="2" t="s">
        <v>594</v>
      </c>
      <c r="D2057" s="2" t="str">
        <f t="shared" si="31"/>
        <v>Error?</v>
      </c>
    </row>
    <row r="2058" spans="1:4" x14ac:dyDescent="0.2">
      <c r="A2058" s="5">
        <v>1997</v>
      </c>
      <c r="B2058" s="138">
        <f>'Cap Outlay Deprec 26'!L10</f>
        <v>480574</v>
      </c>
      <c r="C2058" s="2" t="s">
        <v>594</v>
      </c>
      <c r="D2058" s="2" t="str">
        <f t="shared" si="31"/>
        <v>Error?</v>
      </c>
    </row>
    <row r="2059" spans="1:4" x14ac:dyDescent="0.2">
      <c r="A2059" s="5">
        <v>1998</v>
      </c>
      <c r="B2059" s="138">
        <f>'Cap Outlay Deprec 26'!L12</f>
        <v>715231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10041970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746414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746414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93963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12092962</v>
      </c>
      <c r="C2551" s="2" t="s">
        <v>594</v>
      </c>
      <c r="D2551" s="2" t="str">
        <f t="shared" si="38"/>
        <v>Error?</v>
      </c>
    </row>
    <row r="2552" spans="1:4" x14ac:dyDescent="0.2">
      <c r="A2552" s="10">
        <v>2491</v>
      </c>
      <c r="D2552" s="2" t="str">
        <f t="shared" si="38"/>
        <v>OK</v>
      </c>
    </row>
    <row r="2553" spans="1:4" x14ac:dyDescent="0.2">
      <c r="A2553" s="5">
        <v>2492</v>
      </c>
      <c r="B2553" s="138">
        <f>'Acct Summary 7-8'!C6</f>
        <v>1921143</v>
      </c>
      <c r="C2553" s="2" t="s">
        <v>594</v>
      </c>
      <c r="D2553" s="2" t="str">
        <f t="shared" si="38"/>
        <v>Error?</v>
      </c>
    </row>
    <row r="2554" spans="1:4" x14ac:dyDescent="0.2">
      <c r="A2554" s="5">
        <v>2493</v>
      </c>
      <c r="B2554" s="138">
        <f>'Acct Summary 7-8'!C7</f>
        <v>931957</v>
      </c>
      <c r="C2554" s="2" t="s">
        <v>594</v>
      </c>
      <c r="D2554" s="2" t="str">
        <f t="shared" si="38"/>
        <v>Error?</v>
      </c>
    </row>
    <row r="2555" spans="1:4" x14ac:dyDescent="0.2">
      <c r="A2555" s="5">
        <v>2494</v>
      </c>
      <c r="B2555" s="138">
        <f>'Acct Summary 7-8'!C8</f>
        <v>14946062</v>
      </c>
      <c r="C2555" s="2" t="s">
        <v>594</v>
      </c>
      <c r="D2555" s="2" t="str">
        <f t="shared" si="38"/>
        <v>Error?</v>
      </c>
    </row>
    <row r="2556" spans="1:4" x14ac:dyDescent="0.2">
      <c r="A2556" s="5">
        <v>2495</v>
      </c>
      <c r="B2556" s="138">
        <f>'Acct Summary 7-8'!C12</f>
        <v>10101935</v>
      </c>
      <c r="C2556" s="2" t="s">
        <v>594</v>
      </c>
      <c r="D2556" s="2" t="str">
        <f t="shared" si="38"/>
        <v>Error?</v>
      </c>
    </row>
    <row r="2557" spans="1:4" x14ac:dyDescent="0.2">
      <c r="A2557" s="5">
        <v>2496</v>
      </c>
      <c r="B2557" s="138">
        <f>'Acct Summary 7-8'!C13</f>
        <v>4063692</v>
      </c>
      <c r="C2557" s="2" t="s">
        <v>594</v>
      </c>
      <c r="D2557" s="2" t="str">
        <f t="shared" si="38"/>
        <v>Error?</v>
      </c>
    </row>
    <row r="2558" spans="1:4" x14ac:dyDescent="0.2">
      <c r="A2558" s="5">
        <v>2497</v>
      </c>
      <c r="B2558" s="138">
        <f>'Acct Summary 7-8'!C14</f>
        <v>43318</v>
      </c>
      <c r="C2558" s="2" t="s">
        <v>594</v>
      </c>
      <c r="D2558" s="2" t="str">
        <f t="shared" si="38"/>
        <v>Error?</v>
      </c>
    </row>
    <row r="2559" spans="1:4" x14ac:dyDescent="0.2">
      <c r="A2559" s="5">
        <v>2498</v>
      </c>
      <c r="B2559" s="138">
        <f>'Acct Summary 7-8'!C15</f>
        <v>746414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14955359</v>
      </c>
      <c r="C2561" s="2" t="s">
        <v>594</v>
      </c>
      <c r="D2561" s="2" t="str">
        <f t="shared" si="39"/>
        <v>Error?</v>
      </c>
    </row>
    <row r="2562" spans="1:4" x14ac:dyDescent="0.2">
      <c r="A2562" s="5">
        <v>2501</v>
      </c>
      <c r="B2562" s="138">
        <f>'Acct Summary 7-8'!C20</f>
        <v>-9297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1824384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1824384</v>
      </c>
      <c r="C2568" s="2" t="s">
        <v>594</v>
      </c>
      <c r="D2568" s="2" t="str">
        <f t="shared" si="39"/>
        <v>Error?</v>
      </c>
    </row>
    <row r="2569" spans="1:4" x14ac:dyDescent="0.2">
      <c r="A2569" s="5">
        <v>2508</v>
      </c>
      <c r="B2569" s="138">
        <f>'Acct Summary 7-8'!D13</f>
        <v>1803258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1803258</v>
      </c>
      <c r="C2573" s="2" t="s">
        <v>594</v>
      </c>
      <c r="D2573" s="2" t="str">
        <f t="shared" si="39"/>
        <v>Error?</v>
      </c>
    </row>
    <row r="2574" spans="1:4" x14ac:dyDescent="0.2">
      <c r="A2574" s="5">
        <v>2513</v>
      </c>
      <c r="B2574" s="138">
        <f>'Acct Summary 7-8'!D20</f>
        <v>21126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510510</v>
      </c>
      <c r="C2591" s="2" t="s">
        <v>594</v>
      </c>
      <c r="D2591" s="2" t="str">
        <f t="shared" si="39"/>
        <v>Error?</v>
      </c>
    </row>
    <row r="2592" spans="1:4" x14ac:dyDescent="0.2">
      <c r="A2592" s="10">
        <v>2531</v>
      </c>
      <c r="D2592" s="2" t="str">
        <f t="shared" si="39"/>
        <v>OK</v>
      </c>
    </row>
    <row r="2593" spans="1:4" x14ac:dyDescent="0.2">
      <c r="A2593" s="5">
        <v>2532</v>
      </c>
      <c r="B2593" s="138">
        <f>'Acct Summary 7-8'!F6</f>
        <v>290362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800872</v>
      </c>
      <c r="C2595" s="2" t="s">
        <v>594</v>
      </c>
      <c r="D2595" s="2" t="str">
        <f t="shared" si="39"/>
        <v>Error?</v>
      </c>
    </row>
    <row r="2596" spans="1:4" x14ac:dyDescent="0.2">
      <c r="A2596" s="5">
        <v>2535</v>
      </c>
      <c r="B2596" s="138">
        <f>'Acct Summary 7-8'!F13</f>
        <v>331837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331837</v>
      </c>
      <c r="C2600" s="2" t="s">
        <v>594</v>
      </c>
      <c r="D2600" s="2" t="str">
        <f t="shared" si="39"/>
        <v>Error?</v>
      </c>
    </row>
    <row r="2601" spans="1:4" x14ac:dyDescent="0.2">
      <c r="A2601" s="5">
        <v>2540</v>
      </c>
      <c r="B2601" s="138">
        <f>'Acct Summary 7-8'!F20</f>
        <v>469035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791415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791415</v>
      </c>
      <c r="C2606" s="2" t="s">
        <v>594</v>
      </c>
      <c r="D2606" s="2" t="str">
        <f t="shared" si="39"/>
        <v>Error?</v>
      </c>
    </row>
    <row r="2607" spans="1:4" x14ac:dyDescent="0.2">
      <c r="A2607" s="5">
        <v>2546</v>
      </c>
      <c r="B2607" s="138">
        <f>'Acct Summary 7-8'!G12</f>
        <v>292112</v>
      </c>
      <c r="C2607" s="2" t="s">
        <v>594</v>
      </c>
      <c r="D2607" s="2" t="str">
        <f t="shared" si="39"/>
        <v>Error?</v>
      </c>
    </row>
    <row r="2608" spans="1:4" x14ac:dyDescent="0.2">
      <c r="A2608" s="5">
        <v>2547</v>
      </c>
      <c r="B2608" s="138">
        <f>'Acct Summary 7-8'!G13</f>
        <v>417940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710052</v>
      </c>
      <c r="C2612" s="2" t="s">
        <v>594</v>
      </c>
      <c r="D2612" s="2" t="str">
        <f t="shared" si="39"/>
        <v>Error?</v>
      </c>
    </row>
    <row r="2613" spans="1:4" x14ac:dyDescent="0.2">
      <c r="A2613" s="5">
        <v>2552</v>
      </c>
      <c r="B2613" s="138">
        <f>'Acct Summary 7-8'!G20</f>
        <v>81363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869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869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869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19</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642057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2802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642057</v>
      </c>
      <c r="D2912" s="2" t="str">
        <f t="shared" si="44"/>
        <v>Error?</v>
      </c>
    </row>
    <row r="2913" spans="1:4" x14ac:dyDescent="0.2">
      <c r="A2913" s="5">
        <v>2852</v>
      </c>
      <c r="B2913" s="138">
        <f>'Assets-Liab 5-6'!I41</f>
        <v>642057</v>
      </c>
      <c r="C2913" s="2" t="s">
        <v>594</v>
      </c>
      <c r="D2913" s="2" t="str">
        <f t="shared" si="44"/>
        <v>Error?</v>
      </c>
    </row>
    <row r="2914" spans="1:4" x14ac:dyDescent="0.2">
      <c r="A2914" s="5">
        <v>2853</v>
      </c>
      <c r="B2914" s="138">
        <f>'Assets-Liab 5-6'!L33</f>
        <v>2802</v>
      </c>
      <c r="D2914" s="2" t="str">
        <f t="shared" si="44"/>
        <v>Error?</v>
      </c>
    </row>
    <row r="2915" spans="1:4" x14ac:dyDescent="0.2">
      <c r="A2915" s="10">
        <v>2854</v>
      </c>
      <c r="D2915" s="2" t="str">
        <f t="shared" si="44"/>
        <v>OK</v>
      </c>
    </row>
    <row r="2916" spans="1:4" x14ac:dyDescent="0.2">
      <c r="A2916" s="5">
        <v>2855</v>
      </c>
      <c r="B2916" s="138">
        <f>'Assets-Liab 5-6'!L34</f>
        <v>2802</v>
      </c>
      <c r="C2916" s="2" t="s">
        <v>594</v>
      </c>
      <c r="D2916" s="2" t="str">
        <f t="shared" si="44"/>
        <v>Error?</v>
      </c>
    </row>
    <row r="2917" spans="1:4" x14ac:dyDescent="0.2">
      <c r="A2917" s="5">
        <v>2856</v>
      </c>
      <c r="B2917" s="138">
        <f>'Assets-Liab 5-6'!L41</f>
        <v>2802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746414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746414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505473</v>
      </c>
      <c r="D3055" s="2" t="str">
        <f t="shared" si="46"/>
        <v>Error?</v>
      </c>
    </row>
    <row r="3056" spans="1:4" x14ac:dyDescent="0.2">
      <c r="A3056" s="5">
        <v>2995</v>
      </c>
      <c r="B3056" s="138">
        <f>'Expenditures 15-22'!D10</f>
        <v>181045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688191</v>
      </c>
      <c r="C3062" s="2" t="s">
        <v>594</v>
      </c>
      <c r="D3062" s="2" t="str">
        <f t="shared" si="46"/>
        <v>Error?</v>
      </c>
    </row>
    <row r="3063" spans="1:4" x14ac:dyDescent="0.2">
      <c r="A3063" s="10">
        <v>3002</v>
      </c>
      <c r="D3063" s="2" t="str">
        <f t="shared" si="46"/>
        <v>OK</v>
      </c>
    </row>
    <row r="3064" spans="1:4" x14ac:dyDescent="0.2">
      <c r="A3064" s="5">
        <v>3003</v>
      </c>
      <c r="B3064" s="138">
        <f>'Expenditures 15-22'!D219</f>
        <v>5782</v>
      </c>
      <c r="D3064" s="2" t="str">
        <f t="shared" si="46"/>
        <v>Error?</v>
      </c>
    </row>
    <row r="3065" spans="1:4" x14ac:dyDescent="0.2">
      <c r="A3065" s="5">
        <v>3004</v>
      </c>
      <c r="B3065" s="138">
        <f>'Expenditures 15-22'!K219</f>
        <v>5782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154247</v>
      </c>
      <c r="C3225" s="2" t="s">
        <v>594</v>
      </c>
      <c r="D3225" s="2" t="str">
        <f t="shared" si="49"/>
        <v>Error?</v>
      </c>
    </row>
    <row r="3226" spans="1:4" x14ac:dyDescent="0.2">
      <c r="A3226" s="5">
        <v>3165</v>
      </c>
      <c r="B3226" s="138">
        <f>'Acct Summary 7-8'!I8</f>
        <v>154247</v>
      </c>
      <c r="C3226" s="2" t="s">
        <v>594</v>
      </c>
      <c r="D3226" s="2" t="str">
        <f t="shared" si="49"/>
        <v>Error?</v>
      </c>
    </row>
    <row r="3227" spans="1:4" x14ac:dyDescent="0.2">
      <c r="A3227" s="5">
        <v>3166</v>
      </c>
      <c r="B3227" s="138">
        <f>'Acct Summary 7-8'!I20</f>
        <v>154247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-9297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21126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469035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81363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869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154247</v>
      </c>
      <c r="C3320" s="2" t="s">
        <v>594</v>
      </c>
      <c r="D3320" s="2" t="str">
        <f t="shared" si="50"/>
        <v>Error?</v>
      </c>
    </row>
    <row r="3321" spans="1:4" x14ac:dyDescent="0.2">
      <c r="A3321" s="5">
        <v>3260</v>
      </c>
      <c r="B3321" s="138">
        <f>'Acct Summary 7-8'!I79</f>
        <v>487810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642057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1575115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181095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240076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21501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215387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2233174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146276</v>
      </c>
      <c r="D3387" s="2" t="str">
        <f t="shared" si="51"/>
        <v>Error?</v>
      </c>
    </row>
    <row r="3388" spans="1:4" x14ac:dyDescent="0.2">
      <c r="A3388" s="5">
        <v>3327</v>
      </c>
      <c r="B3388" s="138">
        <f>'Expenditures 15-22'!D217</f>
        <v>92938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146276</v>
      </c>
      <c r="C3390" s="2" t="s">
        <v>594</v>
      </c>
      <c r="D3390" s="2" t="str">
        <f t="shared" si="51"/>
        <v>Error?</v>
      </c>
    </row>
    <row r="3391" spans="1:4" x14ac:dyDescent="0.2">
      <c r="A3391" s="5">
        <v>3330</v>
      </c>
      <c r="B3391" s="138">
        <f>'Expenditures 15-22'!K217</f>
        <v>92938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16025333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2136268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93963</v>
      </c>
      <c r="D3417" s="2" t="str">
        <f t="shared" si="52"/>
        <v>Error?</v>
      </c>
    </row>
    <row r="3418" spans="1:4" x14ac:dyDescent="0.2">
      <c r="A3418" s="10">
        <v>3357</v>
      </c>
      <c r="D3418" s="2" t="str">
        <f t="shared" si="52"/>
        <v>OK</v>
      </c>
    </row>
    <row r="3419" spans="1:4" x14ac:dyDescent="0.2">
      <c r="A3419" s="5">
        <v>3358</v>
      </c>
      <c r="B3419" s="138">
        <f>'Assets-Liab 5-6'!F4</f>
        <v>1390044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1052291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2034</v>
      </c>
      <c r="D3425" s="2" t="str">
        <f t="shared" si="52"/>
        <v>Error?</v>
      </c>
    </row>
    <row r="3426" spans="1:4" x14ac:dyDescent="0.2">
      <c r="A3426" s="10">
        <v>3365</v>
      </c>
      <c r="D3426" s="2" t="str">
        <f t="shared" si="52"/>
        <v>OK</v>
      </c>
    </row>
    <row r="3427" spans="1:4" x14ac:dyDescent="0.2">
      <c r="A3427" s="5">
        <v>3366</v>
      </c>
      <c r="B3427" s="138">
        <f>'Assets-Liab 5-6'!I4</f>
        <v>642057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381053</v>
      </c>
      <c r="C3446" s="2" t="s">
        <v>594</v>
      </c>
      <c r="D3446" s="2" t="str">
        <f t="shared" si="52"/>
        <v>Error?</v>
      </c>
    </row>
    <row r="3447" spans="1:4" x14ac:dyDescent="0.2">
      <c r="A3447" s="5">
        <v>3386</v>
      </c>
      <c r="B3447" s="138">
        <f>'Tax Sched 23'!D16</f>
        <v>139588</v>
      </c>
      <c r="C3447" s="2" t="s">
        <v>594</v>
      </c>
      <c r="D3447" s="2" t="str">
        <f t="shared" si="52"/>
        <v>Error?</v>
      </c>
    </row>
    <row r="3448" spans="1:4" x14ac:dyDescent="0.2">
      <c r="A3448" s="5">
        <v>3387</v>
      </c>
      <c r="B3448" s="138">
        <f>'Tax Sched 23'!C16</f>
        <v>241465</v>
      </c>
      <c r="D3448" s="2" t="str">
        <f t="shared" si="52"/>
        <v>Error?</v>
      </c>
    </row>
    <row r="3449" spans="1:4" x14ac:dyDescent="0.2">
      <c r="A3449" s="5">
        <v>3388</v>
      </c>
      <c r="B3449" s="138">
        <f>'Tax Sched 23'!F16</f>
        <v>227465</v>
      </c>
      <c r="C3449" s="2" t="s">
        <v>594</v>
      </c>
      <c r="D3449" s="2" t="str">
        <f t="shared" si="52"/>
        <v>Error?</v>
      </c>
    </row>
    <row r="3450" spans="1:4" x14ac:dyDescent="0.2">
      <c r="A3450" s="5">
        <v>3389</v>
      </c>
      <c r="B3450" s="138">
        <f>'Tax Sched 23'!E16</f>
        <v>468930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788678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788678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788678</v>
      </c>
      <c r="D3567" s="2" t="str">
        <f t="shared" si="54"/>
        <v>Error?</v>
      </c>
    </row>
    <row r="3568" spans="1:4" x14ac:dyDescent="0.2">
      <c r="A3568" s="5">
        <v>3507</v>
      </c>
      <c r="B3568" s="138">
        <f>'Assets-Liab 5-6'!K41</f>
        <v>788678</v>
      </c>
      <c r="C3568" s="2" t="s">
        <v>594</v>
      </c>
      <c r="D3568" s="2" t="str">
        <f t="shared" si="54"/>
        <v>Error?</v>
      </c>
    </row>
    <row r="3569" spans="1:4" x14ac:dyDescent="0.2">
      <c r="A3569" s="5">
        <v>3508</v>
      </c>
      <c r="B3569" s="138">
        <f>'Acct Summary 7-8'!K4</f>
        <v>7298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7298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7298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7298</v>
      </c>
      <c r="C3588" s="2" t="s">
        <v>594</v>
      </c>
      <c r="D3588" s="2" t="str">
        <f t="shared" si="55"/>
        <v>Error?</v>
      </c>
    </row>
    <row r="3589" spans="1:4" x14ac:dyDescent="0.2">
      <c r="A3589" s="5">
        <v>3528</v>
      </c>
      <c r="B3589" s="138">
        <f>'Acct Summary 7-8'!K79</f>
        <v>781380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788678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111405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5465976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20412038</v>
      </c>
      <c r="C4122" s="2" t="s">
        <v>594</v>
      </c>
      <c r="D4122" s="2" t="str">
        <f t="shared" si="63"/>
        <v>Error?</v>
      </c>
    </row>
    <row r="4123" spans="1:4" x14ac:dyDescent="0.2">
      <c r="A4123" s="5">
        <v>4062</v>
      </c>
      <c r="B4123" s="138">
        <f>'Acct Summary 7-8'!D10</f>
        <v>1824384</v>
      </c>
      <c r="C4123" s="2" t="s">
        <v>594</v>
      </c>
      <c r="D4123" s="2" t="str">
        <f t="shared" si="63"/>
        <v>Error?</v>
      </c>
    </row>
    <row r="4124" spans="1:4" x14ac:dyDescent="0.2">
      <c r="A4124" s="5">
        <v>4063</v>
      </c>
      <c r="B4124" s="138">
        <f>'Acct Summary 7-8'!E10</f>
        <v>869</v>
      </c>
      <c r="C4124" s="2" t="s">
        <v>594</v>
      </c>
      <c r="D4124" s="2" t="str">
        <f t="shared" si="63"/>
        <v>Error?</v>
      </c>
    </row>
    <row r="4125" spans="1:4" x14ac:dyDescent="0.2">
      <c r="A4125" s="5">
        <v>4064</v>
      </c>
      <c r="B4125" s="138">
        <f>'Acct Summary 7-8'!F10</f>
        <v>800872</v>
      </c>
      <c r="C4125" s="2" t="s">
        <v>594</v>
      </c>
      <c r="D4125" s="2" t="str">
        <f t="shared" si="63"/>
        <v>Error?</v>
      </c>
    </row>
    <row r="4126" spans="1:4" x14ac:dyDescent="0.2">
      <c r="A4126" s="5">
        <v>4065</v>
      </c>
      <c r="B4126" s="138">
        <f>'Acct Summary 7-8'!G10</f>
        <v>791415</v>
      </c>
      <c r="C4126" s="2" t="s">
        <v>594</v>
      </c>
      <c r="D4126" s="2" t="str">
        <f t="shared" si="63"/>
        <v>Error?</v>
      </c>
    </row>
    <row r="4127" spans="1:4" x14ac:dyDescent="0.2">
      <c r="A4127" s="5">
        <v>4066</v>
      </c>
      <c r="B4127" s="138">
        <f>'Acct Summary 7-8'!H10</f>
        <v>19</v>
      </c>
      <c r="C4127" s="2" t="s">
        <v>594</v>
      </c>
      <c r="D4127" s="2" t="str">
        <f t="shared" si="63"/>
        <v>Error?</v>
      </c>
    </row>
    <row r="4128" spans="1:4" x14ac:dyDescent="0.2">
      <c r="A4128" s="5">
        <v>4067</v>
      </c>
      <c r="B4128" s="138">
        <f>'Acct Summary 7-8'!I10</f>
        <v>154247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7298</v>
      </c>
      <c r="C4130" s="2" t="s">
        <v>594</v>
      </c>
      <c r="D4130" s="2" t="str">
        <f t="shared" si="63"/>
        <v>Error?</v>
      </c>
    </row>
    <row r="4131" spans="1:4" x14ac:dyDescent="0.2">
      <c r="A4131" s="5">
        <v>4070</v>
      </c>
      <c r="B4131" s="138">
        <f>'Acct Summary 7-8'!C18</f>
        <v>5465976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20421335</v>
      </c>
      <c r="C4136" s="2" t="s">
        <v>594</v>
      </c>
      <c r="D4136" s="2" t="str">
        <f t="shared" si="63"/>
        <v>Error?</v>
      </c>
    </row>
    <row r="4137" spans="1:4" x14ac:dyDescent="0.2">
      <c r="A4137" s="5">
        <v>4076</v>
      </c>
      <c r="B4137" s="138">
        <f>'Acct Summary 7-8'!D19</f>
        <v>1803258</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331837</v>
      </c>
      <c r="C4139" s="2" t="s">
        <v>594</v>
      </c>
      <c r="D4139" s="2" t="str">
        <f t="shared" si="63"/>
        <v>Error?</v>
      </c>
    </row>
    <row r="4140" spans="1:4" x14ac:dyDescent="0.2">
      <c r="A4140" s="5">
        <v>4079</v>
      </c>
      <c r="B4140" s="138">
        <f>'Acct Summary 7-8'!G19</f>
        <v>710052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3051.2000000000003</v>
      </c>
      <c r="C4265" s="2" t="s">
        <v>594</v>
      </c>
      <c r="D4265" s="2" t="str">
        <f t="shared" si="65"/>
        <v>Error?</v>
      </c>
      <c r="E4265" s="128"/>
    </row>
    <row r="4266" spans="1:5" x14ac:dyDescent="0.2">
      <c r="A4266" s="12">
        <v>4205</v>
      </c>
      <c r="B4266" s="138">
        <f>('FP Info 3'!F10)*100000</f>
        <v>476.09999999999997</v>
      </c>
      <c r="C4266" s="2" t="s">
        <v>594</v>
      </c>
      <c r="D4266" s="2" t="str">
        <f t="shared" si="65"/>
        <v>Error?</v>
      </c>
      <c r="E4266" s="128"/>
    </row>
    <row r="4267" spans="1:5" x14ac:dyDescent="0.2">
      <c r="A4267" s="12">
        <v>4206</v>
      </c>
      <c r="B4267" s="138">
        <f>('FP Info 3'!H10)*100000</f>
        <v>87.100000000000009</v>
      </c>
      <c r="C4267" s="2" t="s">
        <v>594</v>
      </c>
      <c r="D4267" s="2" t="str">
        <f t="shared" si="65"/>
        <v>Error?</v>
      </c>
      <c r="E4267" s="128"/>
    </row>
    <row r="4268" spans="1:5" x14ac:dyDescent="0.2">
      <c r="A4268" s="12">
        <v>4207</v>
      </c>
      <c r="B4268" s="138">
        <f>('FP Info 3'!J10)*100000</f>
        <v>3614</v>
      </c>
      <c r="C4268" s="2" t="s">
        <v>594</v>
      </c>
      <c r="D4268" s="2" t="str">
        <f t="shared" si="65"/>
        <v>Error?</v>
      </c>
    </row>
    <row r="4269" spans="1:5" x14ac:dyDescent="0.2">
      <c r="A4269" s="12">
        <v>4208</v>
      </c>
      <c r="B4269" s="138">
        <f>'FP Info 3'!J16</f>
        <v>19989489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46127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43.300000000000004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359727513</v>
      </c>
      <c r="D4995" s="2" t="str">
        <f t="shared" si="77"/>
        <v>Error?</v>
      </c>
    </row>
    <row r="4996" spans="1:4" x14ac:dyDescent="0.2">
      <c r="A4996" s="12">
        <v>4935</v>
      </c>
      <c r="B4996" s="138">
        <f>'FP Info 3'!H31</f>
        <v>24821198.397000004</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10341851</v>
      </c>
      <c r="D5061" s="2" t="str">
        <f t="shared" si="78"/>
        <v>Error?</v>
      </c>
    </row>
    <row r="5062" spans="1:4" x14ac:dyDescent="0.2">
      <c r="A5062" s="10">
        <v>5001</v>
      </c>
      <c r="D5062" s="2" t="str">
        <f t="shared" si="78"/>
        <v>OK</v>
      </c>
    </row>
    <row r="5063" spans="1:4" x14ac:dyDescent="0.2">
      <c r="A5063" s="5">
        <v>5002</v>
      </c>
      <c r="B5063" s="138">
        <f>'Revenues 9-14'!C7</f>
        <v>1192964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11534815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141133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141133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159690</v>
      </c>
      <c r="D5088" s="2" t="str">
        <f t="shared" si="78"/>
        <v>Error?</v>
      </c>
    </row>
    <row r="5089" spans="1:4" x14ac:dyDescent="0.2">
      <c r="A5089" s="5">
        <v>5028</v>
      </c>
      <c r="B5089" s="138">
        <f>'Revenues 9-14'!C66</f>
        <v>18721</v>
      </c>
      <c r="D5089" s="2" t="str">
        <f t="shared" si="78"/>
        <v>Error?</v>
      </c>
    </row>
    <row r="5090" spans="1:4" x14ac:dyDescent="0.2">
      <c r="A5090" s="5">
        <v>5029</v>
      </c>
      <c r="B5090" s="138">
        <f>'Revenues 9-14'!C67</f>
        <v>178411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41248</v>
      </c>
      <c r="C5096" s="2" t="s">
        <v>594</v>
      </c>
      <c r="D5096" s="2" t="str">
        <f t="shared" si="78"/>
        <v>Error?</v>
      </c>
    </row>
    <row r="5097" spans="1:4" x14ac:dyDescent="0.2">
      <c r="A5097" s="5">
        <v>5036</v>
      </c>
      <c r="B5097" s="138">
        <f>'Revenues 9-14'!C77</f>
        <v>2576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7030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9606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187101</v>
      </c>
      <c r="D5119" s="2" t="str">
        <f t="shared" ref="D5119:D5182" si="79">IF(ISBLANK(B5119),"OK",IF(A5119-B5119=0,"OK","Error?"))</f>
        <v>Error?</v>
      </c>
    </row>
    <row r="5120" spans="1:4" x14ac:dyDescent="0.2">
      <c r="A5120" s="5">
        <v>5059</v>
      </c>
      <c r="B5120" s="138">
        <f>'Revenues 9-14'!C108</f>
        <v>187749</v>
      </c>
      <c r="C5120" s="2" t="s">
        <v>594</v>
      </c>
      <c r="D5120" s="2" t="str">
        <f t="shared" si="79"/>
        <v>Error?</v>
      </c>
    </row>
    <row r="5121" spans="1:4" x14ac:dyDescent="0.2">
      <c r="A5121" s="5">
        <v>5060</v>
      </c>
      <c r="B5121" s="138">
        <f>'Revenues 9-14'!C109</f>
        <v>12092962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1572449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1572449</v>
      </c>
      <c r="C5132" s="2" t="s">
        <v>594</v>
      </c>
      <c r="D5132" s="2" t="str">
        <f t="shared" si="79"/>
        <v>Error?</v>
      </c>
    </row>
    <row r="5133" spans="1:4" x14ac:dyDescent="0.2">
      <c r="A5133" s="5">
        <v>5072</v>
      </c>
      <c r="B5133" s="138">
        <f>'Revenues 9-14'!C124</f>
        <v>107994</v>
      </c>
      <c r="D5133" s="2" t="str">
        <f t="shared" si="79"/>
        <v>Error?</v>
      </c>
    </row>
    <row r="5134" spans="1:4" x14ac:dyDescent="0.2">
      <c r="A5134" s="5">
        <v>5073</v>
      </c>
      <c r="B5134" s="138">
        <f>'Revenues 9-14'!C125</f>
        <v>56431</v>
      </c>
      <c r="D5134" s="2" t="str">
        <f t="shared" si="79"/>
        <v>Error?</v>
      </c>
    </row>
    <row r="5135" spans="1:4" x14ac:dyDescent="0.2">
      <c r="A5135" s="5">
        <v>5074</v>
      </c>
      <c r="B5135" s="138">
        <f>'Revenues 9-14'!C126</f>
        <v>174507</v>
      </c>
      <c r="D5135" s="2" t="str">
        <f t="shared" si="79"/>
        <v>Error?</v>
      </c>
    </row>
    <row r="5136" spans="1:4" x14ac:dyDescent="0.2">
      <c r="A5136" s="10">
        <v>5075</v>
      </c>
      <c r="D5136" s="2" t="str">
        <f t="shared" si="79"/>
        <v>OK</v>
      </c>
    </row>
    <row r="5137" spans="1:4" x14ac:dyDescent="0.2">
      <c r="A5137" s="5">
        <v>5076</v>
      </c>
      <c r="B5137" s="138">
        <f>'Revenues 9-14'!C127</f>
        <v>2823</v>
      </c>
      <c r="D5137" s="2" t="str">
        <f t="shared" si="79"/>
        <v>Error?</v>
      </c>
    </row>
    <row r="5138" spans="1:4" x14ac:dyDescent="0.2">
      <c r="A5138" s="10">
        <v>5077</v>
      </c>
      <c r="D5138" s="2" t="str">
        <f t="shared" si="79"/>
        <v>OK</v>
      </c>
    </row>
    <row r="5139" spans="1:4" x14ac:dyDescent="0.2">
      <c r="A5139" s="5">
        <v>5078</v>
      </c>
      <c r="B5139" s="138">
        <f>'Revenues 9-14'!C128</f>
        <v>770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2310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344835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769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769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3090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348694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1921143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187471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27716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215187</v>
      </c>
      <c r="C5246" s="2" t="s">
        <v>594</v>
      </c>
      <c r="D5246" s="2" t="str">
        <f t="shared" si="80"/>
        <v>Error?</v>
      </c>
    </row>
    <row r="5247" spans="1:4" x14ac:dyDescent="0.2">
      <c r="A5247" s="5">
        <v>5186</v>
      </c>
      <c r="B5247" s="138">
        <f>'Revenues 9-14'!C203</f>
        <v>275698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275698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19907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237049</v>
      </c>
      <c r="D5278" s="2" t="str">
        <f t="shared" si="81"/>
        <v>Error?</v>
      </c>
    </row>
    <row r="5279" spans="1:4" x14ac:dyDescent="0.2">
      <c r="A5279" s="5">
        <v>5218</v>
      </c>
      <c r="B5279" s="138">
        <f>'Revenues 9-14'!C221</f>
        <v>137989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394945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931957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931957</v>
      </c>
      <c r="C5326" s="2" t="s">
        <v>594</v>
      </c>
      <c r="D5326" s="2" t="str">
        <f t="shared" si="82"/>
        <v>Error?</v>
      </c>
    </row>
    <row r="5327" spans="1:4" x14ac:dyDescent="0.2">
      <c r="A5327" s="5">
        <v>5266</v>
      </c>
      <c r="B5327" s="138">
        <f>'Revenues 9-14'!C275</f>
        <v>14946062</v>
      </c>
      <c r="C5327" s="2" t="s">
        <v>594</v>
      </c>
      <c r="D5327" s="2" t="str">
        <f t="shared" si="82"/>
        <v>Error?</v>
      </c>
    </row>
    <row r="5328" spans="1:4" x14ac:dyDescent="0.2">
      <c r="A5328" s="5">
        <v>5267</v>
      </c>
      <c r="B5328" s="138">
        <f>'Revenues 9-14'!D5</f>
        <v>1618935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1618935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94088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94088</v>
      </c>
      <c r="C5339" s="2" t="s">
        <v>594</v>
      </c>
      <c r="D5339" s="2" t="str">
        <f t="shared" si="82"/>
        <v>Error?</v>
      </c>
    </row>
    <row r="5340" spans="1:4" x14ac:dyDescent="0.2">
      <c r="A5340" s="5">
        <v>5279</v>
      </c>
      <c r="B5340" s="138">
        <f>'Revenues 9-14'!D65</f>
        <v>20394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20394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90967</v>
      </c>
      <c r="D5354" s="2" t="str">
        <f t="shared" si="82"/>
        <v>Error?</v>
      </c>
    </row>
    <row r="5355" spans="1:4" x14ac:dyDescent="0.2">
      <c r="A5355" s="5">
        <v>5294</v>
      </c>
      <c r="B5355" s="138">
        <f>'Revenues 9-14'!D108</f>
        <v>90967</v>
      </c>
      <c r="C5355" s="2" t="s">
        <v>594</v>
      </c>
      <c r="D5355" s="2" t="str">
        <f t="shared" si="82"/>
        <v>Error?</v>
      </c>
    </row>
    <row r="5356" spans="1:4" x14ac:dyDescent="0.2">
      <c r="A5356" s="5">
        <v>5295</v>
      </c>
      <c r="B5356" s="138">
        <f>'Revenues 9-14'!D109</f>
        <v>1824384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1824384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869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869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869</v>
      </c>
      <c r="C5552" s="2" t="s">
        <v>594</v>
      </c>
      <c r="D5552" s="2" t="str">
        <f t="shared" si="85"/>
        <v>Error?</v>
      </c>
    </row>
    <row r="5553" spans="1:4" x14ac:dyDescent="0.2">
      <c r="A5553" s="5">
        <v>5492</v>
      </c>
      <c r="B5553" s="138">
        <f>'Revenues 9-14'!F5</f>
        <v>499946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499946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10564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10564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510510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290362</v>
      </c>
      <c r="D5617" s="2" t="str">
        <f t="shared" si="86"/>
        <v>Error?</v>
      </c>
    </row>
    <row r="5618" spans="1:4" x14ac:dyDescent="0.2">
      <c r="A5618" s="5">
        <v>5557</v>
      </c>
      <c r="B5618" s="138">
        <f>'Revenues 9-14'!F154</f>
        <v>290362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290362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290362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800872</v>
      </c>
      <c r="C5720" s="2" t="s">
        <v>594</v>
      </c>
      <c r="D5720" s="2" t="str">
        <f t="shared" si="88"/>
        <v>Error?</v>
      </c>
    </row>
    <row r="5721" spans="1:4" x14ac:dyDescent="0.2">
      <c r="A5721" s="5">
        <v>5660</v>
      </c>
      <c r="B5721" s="138">
        <f>'Revenues 9-14'!G5</f>
        <v>381053</v>
      </c>
      <c r="D5721" s="2" t="str">
        <f t="shared" si="88"/>
        <v>Error?</v>
      </c>
    </row>
    <row r="5722" spans="1:4" x14ac:dyDescent="0.2">
      <c r="A5722" s="5">
        <v>5661</v>
      </c>
      <c r="B5722" s="138">
        <f>'Revenues 9-14'!G7</f>
        <v>0</v>
      </c>
      <c r="D5722" s="2" t="str">
        <f t="shared" si="88"/>
        <v>Error?</v>
      </c>
    </row>
    <row r="5723" spans="1:4" x14ac:dyDescent="0.2">
      <c r="A5723" s="5">
        <v>5662</v>
      </c>
      <c r="B5723" s="138">
        <f>'Revenues 9-14'!G8</f>
        <v>381053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762106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19689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19689</v>
      </c>
      <c r="C5730" s="2" t="s">
        <v>594</v>
      </c>
      <c r="D5730" s="2" t="str">
        <f t="shared" si="88"/>
        <v>Error?</v>
      </c>
    </row>
    <row r="5731" spans="1:4" x14ac:dyDescent="0.2">
      <c r="A5731" s="5">
        <v>5670</v>
      </c>
      <c r="B5731" s="138">
        <f>'Revenues 9-14'!G65</f>
        <v>9620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9620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791415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19</v>
      </c>
      <c r="C5915" s="2" t="s">
        <v>594</v>
      </c>
      <c r="D5915" s="2" t="str">
        <f t="shared" si="91"/>
        <v>Error?</v>
      </c>
    </row>
    <row r="5916" spans="1:4" x14ac:dyDescent="0.2">
      <c r="A5916" s="5">
        <v>5855</v>
      </c>
      <c r="B5916" s="138">
        <f>'Revenues 9-14'!I5</f>
        <v>149259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149259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4988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154247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7298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7298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7298</v>
      </c>
      <c r="C6023" s="2" t="s">
        <v>594</v>
      </c>
      <c r="D6023" s="2" t="str">
        <f t="shared" si="93"/>
        <v>Error?</v>
      </c>
    </row>
    <row r="6024" spans="1:5" x14ac:dyDescent="0.2">
      <c r="A6024" s="5">
        <v>5963</v>
      </c>
      <c r="B6024" s="138">
        <f>'Revenues 9-14'!G109</f>
        <v>791415</v>
      </c>
      <c r="C6024" s="2" t="s">
        <v>594</v>
      </c>
      <c r="D6024" s="2" t="str">
        <f t="shared" si="93"/>
        <v>Error?</v>
      </c>
    </row>
    <row r="6025" spans="1:5" x14ac:dyDescent="0.2">
      <c r="A6025" s="5">
        <v>5964</v>
      </c>
      <c r="B6025" s="138">
        <f>'Revenues 9-14'!H109</f>
        <v>19</v>
      </c>
      <c r="C6025" s="2" t="s">
        <v>594</v>
      </c>
      <c r="D6025" s="2" t="str">
        <f t="shared" si="93"/>
        <v>Error?</v>
      </c>
    </row>
    <row r="6026" spans="1:5" x14ac:dyDescent="0.2">
      <c r="A6026" s="5">
        <v>5965</v>
      </c>
      <c r="B6026" s="138">
        <f>'Revenues 9-14'!I109</f>
        <v>154247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7298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41248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25288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696.05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871404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871404</v>
      </c>
      <c r="D6215" s="2" t="str">
        <f t="shared" si="96"/>
        <v>Error?</v>
      </c>
      <c r="E6215" s="2" t="s">
        <v>199</v>
      </c>
    </row>
    <row r="6216" spans="1:5" x14ac:dyDescent="0.2">
      <c r="A6216">
        <v>6155</v>
      </c>
      <c r="B6216" s="138">
        <f>'Assets-Liab 5-6'!J41</f>
        <v>871404</v>
      </c>
      <c r="D6216" s="2" t="str">
        <f t="shared" si="96"/>
        <v>Error?</v>
      </c>
      <c r="E6216" s="2" t="s">
        <v>199</v>
      </c>
    </row>
    <row r="6217" spans="1:5" x14ac:dyDescent="0.2">
      <c r="A6217">
        <v>6156</v>
      </c>
      <c r="B6217" s="138">
        <f>'Assets-Liab 5-6'!J4</f>
        <v>871404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247337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247337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247337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188009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188009</v>
      </c>
      <c r="D6229" s="2" t="str">
        <f t="shared" si="96"/>
        <v>Error?</v>
      </c>
      <c r="E6229" s="2" t="s">
        <v>199</v>
      </c>
    </row>
    <row r="6230" spans="1:5" x14ac:dyDescent="0.2">
      <c r="A6230">
        <v>6169</v>
      </c>
      <c r="B6230" s="138">
        <f>'Acct Summary 7-8'!J20</f>
        <v>59328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59328</v>
      </c>
      <c r="D6263" s="2" t="str">
        <f t="shared" si="96"/>
        <v>Error?</v>
      </c>
      <c r="E6263" s="2" t="s">
        <v>199</v>
      </c>
    </row>
    <row r="6264" spans="1:5" x14ac:dyDescent="0.2">
      <c r="A6264">
        <v>6203</v>
      </c>
      <c r="B6264" s="138">
        <f>'Acct Summary 7-8'!J79</f>
        <v>812076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871404</v>
      </c>
      <c r="D6266" s="2" t="str">
        <f t="shared" si="96"/>
        <v>Error?</v>
      </c>
      <c r="E6266" s="2" t="s">
        <v>199</v>
      </c>
    </row>
    <row r="6267" spans="1:5" x14ac:dyDescent="0.2">
      <c r="A6267">
        <v>6206</v>
      </c>
      <c r="B6267" s="138">
        <f>'Acct Summary 7-8'!C82</f>
        <v>-9297</v>
      </c>
      <c r="D6267" s="2" t="str">
        <f t="shared" si="96"/>
        <v>Error?</v>
      </c>
      <c r="E6267" s="2" t="s">
        <v>199</v>
      </c>
    </row>
    <row r="6268" spans="1:5" x14ac:dyDescent="0.2">
      <c r="A6268">
        <v>6207</v>
      </c>
      <c r="B6268" s="138">
        <f>'Acct Summary 7-8'!D82</f>
        <v>21126</v>
      </c>
      <c r="D6268" s="2" t="str">
        <f t="shared" si="96"/>
        <v>Error?</v>
      </c>
      <c r="E6268" s="2" t="s">
        <v>199</v>
      </c>
    </row>
    <row r="6269" spans="1:5" x14ac:dyDescent="0.2">
      <c r="A6269">
        <v>6208</v>
      </c>
      <c r="B6269" s="138">
        <f>'Acct Summary 7-8'!E82</f>
        <v>869</v>
      </c>
      <c r="D6269" s="2" t="str">
        <f t="shared" si="96"/>
        <v>Error?</v>
      </c>
      <c r="E6269" s="2" t="s">
        <v>199</v>
      </c>
    </row>
    <row r="6270" spans="1:5" x14ac:dyDescent="0.2">
      <c r="A6270">
        <v>6209</v>
      </c>
      <c r="B6270" s="138">
        <f>'Acct Summary 7-8'!F82</f>
        <v>469035</v>
      </c>
      <c r="D6270" s="2" t="str">
        <f t="shared" si="96"/>
        <v>Error?</v>
      </c>
      <c r="E6270" s="2" t="s">
        <v>199</v>
      </c>
    </row>
    <row r="6271" spans="1:5" x14ac:dyDescent="0.2">
      <c r="A6271">
        <v>6210</v>
      </c>
      <c r="B6271" s="138">
        <f>'Acct Summary 7-8'!G82</f>
        <v>81363</v>
      </c>
      <c r="D6271" s="2" t="str">
        <f t="shared" ref="D6271:D6334" si="97">IF(ISBLANK(B6271),"OK",IF(A6271-B6271=0,"OK","Error?"))</f>
        <v>Error?</v>
      </c>
      <c r="E6271" s="2" t="s">
        <v>199</v>
      </c>
    </row>
    <row r="6272" spans="1:5" x14ac:dyDescent="0.2">
      <c r="A6272">
        <v>6211</v>
      </c>
      <c r="B6272" s="138">
        <f>'Acct Summary 7-8'!H82</f>
        <v>19</v>
      </c>
      <c r="D6272" s="2" t="str">
        <f t="shared" si="97"/>
        <v>Error?</v>
      </c>
      <c r="E6272" s="2" t="s">
        <v>199</v>
      </c>
    </row>
    <row r="6273" spans="1:5" x14ac:dyDescent="0.2">
      <c r="A6273">
        <v>6212</v>
      </c>
      <c r="B6273" s="138">
        <f>'Acct Summary 7-8'!I82</f>
        <v>154247</v>
      </c>
      <c r="D6273" s="2" t="str">
        <f t="shared" si="97"/>
        <v>Error?</v>
      </c>
      <c r="E6273" s="2" t="s">
        <v>199</v>
      </c>
    </row>
    <row r="6274" spans="1:5" x14ac:dyDescent="0.2">
      <c r="A6274">
        <v>6213</v>
      </c>
      <c r="B6274" s="138">
        <f>'Acct Summary 7-8'!J82</f>
        <v>59328</v>
      </c>
      <c r="D6274" s="2" t="str">
        <f t="shared" si="97"/>
        <v>Error?</v>
      </c>
      <c r="E6274" s="2" t="s">
        <v>199</v>
      </c>
    </row>
    <row r="6275" spans="1:5" x14ac:dyDescent="0.2">
      <c r="A6275">
        <v>6214</v>
      </c>
      <c r="B6275" s="138">
        <f>'Acct Summary 7-8'!K82</f>
        <v>7298</v>
      </c>
      <c r="D6275" s="2" t="str">
        <f t="shared" si="97"/>
        <v>Error?</v>
      </c>
      <c r="E6275" s="2" t="s">
        <v>199</v>
      </c>
    </row>
    <row r="6276" spans="1:5" x14ac:dyDescent="0.2">
      <c r="A6276">
        <v>6215</v>
      </c>
      <c r="B6276" s="138">
        <f>'Acct Summary 7-8'!C83</f>
        <v>-5.8704437208068234E-4</v>
      </c>
      <c r="D6276" s="2" t="str">
        <f t="shared" si="97"/>
        <v>Error?</v>
      </c>
      <c r="E6276" s="2" t="s">
        <v>199</v>
      </c>
    </row>
    <row r="6277" spans="1:5" x14ac:dyDescent="0.2">
      <c r="A6277">
        <v>6216</v>
      </c>
      <c r="B6277" s="138">
        <f>'Acct Summary 7-8'!D83</f>
        <v>9.9496676615078421E-3</v>
      </c>
      <c r="D6277" s="2" t="str">
        <f t="shared" si="97"/>
        <v>Error?</v>
      </c>
      <c r="E6277" s="2" t="s">
        <v>199</v>
      </c>
    </row>
    <row r="6278" spans="1:5" x14ac:dyDescent="0.2">
      <c r="A6278">
        <v>6217</v>
      </c>
      <c r="B6278" s="138">
        <f>'Acct Summary 7-8'!E83</f>
        <v>9.248321147685791E-3</v>
      </c>
      <c r="D6278" s="2" t="str">
        <f t="shared" si="97"/>
        <v>Error?</v>
      </c>
      <c r="E6278" s="2" t="s">
        <v>199</v>
      </c>
    </row>
    <row r="6279" spans="1:5" x14ac:dyDescent="0.2">
      <c r="A6279">
        <v>6218</v>
      </c>
      <c r="B6279" s="138">
        <f>'Acct Summary 7-8'!F83</f>
        <v>0.33812073686077243</v>
      </c>
      <c r="D6279" s="2" t="str">
        <f t="shared" si="97"/>
        <v>Error?</v>
      </c>
      <c r="E6279" s="2" t="s">
        <v>199</v>
      </c>
    </row>
    <row r="6280" spans="1:5" x14ac:dyDescent="0.2">
      <c r="A6280">
        <v>6219</v>
      </c>
      <c r="B6280" s="138">
        <f>'Acct Summary 7-8'!G83</f>
        <v>7.7319866842917029E-2</v>
      </c>
      <c r="D6280" s="2" t="str">
        <f t="shared" si="97"/>
        <v>Error?</v>
      </c>
      <c r="E6280" s="2" t="s">
        <v>199</v>
      </c>
    </row>
    <row r="6281" spans="1:5" x14ac:dyDescent="0.2">
      <c r="A6281">
        <v>6220</v>
      </c>
      <c r="B6281" s="138">
        <f>'Acct Summary 7-8'!H83</f>
        <v>9.3411996066863328E-3</v>
      </c>
      <c r="D6281" s="2" t="str">
        <f t="shared" si="97"/>
        <v>Error?</v>
      </c>
      <c r="E6281" s="2" t="s">
        <v>199</v>
      </c>
    </row>
    <row r="6282" spans="1:5" x14ac:dyDescent="0.2">
      <c r="A6282">
        <v>6221</v>
      </c>
      <c r="B6282" s="138">
        <f>'Acct Summary 7-8'!I83</f>
        <v>0.24023879499795189</v>
      </c>
      <c r="D6282" s="2" t="str">
        <f t="shared" si="97"/>
        <v>Error?</v>
      </c>
      <c r="E6282" s="2" t="s">
        <v>199</v>
      </c>
    </row>
    <row r="6283" spans="1:5" x14ac:dyDescent="0.2">
      <c r="A6283">
        <v>6222</v>
      </c>
      <c r="B6283" s="138">
        <f>'Acct Summary 7-8'!J83</f>
        <v>6.8083231199305941E-2</v>
      </c>
      <c r="D6283" s="2" t="str">
        <f t="shared" si="97"/>
        <v>Error?</v>
      </c>
      <c r="E6283" s="2" t="s">
        <v>199</v>
      </c>
    </row>
    <row r="6284" spans="1:5" x14ac:dyDescent="0.2">
      <c r="A6284">
        <v>6223</v>
      </c>
      <c r="B6284" s="138">
        <f>'Acct Summary 7-8'!K83</f>
        <v>9.2534595868022183E-3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239808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239808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7529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7529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247337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379157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443047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188009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247337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33919</v>
      </c>
      <c r="D7073" s="2" t="str">
        <f t="shared" si="109"/>
        <v>Error?</v>
      </c>
    </row>
    <row r="7074" spans="1:4" x14ac:dyDescent="0.2">
      <c r="A7074">
        <v>7013</v>
      </c>
      <c r="B7074" s="138">
        <f>'Expenditures 15-22'!K216</f>
        <v>33919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107562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107562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18330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18330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54839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54839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7078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7078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188009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188009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188009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188009</v>
      </c>
      <c r="D7224" s="2" t="str">
        <f t="shared" si="111"/>
        <v>Error?</v>
      </c>
    </row>
    <row r="7225" spans="1:4" x14ac:dyDescent="0.2">
      <c r="A7225">
        <v>7164</v>
      </c>
      <c r="B7225" s="138">
        <f>'Expenditures 15-22'!K343</f>
        <v>59328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38609</v>
      </c>
      <c r="D7246" s="2" t="str">
        <f t="shared" si="112"/>
        <v>Error?</v>
      </c>
    </row>
    <row r="7247" spans="1:4" x14ac:dyDescent="0.2">
      <c r="A7247">
        <f t="shared" si="113"/>
        <v>7186</v>
      </c>
      <c r="B7247" s="138">
        <f>'Expenditures 15-22'!E7</f>
        <v>12690</v>
      </c>
      <c r="D7247" s="2" t="str">
        <f t="shared" si="112"/>
        <v>Error?</v>
      </c>
    </row>
    <row r="7248" spans="1:4" x14ac:dyDescent="0.2">
      <c r="A7248">
        <f t="shared" si="113"/>
        <v>7187</v>
      </c>
      <c r="B7248" s="138">
        <f>'Expenditures 15-22'!F7</f>
        <v>10714</v>
      </c>
      <c r="D7248" s="2" t="str">
        <f t="shared" si="112"/>
        <v>Error?</v>
      </c>
    </row>
    <row r="7249" spans="1:4" x14ac:dyDescent="0.2">
      <c r="A7249">
        <f t="shared" si="113"/>
        <v>7188</v>
      </c>
      <c r="B7249" s="138">
        <f>'Expenditures 15-22'!G7</f>
        <v>1118</v>
      </c>
      <c r="D7249" s="2" t="str">
        <f t="shared" si="112"/>
        <v>Error?</v>
      </c>
    </row>
    <row r="7250" spans="1:4" x14ac:dyDescent="0.2">
      <c r="A7250">
        <f t="shared" si="113"/>
        <v>7189</v>
      </c>
      <c r="B7250" s="138">
        <f>'Expenditures 15-22'!H7</f>
        <v>759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296250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296250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296250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769373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1181315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Forest Park SD 91</v>
      </c>
      <c r="B7" s="2408"/>
      <c r="C7" s="2408"/>
      <c r="D7" s="2445"/>
      <c r="E7" s="2446">
        <f>COVER!A13</f>
        <v>6016091002</v>
      </c>
      <c r="F7" s="2447"/>
      <c r="G7" s="2414" t="str">
        <f>COVER!T23</f>
        <v>060-003973</v>
      </c>
      <c r="H7" s="2415"/>
      <c r="I7" s="2415"/>
      <c r="J7" s="2415"/>
      <c r="K7" s="2415"/>
      <c r="L7" s="241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Evans, Marshall and Pease, P.C.</v>
      </c>
      <c r="H9" s="2421"/>
      <c r="I9" s="2421"/>
      <c r="J9" s="2421"/>
      <c r="K9" s="2421"/>
      <c r="L9" s="2422"/>
    </row>
    <row r="10" spans="1:29" ht="13.5" customHeight="1" x14ac:dyDescent="0.2">
      <c r="A10" s="2404" t="str">
        <f>COVER!A38</f>
        <v>Dr. Louis Cavallo</v>
      </c>
      <c r="B10" s="2405"/>
      <c r="C10" s="2405"/>
      <c r="D10" s="2405"/>
      <c r="E10" s="2405"/>
      <c r="F10" s="2406"/>
      <c r="G10" s="2420" t="str">
        <f>COVER!T17</f>
        <v>1875 Hicks Road</v>
      </c>
      <c r="H10" s="2433"/>
      <c r="I10" s="2433"/>
      <c r="J10" s="2433"/>
      <c r="K10" s="2433"/>
      <c r="L10" s="2434"/>
    </row>
    <row r="11" spans="1:29" ht="13.5" customHeight="1" x14ac:dyDescent="0.2">
      <c r="A11" s="1185" t="s">
        <v>1599</v>
      </c>
      <c r="B11" s="1186"/>
      <c r="C11" s="1187"/>
      <c r="D11" s="1192"/>
      <c r="E11" s="1187"/>
      <c r="F11" s="1191"/>
      <c r="G11" s="2420" t="str">
        <f>COVER!T19</f>
        <v>Rolling Meadows</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jeff@empcpa.com</v>
      </c>
      <c r="J13" s="2442"/>
      <c r="K13" s="2442"/>
      <c r="L13" s="2443"/>
    </row>
    <row r="14" spans="1:29" ht="13.5" customHeight="1" x14ac:dyDescent="0.2">
      <c r="A14" s="2420" t="str">
        <f>COVER!A19</f>
        <v>424 Des Plaines Avenue</v>
      </c>
      <c r="B14" s="2433"/>
      <c r="C14" s="2433"/>
      <c r="D14" s="2433"/>
      <c r="E14" s="2433"/>
      <c r="F14" s="2434"/>
      <c r="G14" s="1196" t="s">
        <v>1247</v>
      </c>
      <c r="H14" s="1194"/>
      <c r="I14" s="1194"/>
      <c r="J14" s="1194"/>
      <c r="K14" s="1194"/>
      <c r="L14" s="1195"/>
    </row>
    <row r="15" spans="1:29" ht="13.5" customHeight="1" x14ac:dyDescent="0.2">
      <c r="A15" s="2420" t="str">
        <f>COVER!A21</f>
        <v xml:space="preserve">Forest Park  </v>
      </c>
      <c r="B15" s="2433"/>
      <c r="C15" s="2433"/>
      <c r="D15" s="2433"/>
      <c r="E15" s="2433"/>
      <c r="F15" s="2434"/>
      <c r="G15" s="2430" t="str">
        <f>COVER!T15</f>
        <v>Jeffery M. Rollefson, CPA</v>
      </c>
      <c r="H15" s="2431"/>
      <c r="I15" s="2431"/>
      <c r="J15" s="2431"/>
      <c r="K15" s="2431"/>
      <c r="L15" s="2432"/>
    </row>
    <row r="16" spans="1:29" ht="12.2" customHeight="1" x14ac:dyDescent="0.2">
      <c r="A16" s="2410">
        <f>COVER!A25</f>
        <v>60130</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847-221-5700</v>
      </c>
      <c r="H18" s="2408"/>
      <c r="I18" s="2408"/>
      <c r="J18" s="2408"/>
      <c r="K18" s="2407" t="str">
        <f>COVER!X21</f>
        <v>847-221-5701</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5"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Forest Park SD 91</v>
      </c>
      <c r="B1" s="2444"/>
      <c r="C1" s="2444"/>
      <c r="D1" s="2444"/>
    </row>
    <row r="2" spans="1:11" s="1215" customFormat="1" ht="12.75" x14ac:dyDescent="0.2">
      <c r="A2" s="2449">
        <f>'Single Audit Cover'!E7</f>
        <v>6016091002</v>
      </c>
      <c r="B2" s="2450"/>
      <c r="C2" s="2450"/>
      <c r="D2" s="2450"/>
    </row>
    <row r="3" spans="1:11" s="1215" customFormat="1" ht="12.75" x14ac:dyDescent="0.2">
      <c r="A3" s="2448" t="s">
        <v>1593</v>
      </c>
      <c r="B3" s="2444"/>
      <c r="C3" s="2444"/>
      <c r="D3" s="244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Forest Park SD 91</v>
      </c>
      <c r="B1" s="2452"/>
      <c r="C1" s="2452"/>
      <c r="D1" s="2452"/>
      <c r="E1" s="2452"/>
    </row>
    <row r="2" spans="1:5" x14ac:dyDescent="0.2">
      <c r="A2" s="2453">
        <f>'Single Audit Cover'!E7</f>
        <v>6016091002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931957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25288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957245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957245</v>
      </c>
    </row>
    <row r="33" spans="1:4" x14ac:dyDescent="0.2">
      <c r="D33" s="1269"/>
    </row>
    <row r="34" spans="1:4" x14ac:dyDescent="0.2">
      <c r="A34" s="317" t="s">
        <v>1294</v>
      </c>
    </row>
    <row r="35" spans="1:4" x14ac:dyDescent="0.2">
      <c r="A35" s="317" t="s">
        <v>1293</v>
      </c>
      <c r="B35" s="1258" t="s">
        <v>1292</v>
      </c>
      <c r="D35" s="1270">
        <v>957246</v>
      </c>
    </row>
    <row r="37" spans="1:4" x14ac:dyDescent="0.2">
      <c r="A37" s="1260" t="s">
        <v>1291</v>
      </c>
    </row>
    <row r="39" spans="1:4" ht="13.35" customHeight="1" x14ac:dyDescent="0.2">
      <c r="A39" s="1267" t="s">
        <v>1290</v>
      </c>
    </row>
    <row r="40" spans="1:4" x14ac:dyDescent="0.2">
      <c r="A40" s="2451" t="s">
        <v>2130</v>
      </c>
      <c r="B40" s="2451"/>
      <c r="D40" s="1268">
        <v>-1</v>
      </c>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957245</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Forest Park SD 91</v>
      </c>
      <c r="B1" s="2457"/>
      <c r="C1" s="2457"/>
      <c r="D1" s="2457"/>
      <c r="E1" s="2457"/>
      <c r="F1" s="2457"/>
    </row>
    <row r="2" spans="1:7" ht="13.5" customHeight="1" x14ac:dyDescent="0.2">
      <c r="A2" s="2458">
        <f>'Single Audit Cover'!E7</f>
        <v>6016091002</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2092</v>
      </c>
      <c r="B7" s="2456"/>
      <c r="C7" s="2456"/>
      <c r="D7" s="2456"/>
      <c r="E7" s="2456"/>
      <c r="F7" s="245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6" t="s">
        <v>2093</v>
      </c>
      <c r="B13" s="2456"/>
      <c r="C13" s="2456"/>
      <c r="D13" s="2456"/>
      <c r="E13" s="2456"/>
      <c r="F13" s="2456"/>
    </row>
    <row r="14" spans="1:7" ht="9.75" customHeight="1" x14ac:dyDescent="0.2">
      <c r="C14" s="1260"/>
      <c r="D14" s="1260"/>
    </row>
    <row r="15" spans="1:7" ht="13.5" customHeight="1" x14ac:dyDescent="0.2">
      <c r="C15" s="1871" t="s">
        <v>1332</v>
      </c>
      <c r="D15" s="2462" t="s">
        <v>1331</v>
      </c>
      <c r="E15" s="2462"/>
      <c r="F15" s="2462"/>
    </row>
    <row r="16" spans="1:7" ht="13.5" customHeight="1" x14ac:dyDescent="0.2">
      <c r="A16" s="1282"/>
      <c r="B16" s="1276" t="s">
        <v>1330</v>
      </c>
      <c r="C16" s="1871" t="s">
        <v>1329</v>
      </c>
      <c r="D16" s="2463" t="s">
        <v>1670</v>
      </c>
      <c r="E16" s="2463"/>
      <c r="F16" s="2463"/>
    </row>
    <row r="17" spans="1:6" ht="20.45" customHeight="1" x14ac:dyDescent="0.2">
      <c r="A17" s="1283"/>
      <c r="B17" s="1284" t="s">
        <v>2094</v>
      </c>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5" t="s">
        <v>2095</v>
      </c>
      <c r="B32" s="2465"/>
      <c r="C32" s="2465"/>
      <c r="D32" s="2465"/>
      <c r="E32" s="2465"/>
      <c r="F32" s="2465"/>
    </row>
    <row r="33" spans="1:6" ht="13.5" customHeight="1" x14ac:dyDescent="0.2">
      <c r="A33" s="328" t="s">
        <v>1509</v>
      </c>
      <c r="B33" s="328"/>
      <c r="C33" s="1288">
        <v>25288</v>
      </c>
      <c r="D33" s="1928"/>
      <c r="E33" s="1286"/>
    </row>
    <row r="34" spans="1:6" ht="13.5" customHeight="1" x14ac:dyDescent="0.2">
      <c r="A34" s="328" t="s">
        <v>1946</v>
      </c>
      <c r="B34" s="328"/>
      <c r="C34" s="1289">
        <v>0</v>
      </c>
      <c r="D34" s="1928" t="s">
        <v>1671</v>
      </c>
      <c r="E34" s="2466">
        <f>+C33+C34</f>
        <v>25288</v>
      </c>
      <c r="F34" s="246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2096</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1672</v>
      </c>
      <c r="C49" s="2468"/>
      <c r="D49" s="2468"/>
      <c r="E49" s="1399"/>
    </row>
    <row r="50" spans="1:5" s="1300" customFormat="1" ht="3.75" customHeight="1" x14ac:dyDescent="0.2">
      <c r="A50" s="1299"/>
      <c r="B50" s="1870"/>
      <c r="C50" s="1870"/>
      <c r="D50" s="1870"/>
      <c r="E50" s="1399"/>
    </row>
    <row r="51" spans="1:5" s="1300" customFormat="1" ht="20.25" customHeight="1" x14ac:dyDescent="0.2">
      <c r="A51" s="1301">
        <v>6</v>
      </c>
      <c r="B51" s="2464" t="s">
        <v>1632</v>
      </c>
      <c r="C51" s="2464"/>
      <c r="D51" s="2464"/>
    </row>
    <row r="52" spans="1:5" ht="14.25" customHeight="1" x14ac:dyDescent="0.2">
      <c r="A52" s="1301"/>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Forest Park SD 91</v>
      </c>
      <c r="C1" s="2469"/>
      <c r="D1" s="2469"/>
      <c r="E1" s="2469"/>
      <c r="F1" s="2469"/>
      <c r="G1" s="2469"/>
      <c r="H1" s="2469"/>
      <c r="I1" s="2469"/>
      <c r="J1" s="2469"/>
      <c r="K1" s="2469"/>
      <c r="L1" s="2469"/>
      <c r="M1" s="2469"/>
    </row>
    <row r="2" spans="2:14" ht="15" x14ac:dyDescent="0.2">
      <c r="B2" s="2458">
        <f>'Single Audit Cover'!E7</f>
        <v>6016091002</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2097</v>
      </c>
      <c r="C11" s="1338"/>
      <c r="D11" s="1339"/>
      <c r="E11" s="1340"/>
      <c r="F11" s="1340"/>
      <c r="G11" s="1340"/>
      <c r="H11" s="1340"/>
      <c r="I11" s="1340"/>
      <c r="J11" s="1340"/>
      <c r="K11" s="1340"/>
      <c r="L11" s="1340"/>
      <c r="M11" s="1340"/>
    </row>
    <row r="12" spans="2:14" ht="20.100000000000001" customHeight="1" x14ac:dyDescent="0.2">
      <c r="B12" s="1957" t="s">
        <v>2098</v>
      </c>
      <c r="C12" s="1341"/>
      <c r="D12" s="1342"/>
      <c r="E12" s="1343"/>
      <c r="F12" s="1343"/>
      <c r="G12" s="1343"/>
      <c r="H12" s="1343"/>
      <c r="I12" s="1343"/>
      <c r="J12" s="1343"/>
      <c r="K12" s="1343"/>
      <c r="L12" s="1340"/>
      <c r="M12" s="1343"/>
    </row>
    <row r="13" spans="2:14" ht="20.100000000000001" customHeight="1" x14ac:dyDescent="0.2">
      <c r="B13" s="1337" t="s">
        <v>2099</v>
      </c>
      <c r="C13" s="1341" t="s">
        <v>2100</v>
      </c>
      <c r="D13" s="1342" t="s">
        <v>2101</v>
      </c>
      <c r="E13" s="1343">
        <v>220467</v>
      </c>
      <c r="F13" s="1343">
        <v>43754</v>
      </c>
      <c r="G13" s="1343">
        <v>264221</v>
      </c>
      <c r="H13" s="1343"/>
      <c r="I13" s="1343"/>
      <c r="J13" s="1343"/>
      <c r="K13" s="1343"/>
      <c r="L13" s="1340">
        <f t="shared" ref="L13:L22" si="0">+G13+I13+K13</f>
        <v>264221</v>
      </c>
      <c r="M13" s="1343">
        <v>267382</v>
      </c>
    </row>
    <row r="14" spans="2:14" ht="20.100000000000001" customHeight="1" x14ac:dyDescent="0.2">
      <c r="B14" s="1337" t="s">
        <v>2099</v>
      </c>
      <c r="C14" s="1341" t="s">
        <v>2100</v>
      </c>
      <c r="D14" s="1342" t="s">
        <v>2102</v>
      </c>
      <c r="E14" s="1343"/>
      <c r="F14" s="1343">
        <v>231944</v>
      </c>
      <c r="G14" s="1343"/>
      <c r="H14" s="1343"/>
      <c r="I14" s="1343">
        <v>256905</v>
      </c>
      <c r="J14" s="1343"/>
      <c r="K14" s="1343"/>
      <c r="L14" s="1340">
        <f t="shared" si="0"/>
        <v>256905</v>
      </c>
      <c r="M14" s="1343">
        <v>257905</v>
      </c>
    </row>
    <row r="15" spans="2:14" ht="20.100000000000001" customHeight="1" x14ac:dyDescent="0.2">
      <c r="B15" s="1337" t="s">
        <v>782</v>
      </c>
      <c r="C15" s="1341" t="s">
        <v>2105</v>
      </c>
      <c r="D15" s="1342" t="s">
        <v>2106</v>
      </c>
      <c r="E15" s="1343">
        <v>32174</v>
      </c>
      <c r="F15" s="1343"/>
      <c r="G15" s="1343">
        <v>32174</v>
      </c>
      <c r="H15" s="1343"/>
      <c r="I15" s="1343"/>
      <c r="J15" s="1343"/>
      <c r="K15" s="1343"/>
      <c r="L15" s="1340">
        <f t="shared" si="0"/>
        <v>32174</v>
      </c>
      <c r="M15" s="1343">
        <v>32174</v>
      </c>
    </row>
    <row r="16" spans="2:14" ht="20.100000000000001" customHeight="1" x14ac:dyDescent="0.2">
      <c r="B16" s="1337" t="s">
        <v>782</v>
      </c>
      <c r="C16" s="1341" t="s">
        <v>2105</v>
      </c>
      <c r="D16" s="1342" t="s">
        <v>2107</v>
      </c>
      <c r="E16" s="1343"/>
      <c r="F16" s="1343">
        <v>46127</v>
      </c>
      <c r="G16" s="1343"/>
      <c r="H16" s="1343"/>
      <c r="I16" s="1343">
        <v>46127</v>
      </c>
      <c r="J16" s="1343"/>
      <c r="K16" s="1343"/>
      <c r="L16" s="1340">
        <f t="shared" si="0"/>
        <v>46127</v>
      </c>
      <c r="M16" s="1343">
        <v>46127</v>
      </c>
    </row>
    <row r="17" spans="2:14" ht="20.100000000000001" customHeight="1" x14ac:dyDescent="0.2">
      <c r="B17" s="1337" t="s">
        <v>2133</v>
      </c>
      <c r="C17" s="1341" t="s">
        <v>2108</v>
      </c>
      <c r="D17" s="1342" t="s">
        <v>2109</v>
      </c>
      <c r="E17" s="1343">
        <v>19907</v>
      </c>
      <c r="F17" s="1343"/>
      <c r="G17" s="1343">
        <v>19907</v>
      </c>
      <c r="H17" s="1343"/>
      <c r="I17" s="1343"/>
      <c r="J17" s="1343"/>
      <c r="K17" s="1343"/>
      <c r="L17" s="1340">
        <f t="shared" si="0"/>
        <v>19907</v>
      </c>
      <c r="M17" s="1343">
        <v>19907</v>
      </c>
    </row>
    <row r="18" spans="2:14" ht="20.100000000000001" customHeight="1" x14ac:dyDescent="0.2">
      <c r="B18" s="1337" t="s">
        <v>2133</v>
      </c>
      <c r="C18" s="1341" t="s">
        <v>2108</v>
      </c>
      <c r="D18" s="1342" t="s">
        <v>2110</v>
      </c>
      <c r="E18" s="1343"/>
      <c r="F18" s="1343">
        <v>19907</v>
      </c>
      <c r="G18" s="1343"/>
      <c r="H18" s="1343"/>
      <c r="I18" s="1343">
        <v>19907</v>
      </c>
      <c r="J18" s="1343"/>
      <c r="K18" s="1343"/>
      <c r="L18" s="1340">
        <f t="shared" si="0"/>
        <v>19907</v>
      </c>
      <c r="M18" s="1343">
        <v>19907</v>
      </c>
    </row>
    <row r="19" spans="2:14" ht="20.100000000000001" customHeight="1" x14ac:dyDescent="0.2">
      <c r="B19" s="1337" t="s">
        <v>2134</v>
      </c>
      <c r="C19" s="1341" t="s">
        <v>2111</v>
      </c>
      <c r="D19" s="1342" t="s">
        <v>2112</v>
      </c>
      <c r="E19" s="1343">
        <v>203066</v>
      </c>
      <c r="F19" s="1343">
        <v>36455</v>
      </c>
      <c r="G19" s="1343">
        <v>239521</v>
      </c>
      <c r="H19" s="1343"/>
      <c r="I19" s="1343"/>
      <c r="J19" s="1343"/>
      <c r="K19" s="1343"/>
      <c r="L19" s="1340">
        <f t="shared" si="0"/>
        <v>239521</v>
      </c>
      <c r="M19" s="1343">
        <v>239521</v>
      </c>
    </row>
    <row r="20" spans="2:14" ht="20.100000000000001" customHeight="1" x14ac:dyDescent="0.2">
      <c r="B20" s="1337" t="s">
        <v>2134</v>
      </c>
      <c r="C20" s="1341" t="s">
        <v>2111</v>
      </c>
      <c r="D20" s="1342" t="s">
        <v>2113</v>
      </c>
      <c r="E20" s="1343"/>
      <c r="F20" s="1343">
        <v>200594</v>
      </c>
      <c r="G20" s="1343"/>
      <c r="H20" s="1343"/>
      <c r="I20" s="1343">
        <v>235621</v>
      </c>
      <c r="J20" s="1343"/>
      <c r="K20" s="1343"/>
      <c r="L20" s="1340">
        <f t="shared" si="0"/>
        <v>235621</v>
      </c>
      <c r="M20" s="1343">
        <v>235621</v>
      </c>
    </row>
    <row r="21" spans="2:14" ht="20.100000000000001" customHeight="1" x14ac:dyDescent="0.2">
      <c r="B21" s="1337" t="s">
        <v>2135</v>
      </c>
      <c r="C21" s="1341" t="s">
        <v>2111</v>
      </c>
      <c r="D21" s="1342" t="s">
        <v>2114</v>
      </c>
      <c r="E21" s="1343">
        <v>97767</v>
      </c>
      <c r="F21" s="1343">
        <v>64249</v>
      </c>
      <c r="G21" s="1343">
        <v>97767</v>
      </c>
      <c r="H21" s="1343"/>
      <c r="I21" s="1343">
        <v>64249</v>
      </c>
      <c r="J21" s="1343"/>
      <c r="K21" s="1343"/>
      <c r="L21" s="1340">
        <f t="shared" si="0"/>
        <v>162016</v>
      </c>
      <c r="M21" s="1343" t="s">
        <v>2116</v>
      </c>
    </row>
    <row r="22" spans="2:14" ht="20.100000000000001" customHeight="1" x14ac:dyDescent="0.2">
      <c r="B22" s="1337" t="s">
        <v>2135</v>
      </c>
      <c r="C22" s="1341" t="s">
        <v>2111</v>
      </c>
      <c r="D22" s="1342" t="s">
        <v>2115</v>
      </c>
      <c r="E22" s="1343"/>
      <c r="F22" s="1343">
        <v>73740</v>
      </c>
      <c r="G22" s="1343"/>
      <c r="H22" s="1343"/>
      <c r="I22" s="1343">
        <v>73740</v>
      </c>
      <c r="J22" s="1343"/>
      <c r="K22" s="1343"/>
      <c r="L22" s="1340">
        <f t="shared" si="0"/>
        <v>73740</v>
      </c>
      <c r="M22" s="1343" t="s">
        <v>2116</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956" t="s">
        <v>2117</v>
      </c>
      <c r="C24" s="1341"/>
      <c r="D24" s="1342"/>
      <c r="E24" s="1343"/>
      <c r="F24" s="1958">
        <f>SUM(F13:F22)</f>
        <v>716770</v>
      </c>
      <c r="G24" s="1343"/>
      <c r="H24" s="1343"/>
      <c r="I24" s="1958">
        <f>SUM(I13:I22)</f>
        <v>696549</v>
      </c>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24:I24 L13:L2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2103</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21" sqref="F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Forest Park SD 91</v>
      </c>
      <c r="C1" s="2469"/>
      <c r="D1" s="2469"/>
      <c r="E1" s="2469"/>
      <c r="F1" s="2469"/>
      <c r="G1" s="2469"/>
      <c r="H1" s="2469"/>
      <c r="I1" s="2469"/>
      <c r="J1" s="2469"/>
      <c r="K1" s="2469"/>
      <c r="L1" s="2469"/>
      <c r="M1" s="2469"/>
    </row>
    <row r="2" spans="2:14" ht="15" x14ac:dyDescent="0.2">
      <c r="B2" s="2458">
        <f>'Single Audit Cover'!E7</f>
        <v>6016091002</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2118</v>
      </c>
      <c r="C11" s="1338"/>
      <c r="D11" s="1339"/>
      <c r="E11" s="1340"/>
      <c r="F11" s="1340"/>
      <c r="G11" s="1340"/>
      <c r="H11" s="1340"/>
      <c r="I11" s="1340"/>
      <c r="J11" s="1340"/>
      <c r="K11" s="1340"/>
      <c r="L11" s="1340"/>
      <c r="M11" s="1340"/>
    </row>
    <row r="12" spans="2:14" ht="20.100000000000001" customHeight="1" x14ac:dyDescent="0.2">
      <c r="B12" s="1957" t="s">
        <v>2119</v>
      </c>
      <c r="C12" s="1341"/>
      <c r="D12" s="1342"/>
      <c r="E12" s="1343"/>
      <c r="F12" s="1343"/>
      <c r="G12" s="1343"/>
      <c r="H12" s="1343"/>
      <c r="I12" s="1343"/>
      <c r="J12" s="1343"/>
      <c r="K12" s="1343"/>
      <c r="L12" s="1340"/>
      <c r="M12" s="1343"/>
    </row>
    <row r="13" spans="2:14" ht="20.100000000000001" customHeight="1" x14ac:dyDescent="0.2">
      <c r="B13" s="1337" t="s">
        <v>1118</v>
      </c>
      <c r="C13" s="1341">
        <v>10.555</v>
      </c>
      <c r="D13" s="1342" t="s">
        <v>2120</v>
      </c>
      <c r="E13" s="1343">
        <v>159401</v>
      </c>
      <c r="F13" s="1343">
        <v>28267</v>
      </c>
      <c r="G13" s="1343">
        <v>159401</v>
      </c>
      <c r="H13" s="1343"/>
      <c r="I13" s="1343">
        <v>28267</v>
      </c>
      <c r="J13" s="1343"/>
      <c r="K13" s="1343"/>
      <c r="L13" s="1340">
        <f t="shared" ref="L13:L17" si="0">+G13+I13+K13</f>
        <v>187668</v>
      </c>
      <c r="M13" s="1343" t="s">
        <v>2116</v>
      </c>
    </row>
    <row r="14" spans="2:14" ht="20.100000000000001" customHeight="1" x14ac:dyDescent="0.2">
      <c r="B14" s="1337" t="s">
        <v>1118</v>
      </c>
      <c r="C14" s="1341">
        <v>10.555</v>
      </c>
      <c r="D14" s="1342" t="s">
        <v>2121</v>
      </c>
      <c r="E14" s="1343"/>
      <c r="F14" s="1343">
        <v>159205</v>
      </c>
      <c r="G14" s="1343"/>
      <c r="H14" s="1343"/>
      <c r="I14" s="1343">
        <v>159205</v>
      </c>
      <c r="J14" s="1343"/>
      <c r="K14" s="1343"/>
      <c r="L14" s="1340" t="s">
        <v>2122</v>
      </c>
      <c r="M14" s="1343" t="s">
        <v>2116</v>
      </c>
    </row>
    <row r="15" spans="2:14" ht="20.100000000000001" customHeight="1" x14ac:dyDescent="0.2">
      <c r="B15" s="1337" t="s">
        <v>2123</v>
      </c>
      <c r="C15" s="1341">
        <v>10.553000000000001</v>
      </c>
      <c r="D15" s="1342" t="s">
        <v>2124</v>
      </c>
      <c r="E15" s="1343">
        <v>25747</v>
      </c>
      <c r="F15" s="1343">
        <v>3747</v>
      </c>
      <c r="G15" s="1343">
        <v>25747</v>
      </c>
      <c r="H15" s="1343"/>
      <c r="I15" s="1343">
        <v>3747</v>
      </c>
      <c r="J15" s="1343"/>
      <c r="K15" s="1343"/>
      <c r="L15" s="1340">
        <f t="shared" si="0"/>
        <v>29494</v>
      </c>
      <c r="M15" s="1343" t="s">
        <v>2116</v>
      </c>
    </row>
    <row r="16" spans="2:14" ht="20.100000000000001" customHeight="1" x14ac:dyDescent="0.2">
      <c r="B16" s="1337" t="s">
        <v>2123</v>
      </c>
      <c r="C16" s="1341">
        <v>10.553000000000001</v>
      </c>
      <c r="D16" s="1342" t="s">
        <v>2125</v>
      </c>
      <c r="E16" s="1343"/>
      <c r="F16" s="1343">
        <v>23969</v>
      </c>
      <c r="G16" s="1343"/>
      <c r="H16" s="1343"/>
      <c r="I16" s="1343">
        <v>23969</v>
      </c>
      <c r="J16" s="1343"/>
      <c r="K16" s="1343"/>
      <c r="L16" s="1340" t="s">
        <v>2122</v>
      </c>
      <c r="M16" s="1343" t="s">
        <v>2116</v>
      </c>
    </row>
    <row r="17" spans="2:14" ht="20.100000000000001" customHeight="1" x14ac:dyDescent="0.2">
      <c r="B17" s="1337" t="s">
        <v>2126</v>
      </c>
      <c r="C17" s="1341">
        <v>10.555</v>
      </c>
      <c r="D17" s="1342" t="s">
        <v>2127</v>
      </c>
      <c r="E17" s="1343"/>
      <c r="F17" s="1343">
        <v>25288</v>
      </c>
      <c r="G17" s="1343"/>
      <c r="H17" s="1343"/>
      <c r="I17" s="1343">
        <v>25288</v>
      </c>
      <c r="J17" s="1343"/>
      <c r="K17" s="1343"/>
      <c r="L17" s="1340">
        <f t="shared" si="0"/>
        <v>25288</v>
      </c>
      <c r="M17" s="1343" t="s">
        <v>2116</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956" t="s">
        <v>2128</v>
      </c>
      <c r="C19" s="1341"/>
      <c r="D19" s="1342"/>
      <c r="E19" s="1343"/>
      <c r="F19" s="1958">
        <f>SUM(F13:F18)</f>
        <v>240476</v>
      </c>
      <c r="G19" s="1343"/>
      <c r="H19" s="1343"/>
      <c r="I19" s="1958">
        <f>SUM(I13:I17)</f>
        <v>240476</v>
      </c>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960" t="s">
        <v>2129</v>
      </c>
      <c r="C21" s="1341"/>
      <c r="D21" s="1342"/>
      <c r="E21" s="1343"/>
      <c r="F21" s="1959">
        <f>716770+240476</f>
        <v>957246</v>
      </c>
      <c r="G21" s="1959"/>
      <c r="H21" s="1959"/>
      <c r="I21" s="1959">
        <f>696549+240476</f>
        <v>937025</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19:I19 L13:L18 F21:I2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M39" sqref="M3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Forest Park SD 91</v>
      </c>
      <c r="C1" s="2477"/>
      <c r="D1" s="2477"/>
      <c r="E1" s="2477"/>
      <c r="F1" s="2477"/>
      <c r="G1" s="2477"/>
      <c r="H1" s="2477"/>
      <c r="I1" s="2477"/>
      <c r="J1" s="1422"/>
    </row>
    <row r="2" spans="2:10" s="317" customFormat="1" ht="12.75" customHeight="1" x14ac:dyDescent="0.2">
      <c r="B2" s="2478">
        <f>'Single Audit Cover'!E7</f>
        <v>6016091002</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1226</v>
      </c>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2079</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2079</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2131</v>
      </c>
      <c r="E29" s="2483"/>
      <c r="F29" s="2483"/>
      <c r="G29" s="2483"/>
      <c r="H29" s="2483"/>
      <c r="I29" s="248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2079</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4" t="s">
        <v>1851</v>
      </c>
      <c r="D37" s="2485"/>
      <c r="E37" s="2485"/>
      <c r="F37" s="2486"/>
      <c r="G37" s="2484" t="s">
        <v>1674</v>
      </c>
      <c r="H37" s="2485"/>
      <c r="I37" s="2486"/>
    </row>
    <row r="38" spans="2:9" ht="16.5" customHeight="1" x14ac:dyDescent="0.2">
      <c r="B38" s="1444" t="s">
        <v>2100</v>
      </c>
      <c r="C38" s="2472" t="s">
        <v>2132</v>
      </c>
      <c r="D38" s="2473"/>
      <c r="E38" s="2473"/>
      <c r="F38" s="2474"/>
      <c r="G38" s="2487">
        <v>256905</v>
      </c>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90" t="s">
        <v>1675</v>
      </c>
      <c r="D43" s="2491"/>
      <c r="E43" s="2491"/>
      <c r="F43" s="2492"/>
      <c r="G43" s="2493">
        <f>SUM(G38:I42)</f>
        <v>256905</v>
      </c>
      <c r="H43" s="2493"/>
      <c r="I43" s="2493"/>
    </row>
    <row r="44" spans="2:9" ht="12.75" customHeight="1" x14ac:dyDescent="0.2"/>
    <row r="45" spans="2:9" ht="12.75" customHeight="1" x14ac:dyDescent="0.2">
      <c r="B45" s="1435" t="s">
        <v>1949</v>
      </c>
      <c r="D45" s="2494">
        <v>937025</v>
      </c>
      <c r="E45" s="2495"/>
    </row>
    <row r="46" spans="2:9" ht="5.25" customHeight="1" x14ac:dyDescent="0.2">
      <c r="B46" s="1445"/>
      <c r="D46" s="1446"/>
      <c r="E46" s="1447"/>
    </row>
    <row r="47" spans="2:9" ht="12.75" customHeight="1" x14ac:dyDescent="0.2">
      <c r="B47" s="1300" t="s">
        <v>1676</v>
      </c>
      <c r="C47" s="1300"/>
      <c r="D47" s="1448">
        <f>+G43/D45</f>
        <v>0.27417091326271975</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t="s">
        <v>2079</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Forest Park SD 91</v>
      </c>
      <c r="C1" s="2476"/>
      <c r="D1" s="2476"/>
      <c r="E1" s="2476"/>
      <c r="F1" s="2476"/>
      <c r="G1" s="2476"/>
      <c r="H1" s="2476"/>
      <c r="I1" s="2476"/>
      <c r="J1" s="2476"/>
      <c r="K1" s="2476"/>
      <c r="L1" s="1374"/>
      <c r="M1" s="1374"/>
    </row>
    <row r="2" spans="1:13" ht="12" customHeight="1" x14ac:dyDescent="0.2">
      <c r="B2" s="2478">
        <f>'Single Audit Cover'!E7</f>
        <v>6016091002</v>
      </c>
      <c r="C2" s="2478"/>
      <c r="D2" s="2478"/>
      <c r="E2" s="2478"/>
      <c r="F2" s="2478"/>
      <c r="G2" s="2478"/>
      <c r="H2" s="2478"/>
      <c r="I2" s="2478"/>
      <c r="J2" s="2478"/>
      <c r="K2" s="2478"/>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2094</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Forest Park SD 91</v>
      </c>
      <c r="C1" s="2503"/>
      <c r="D1" s="2503"/>
      <c r="E1" s="2503"/>
      <c r="F1" s="2503"/>
      <c r="G1" s="2503"/>
      <c r="H1" s="2503"/>
      <c r="I1" s="2503"/>
      <c r="J1" s="2503"/>
      <c r="K1" s="2503"/>
      <c r="L1" s="1465"/>
    </row>
    <row r="2" spans="1:12" ht="12.75" customHeight="1" x14ac:dyDescent="0.2">
      <c r="B2" s="2504">
        <f>'Single Audit Cover'!E7</f>
        <v>6016091002</v>
      </c>
      <c r="C2" s="2504"/>
      <c r="D2" s="2504"/>
      <c r="E2" s="2504"/>
      <c r="F2" s="2504"/>
      <c r="G2" s="2504"/>
      <c r="H2" s="2504"/>
      <c r="I2" s="2504"/>
      <c r="J2" s="2504"/>
      <c r="K2" s="2504"/>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2094</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3" sqref="C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Forest Park SD 91</v>
      </c>
      <c r="C1" s="2476"/>
      <c r="D1" s="2476"/>
      <c r="E1" s="1491"/>
    </row>
    <row r="2" spans="2:5" s="1282" customFormat="1" ht="12.75" customHeight="1" x14ac:dyDescent="0.2">
      <c r="B2" s="2478">
        <f>'Single Audit Cover'!E7</f>
        <v>6016091002</v>
      </c>
      <c r="C2" s="2478"/>
      <c r="D2" s="2478"/>
      <c r="E2" s="1492"/>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2094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359727513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3.0512000000000001E-2</v>
      </c>
      <c r="E10" s="356" t="s">
        <v>1062</v>
      </c>
      <c r="F10" s="355">
        <v>4.7609999999999996E-3</v>
      </c>
      <c r="G10" s="356" t="s">
        <v>1062</v>
      </c>
      <c r="H10" s="355">
        <v>8.7100000000000003E-4</v>
      </c>
      <c r="I10" s="356" t="s">
        <v>1063</v>
      </c>
      <c r="J10" s="1754">
        <f>ROUND(D10+F10+H10,5)</f>
        <v>3.6139999999999999E-2</v>
      </c>
      <c r="K10" s="222"/>
      <c r="L10" s="355">
        <v>4.3300000000000001E-4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17725565</v>
      </c>
      <c r="E16" s="356"/>
      <c r="F16" s="1755">
        <f>SUM('Acct Summary 7-8'!C17,'Acct Summary 7-8'!D17,'Acct Summary 7-8'!F17)</f>
        <v>17090454</v>
      </c>
      <c r="G16" s="356"/>
      <c r="H16" s="1755">
        <f>SUM(D16-F16)</f>
        <v>635111</v>
      </c>
      <c r="I16" s="222"/>
      <c r="J16" s="1755">
        <f>SUM('Acct Summary 7-8'!C81,'Acct Summary 7-8'!D81,'Acct Summary 7-8'!F81,'Acct Summary 7-8'!I81)</f>
        <v>19989489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607</v>
      </c>
      <c r="D31" s="237" t="s">
        <v>1132</v>
      </c>
      <c r="E31" s="222"/>
      <c r="F31" s="222"/>
      <c r="G31" s="363"/>
      <c r="H31" s="1757">
        <f>IF(B31="X",(J7*0.069),IF(B32="X",(J7*0.138),"Enter x in a.or b."))</f>
        <v>24821198.397000004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Forest Park SD 91</v>
      </c>
      <c r="E7" s="391"/>
      <c r="G7" s="252"/>
      <c r="H7" s="387"/>
      <c r="I7" s="387"/>
      <c r="J7" s="387"/>
      <c r="K7" s="387"/>
      <c r="L7" s="329"/>
      <c r="M7" s="329"/>
      <c r="N7" s="329"/>
      <c r="O7" s="329"/>
      <c r="P7" s="329"/>
    </row>
    <row r="8" spans="1:18" ht="12.75" x14ac:dyDescent="0.2">
      <c r="A8" s="329"/>
      <c r="B8" s="329"/>
      <c r="C8" s="389" t="s">
        <v>1187</v>
      </c>
      <c r="D8" s="392">
        <f>COVER!A13</f>
        <v>6016091002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19989489</v>
      </c>
      <c r="I12" s="404"/>
      <c r="J12" s="404"/>
      <c r="K12" s="405">
        <f>TRUNC((H12/H13*100000),5)/100000</f>
        <v>1.1277208371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17725565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17090454</v>
      </c>
      <c r="I17" s="404"/>
      <c r="J17" s="416"/>
      <c r="K17" s="405">
        <f>TRUNC((H17/H18*100000),5)/100000</f>
        <v>0.96416977390000003</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17725565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20193702</v>
      </c>
      <c r="I24" s="422"/>
      <c r="J24" s="422"/>
      <c r="K24" s="423">
        <f>TRUNC(((H24/H25*100000)/100000),2)</f>
        <v>425.36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47473.483330000003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11050469.47185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24821198.397000004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1" activePane="bottomLeft" state="frozen"/>
      <selection activeCell="A47" sqref="A47"/>
      <selection pane="bottomLeft" activeCell="K4" sqref="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16025333</v>
      </c>
      <c r="D4" s="466">
        <v>2136268</v>
      </c>
      <c r="E4" s="466">
        <v>93963</v>
      </c>
      <c r="F4" s="466">
        <v>1390044</v>
      </c>
      <c r="G4" s="466">
        <v>1052291</v>
      </c>
      <c r="H4" s="466">
        <v>2034</v>
      </c>
      <c r="I4" s="466">
        <v>642057</v>
      </c>
      <c r="J4" s="467">
        <v>871404</v>
      </c>
      <c r="K4" s="466">
        <v>788678</v>
      </c>
      <c r="L4" s="466">
        <v>2802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16025333</v>
      </c>
      <c r="D13" s="1759">
        <f t="shared" ref="D13:L13" si="0">SUM(D4:D12)</f>
        <v>2136268</v>
      </c>
      <c r="E13" s="1759">
        <f t="shared" si="0"/>
        <v>93963</v>
      </c>
      <c r="F13" s="1759">
        <f t="shared" si="0"/>
        <v>1390044</v>
      </c>
      <c r="G13" s="1759">
        <f t="shared" si="0"/>
        <v>1052291</v>
      </c>
      <c r="H13" s="1759">
        <f t="shared" si="0"/>
        <v>2034</v>
      </c>
      <c r="I13" s="1759">
        <f t="shared" si="0"/>
        <v>642057</v>
      </c>
      <c r="J13" s="1759">
        <f t="shared" si="0"/>
        <v>871404</v>
      </c>
      <c r="K13" s="1759">
        <f t="shared" si="0"/>
        <v>788678</v>
      </c>
      <c r="L13" s="1759">
        <f t="shared" si="0"/>
        <v>2802</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296250</v>
      </c>
      <c r="N16" s="484"/>
    </row>
    <row r="17" spans="1:14" s="485" customFormat="1" ht="12.75" customHeight="1" x14ac:dyDescent="0.2">
      <c r="A17" s="482" t="s">
        <v>1470</v>
      </c>
      <c r="B17" s="483">
        <v>230</v>
      </c>
      <c r="C17" s="477"/>
      <c r="D17" s="477"/>
      <c r="E17" s="477"/>
      <c r="F17" s="477"/>
      <c r="G17" s="477"/>
      <c r="H17" s="477"/>
      <c r="I17" s="477"/>
      <c r="J17" s="477"/>
      <c r="K17" s="477"/>
      <c r="L17" s="477"/>
      <c r="M17" s="467">
        <v>20483245</v>
      </c>
      <c r="N17" s="484"/>
    </row>
    <row r="18" spans="1:14" s="485" customFormat="1" ht="12.75" customHeight="1" x14ac:dyDescent="0.2">
      <c r="A18" s="482" t="s">
        <v>1471</v>
      </c>
      <c r="B18" s="483">
        <v>240</v>
      </c>
      <c r="C18" s="477"/>
      <c r="D18" s="477"/>
      <c r="E18" s="477"/>
      <c r="F18" s="477"/>
      <c r="G18" s="477"/>
      <c r="H18" s="477"/>
      <c r="I18" s="477"/>
      <c r="J18" s="477"/>
      <c r="K18" s="477"/>
      <c r="L18" s="477"/>
      <c r="M18" s="467">
        <v>714508</v>
      </c>
      <c r="N18" s="484"/>
    </row>
    <row r="19" spans="1:14" s="485" customFormat="1" ht="12.75" customHeight="1" x14ac:dyDescent="0.2">
      <c r="A19" s="482" t="s">
        <v>1472</v>
      </c>
      <c r="B19" s="483">
        <v>250</v>
      </c>
      <c r="C19" s="477"/>
      <c r="D19" s="477"/>
      <c r="E19" s="477"/>
      <c r="F19" s="477"/>
      <c r="G19" s="477"/>
      <c r="H19" s="477"/>
      <c r="I19" s="477"/>
      <c r="J19" s="477"/>
      <c r="K19" s="477"/>
      <c r="L19" s="477"/>
      <c r="M19" s="467">
        <v>2817229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24311232</v>
      </c>
      <c r="N23" s="1710">
        <f>SUM(N21:N22)</f>
        <v>0</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188370</v>
      </c>
      <c r="D31" s="467">
        <v>12981</v>
      </c>
      <c r="E31" s="467"/>
      <c r="F31" s="466">
        <v>2862</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2802</v>
      </c>
      <c r="M33" s="468"/>
      <c r="N33" s="469"/>
    </row>
    <row r="34" spans="1:14" ht="13.5" customHeight="1" thickBot="1" x14ac:dyDescent="0.25">
      <c r="A34" s="1760" t="s">
        <v>675</v>
      </c>
      <c r="B34" s="1761"/>
      <c r="C34" s="1762">
        <f>SUM(C25:C33)</f>
        <v>188370</v>
      </c>
      <c r="D34" s="1762">
        <f t="shared" ref="D34:K34" si="1">SUM(D25:D33)</f>
        <v>12981</v>
      </c>
      <c r="E34" s="1762">
        <f t="shared" si="1"/>
        <v>0</v>
      </c>
      <c r="F34" s="1762">
        <f t="shared" si="1"/>
        <v>2862</v>
      </c>
      <c r="G34" s="1762">
        <f t="shared" si="1"/>
        <v>0</v>
      </c>
      <c r="H34" s="1762">
        <f t="shared" si="1"/>
        <v>0</v>
      </c>
      <c r="I34" s="1762">
        <f t="shared" si="1"/>
        <v>0</v>
      </c>
      <c r="J34" s="1762">
        <f t="shared" si="1"/>
        <v>0</v>
      </c>
      <c r="K34" s="1762">
        <f t="shared" si="1"/>
        <v>0</v>
      </c>
      <c r="L34" s="1743">
        <f>SUM(L33)</f>
        <v>2802</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v>93963</v>
      </c>
      <c r="F38" s="466"/>
      <c r="G38" s="466"/>
      <c r="H38" s="466"/>
      <c r="I38" s="466"/>
      <c r="J38" s="467"/>
      <c r="K38" s="466"/>
      <c r="L38" s="481"/>
      <c r="M38" s="497"/>
      <c r="N38" s="497"/>
    </row>
    <row r="39" spans="1:14" s="329" customFormat="1" ht="13.5" customHeight="1" x14ac:dyDescent="0.2">
      <c r="A39" s="496" t="s">
        <v>360</v>
      </c>
      <c r="B39" s="483">
        <v>730</v>
      </c>
      <c r="C39" s="466">
        <v>15836963</v>
      </c>
      <c r="D39" s="466">
        <v>2123287</v>
      </c>
      <c r="E39" s="466"/>
      <c r="F39" s="466">
        <v>1387182</v>
      </c>
      <c r="G39" s="466">
        <v>1052291</v>
      </c>
      <c r="H39" s="466">
        <v>2034</v>
      </c>
      <c r="I39" s="466">
        <v>642057</v>
      </c>
      <c r="J39" s="467">
        <v>871404</v>
      </c>
      <c r="K39" s="466">
        <v>788678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24311232</v>
      </c>
      <c r="N40" s="497"/>
    </row>
    <row r="41" spans="1:14" ht="13.5" customHeight="1" thickBot="1" x14ac:dyDescent="0.25">
      <c r="A41" s="1758" t="s">
        <v>676</v>
      </c>
      <c r="B41" s="1728"/>
      <c r="C41" s="1710">
        <f>(SUM(C34,C37,C38,C39))</f>
        <v>16025333</v>
      </c>
      <c r="D41" s="1710">
        <f t="shared" ref="D41:L41" si="2">SUM(D34,D37,D38:D39)</f>
        <v>2136268</v>
      </c>
      <c r="E41" s="1710">
        <f t="shared" si="2"/>
        <v>93963</v>
      </c>
      <c r="F41" s="1710">
        <f t="shared" si="2"/>
        <v>1390044</v>
      </c>
      <c r="G41" s="1710">
        <f t="shared" si="2"/>
        <v>1052291</v>
      </c>
      <c r="H41" s="1710">
        <f t="shared" si="2"/>
        <v>2034</v>
      </c>
      <c r="I41" s="1710">
        <f t="shared" si="2"/>
        <v>642057</v>
      </c>
      <c r="J41" s="1710">
        <f t="shared" si="2"/>
        <v>871404</v>
      </c>
      <c r="K41" s="1710">
        <f t="shared" si="2"/>
        <v>788678</v>
      </c>
      <c r="L41" s="1710">
        <f t="shared" si="2"/>
        <v>2802</v>
      </c>
      <c r="M41" s="1710">
        <f>SUM(M40)</f>
        <v>24311232</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1" activePane="bottomLeft" state="frozenSplit"/>
      <selection activeCell="A47" sqref="A47"/>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4" t="s">
        <v>1579</v>
      </c>
      <c r="B4" s="1955">
        <v>1000</v>
      </c>
      <c r="C4" s="1764">
        <f>'Revenues 9-14'!C109</f>
        <v>12092962</v>
      </c>
      <c r="D4" s="1764">
        <f>'Revenues 9-14'!D109</f>
        <v>1824384</v>
      </c>
      <c r="E4" s="1764">
        <f>'Revenues 9-14'!E109</f>
        <v>869</v>
      </c>
      <c r="F4" s="1764">
        <f>'Revenues 9-14'!F109</f>
        <v>510510</v>
      </c>
      <c r="G4" s="1764">
        <f>'Revenues 9-14'!G109</f>
        <v>791415</v>
      </c>
      <c r="H4" s="1764">
        <f>'Revenues 9-14'!H109</f>
        <v>19</v>
      </c>
      <c r="I4" s="1764">
        <f>'Revenues 9-14'!I109</f>
        <v>154247</v>
      </c>
      <c r="J4" s="1764">
        <f>'Revenues 9-14'!J109</f>
        <v>247337</v>
      </c>
      <c r="K4" s="1764">
        <f>'Revenues 9-14'!K109</f>
        <v>7298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1921143</v>
      </c>
      <c r="D6" s="1765">
        <f>'Revenues 9-14'!D173</f>
        <v>0</v>
      </c>
      <c r="E6" s="1765">
        <f>'Revenues 9-14'!E173</f>
        <v>0</v>
      </c>
      <c r="F6" s="1765">
        <f>'Revenues 9-14'!F173</f>
        <v>290362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931957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14946062</v>
      </c>
      <c r="D8" s="1710">
        <f t="shared" ref="D8:K8" si="0">SUM(D4:D7)</f>
        <v>1824384</v>
      </c>
      <c r="E8" s="1710">
        <f t="shared" si="0"/>
        <v>869</v>
      </c>
      <c r="F8" s="1710">
        <f t="shared" si="0"/>
        <v>800872</v>
      </c>
      <c r="G8" s="1710">
        <f t="shared" si="0"/>
        <v>791415</v>
      </c>
      <c r="H8" s="1710">
        <f t="shared" si="0"/>
        <v>19</v>
      </c>
      <c r="I8" s="1710">
        <f t="shared" si="0"/>
        <v>154247</v>
      </c>
      <c r="J8" s="1710">
        <f t="shared" si="0"/>
        <v>247337</v>
      </c>
      <c r="K8" s="1710">
        <f t="shared" si="0"/>
        <v>7298</v>
      </c>
      <c r="L8" s="347"/>
    </row>
    <row r="9" spans="1:13" ht="15.75" thickTop="1" x14ac:dyDescent="0.2">
      <c r="A9" s="514" t="s">
        <v>1752</v>
      </c>
      <c r="B9" s="515">
        <v>3998</v>
      </c>
      <c r="C9" s="481">
        <v>5465976</v>
      </c>
      <c r="D9" s="516"/>
      <c r="E9" s="481"/>
      <c r="F9" s="481"/>
      <c r="G9" s="517"/>
      <c r="H9" s="481"/>
      <c r="I9" s="509" t="s">
        <v>1231</v>
      </c>
      <c r="J9" s="478"/>
      <c r="K9" s="481"/>
      <c r="L9" s="347"/>
    </row>
    <row r="10" spans="1:13" s="519" customFormat="1" ht="13.5" thickBot="1" x14ac:dyDescent="0.25">
      <c r="A10" s="1758" t="s">
        <v>1235</v>
      </c>
      <c r="B10" s="1731"/>
      <c r="C10" s="1710">
        <f>SUM(C8:C9)</f>
        <v>20412038</v>
      </c>
      <c r="D10" s="1710">
        <f t="shared" ref="D10:K10" si="1">SUM(D8:D9)</f>
        <v>1824384</v>
      </c>
      <c r="E10" s="1710">
        <f t="shared" si="1"/>
        <v>869</v>
      </c>
      <c r="F10" s="1710">
        <f t="shared" si="1"/>
        <v>800872</v>
      </c>
      <c r="G10" s="1710">
        <f t="shared" si="1"/>
        <v>791415</v>
      </c>
      <c r="H10" s="1710">
        <f t="shared" si="1"/>
        <v>19</v>
      </c>
      <c r="I10" s="1710">
        <f t="shared" si="1"/>
        <v>154247</v>
      </c>
      <c r="J10" s="1710">
        <f t="shared" si="1"/>
        <v>247337</v>
      </c>
      <c r="K10" s="1710">
        <f t="shared" si="1"/>
        <v>7298</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10101935</v>
      </c>
      <c r="D12" s="520" t="s">
        <v>1231</v>
      </c>
      <c r="E12" s="468" t="s">
        <v>1231</v>
      </c>
      <c r="F12" s="468" t="s">
        <v>1231</v>
      </c>
      <c r="G12" s="1764">
        <f>'Expenditures 15-22'!K229</f>
        <v>292112</v>
      </c>
      <c r="H12" s="521"/>
      <c r="I12" s="468" t="s">
        <v>1231</v>
      </c>
      <c r="J12" s="468" t="s">
        <v>1231</v>
      </c>
      <c r="K12" s="521" t="s">
        <v>1231</v>
      </c>
      <c r="L12" s="347"/>
    </row>
    <row r="13" spans="1:13" ht="15.75" customHeight="1" x14ac:dyDescent="0.2">
      <c r="A13" s="1598" t="s">
        <v>477</v>
      </c>
      <c r="B13" s="1600">
        <v>2000</v>
      </c>
      <c r="C13" s="1765">
        <f>'Expenditures 15-22'!K74</f>
        <v>4063692</v>
      </c>
      <c r="D13" s="1765">
        <f>'Expenditures 15-22'!K129</f>
        <v>1803258</v>
      </c>
      <c r="E13" s="469" t="s">
        <v>1231</v>
      </c>
      <c r="F13" s="1765">
        <f>'Expenditures 15-22'!K184</f>
        <v>331837</v>
      </c>
      <c r="G13" s="1765">
        <f>'Expenditures 15-22'!K279</f>
        <v>417940</v>
      </c>
      <c r="H13" s="1765">
        <f>'Expenditures 15-22'!K303</f>
        <v>0</v>
      </c>
      <c r="I13" s="468" t="s">
        <v>1231</v>
      </c>
      <c r="J13" s="1765">
        <f>'Expenditures 15-22'!K330</f>
        <v>188009</v>
      </c>
      <c r="K13" s="1769">
        <f>'Expenditures 15-22'!K352</f>
        <v>0</v>
      </c>
      <c r="L13" s="347"/>
    </row>
    <row r="14" spans="1:13" ht="15.75" customHeight="1" x14ac:dyDescent="0.2">
      <c r="A14" s="1598" t="s">
        <v>469</v>
      </c>
      <c r="B14" s="1600">
        <v>3000</v>
      </c>
      <c r="C14" s="1765">
        <f>'Expenditures 15-22'!K75</f>
        <v>43318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746414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14955359</v>
      </c>
      <c r="D17" s="1710">
        <f t="shared" si="2"/>
        <v>1803258</v>
      </c>
      <c r="E17" s="1710">
        <f t="shared" si="2"/>
        <v>0</v>
      </c>
      <c r="F17" s="1710">
        <f t="shared" si="2"/>
        <v>331837</v>
      </c>
      <c r="G17" s="1710">
        <f t="shared" si="2"/>
        <v>710052</v>
      </c>
      <c r="H17" s="1710">
        <f t="shared" si="2"/>
        <v>0</v>
      </c>
      <c r="I17" s="468"/>
      <c r="J17" s="1710">
        <f>SUM(J12:J16)</f>
        <v>188009</v>
      </c>
      <c r="K17" s="1710">
        <f>SUM(K12:K16)</f>
        <v>0</v>
      </c>
      <c r="L17" s="347"/>
    </row>
    <row r="18" spans="1:12" ht="15" customHeight="1" thickTop="1" x14ac:dyDescent="0.2">
      <c r="A18" s="1766" t="s">
        <v>1753</v>
      </c>
      <c r="B18" s="1767">
        <v>4180</v>
      </c>
      <c r="C18" s="1764">
        <f t="shared" ref="C18:H18" si="3">C9</f>
        <v>5465976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20421335</v>
      </c>
      <c r="D19" s="1710">
        <f t="shared" si="4"/>
        <v>1803258</v>
      </c>
      <c r="E19" s="1710">
        <f t="shared" si="4"/>
        <v>0</v>
      </c>
      <c r="F19" s="1710">
        <f t="shared" si="4"/>
        <v>331837</v>
      </c>
      <c r="G19" s="1710">
        <f t="shared" si="4"/>
        <v>710052</v>
      </c>
      <c r="H19" s="1710">
        <f t="shared" si="4"/>
        <v>0</v>
      </c>
      <c r="I19" s="468"/>
      <c r="J19" s="1710">
        <f>SUM(J17:J18)</f>
        <v>188009</v>
      </c>
      <c r="K19" s="1710">
        <f>SUM(K17:K18)</f>
        <v>0</v>
      </c>
      <c r="L19" s="347"/>
    </row>
    <row r="20" spans="1:12" ht="16.5" thickTop="1" thickBot="1" x14ac:dyDescent="0.25">
      <c r="A20" s="2149" t="s">
        <v>1754</v>
      </c>
      <c r="B20" s="2150"/>
      <c r="C20" s="1768">
        <f>C8-C17</f>
        <v>-9297</v>
      </c>
      <c r="D20" s="1768">
        <f t="shared" ref="D20:K20" si="5">D8-D17</f>
        <v>21126</v>
      </c>
      <c r="E20" s="1768">
        <f t="shared" si="5"/>
        <v>869</v>
      </c>
      <c r="F20" s="1768">
        <f t="shared" si="5"/>
        <v>469035</v>
      </c>
      <c r="G20" s="1768">
        <f t="shared" si="5"/>
        <v>81363</v>
      </c>
      <c r="H20" s="1768">
        <f t="shared" si="5"/>
        <v>19</v>
      </c>
      <c r="I20" s="1768">
        <f t="shared" si="5"/>
        <v>154247</v>
      </c>
      <c r="J20" s="1768">
        <f t="shared" si="5"/>
        <v>59328</v>
      </c>
      <c r="K20" s="1768">
        <f t="shared" si="5"/>
        <v>7298</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1" t="s">
        <v>1239</v>
      </c>
      <c r="B77" s="2142"/>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5" t="s">
        <v>618</v>
      </c>
      <c r="B78" s="2146"/>
      <c r="C78" s="1724">
        <f t="shared" ref="C78:K78" si="9">C20+C77</f>
        <v>-9297</v>
      </c>
      <c r="D78" s="1724">
        <f t="shared" si="9"/>
        <v>21126</v>
      </c>
      <c r="E78" s="1724">
        <f t="shared" si="9"/>
        <v>869</v>
      </c>
      <c r="F78" s="1724">
        <f t="shared" si="9"/>
        <v>469035</v>
      </c>
      <c r="G78" s="1724">
        <f t="shared" si="9"/>
        <v>81363</v>
      </c>
      <c r="H78" s="1724">
        <f t="shared" si="9"/>
        <v>19</v>
      </c>
      <c r="I78" s="1724">
        <f t="shared" si="9"/>
        <v>154247</v>
      </c>
      <c r="J78" s="1724">
        <f t="shared" si="9"/>
        <v>59328</v>
      </c>
      <c r="K78" s="1724">
        <f t="shared" si="9"/>
        <v>7298</v>
      </c>
      <c r="L78" s="533"/>
    </row>
    <row r="79" spans="1:12" ht="13.5" thickTop="1" x14ac:dyDescent="0.2">
      <c r="A79" s="1516" t="s">
        <v>2070</v>
      </c>
      <c r="B79" s="534"/>
      <c r="C79" s="478">
        <v>15846260</v>
      </c>
      <c r="D79" s="535">
        <v>2102161</v>
      </c>
      <c r="E79" s="535">
        <v>93094</v>
      </c>
      <c r="F79" s="535">
        <v>918147</v>
      </c>
      <c r="G79" s="535">
        <v>970928</v>
      </c>
      <c r="H79" s="535">
        <v>2015</v>
      </c>
      <c r="I79" s="535">
        <v>487810</v>
      </c>
      <c r="J79" s="535">
        <v>812076</v>
      </c>
      <c r="K79" s="535">
        <v>781380</v>
      </c>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2071</v>
      </c>
      <c r="B81" s="2144"/>
      <c r="C81" s="1710">
        <f>(SUM(C78:C80))</f>
        <v>15836963</v>
      </c>
      <c r="D81" s="1710">
        <f>SUM(D78:D80)</f>
        <v>2123287</v>
      </c>
      <c r="E81" s="1710">
        <f t="shared" ref="E81:K81" si="10">SUM(E78:E80)</f>
        <v>93963</v>
      </c>
      <c r="F81" s="1710">
        <f t="shared" si="10"/>
        <v>1387182</v>
      </c>
      <c r="G81" s="1710">
        <f t="shared" si="10"/>
        <v>1052291</v>
      </c>
      <c r="H81" s="1710">
        <f t="shared" si="10"/>
        <v>2034</v>
      </c>
      <c r="I81" s="1710">
        <f t="shared" si="10"/>
        <v>642057</v>
      </c>
      <c r="J81" s="1710">
        <f t="shared" si="10"/>
        <v>871404</v>
      </c>
      <c r="K81" s="1710">
        <f t="shared" si="10"/>
        <v>788678</v>
      </c>
      <c r="L81" s="347"/>
    </row>
    <row r="82" spans="1:12" ht="0.75" customHeight="1" thickTop="1" thickBot="1" x14ac:dyDescent="0.25">
      <c r="A82" s="536" t="s">
        <v>361</v>
      </c>
      <c r="B82" s="537"/>
      <c r="C82" s="538">
        <f>(C81-C79)</f>
        <v>-9297</v>
      </c>
      <c r="D82" s="538">
        <f t="shared" ref="D82:K82" si="11">(D81-D79)</f>
        <v>21126</v>
      </c>
      <c r="E82" s="538">
        <f t="shared" si="11"/>
        <v>869</v>
      </c>
      <c r="F82" s="538">
        <f t="shared" si="11"/>
        <v>469035</v>
      </c>
      <c r="G82" s="538">
        <f t="shared" si="11"/>
        <v>81363</v>
      </c>
      <c r="H82" s="538">
        <f t="shared" si="11"/>
        <v>19</v>
      </c>
      <c r="I82" s="538">
        <f t="shared" si="11"/>
        <v>154247</v>
      </c>
      <c r="J82" s="538">
        <f t="shared" si="11"/>
        <v>59328</v>
      </c>
      <c r="K82" s="538">
        <f t="shared" si="11"/>
        <v>7298</v>
      </c>
    </row>
    <row r="83" spans="1:12" ht="14.25" hidden="1" thickTop="1" thickBot="1" x14ac:dyDescent="0.25">
      <c r="A83" s="539" t="s">
        <v>362</v>
      </c>
      <c r="B83" s="464"/>
      <c r="C83" s="540">
        <f>C82/C81</f>
        <v>-5.8704437208068234E-4</v>
      </c>
      <c r="D83" s="540">
        <f t="shared" ref="D83:K83" si="12">D82/D81</f>
        <v>9.9496676615078421E-3</v>
      </c>
      <c r="E83" s="540">
        <f t="shared" si="12"/>
        <v>9.248321147685791E-3</v>
      </c>
      <c r="F83" s="540">
        <f t="shared" si="12"/>
        <v>0.33812073686077243</v>
      </c>
      <c r="G83" s="540">
        <f t="shared" si="12"/>
        <v>7.7319866842917029E-2</v>
      </c>
      <c r="H83" s="540">
        <f t="shared" si="12"/>
        <v>9.3411996066863328E-3</v>
      </c>
      <c r="I83" s="540">
        <f t="shared" si="12"/>
        <v>0.24023879499795189</v>
      </c>
      <c r="J83" s="540">
        <f t="shared" si="12"/>
        <v>6.8083231199305941E-2</v>
      </c>
      <c r="K83" s="540">
        <f t="shared" si="12"/>
        <v>9.2534595868022183E-3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10341851</v>
      </c>
      <c r="D5" s="481">
        <v>1618935</v>
      </c>
      <c r="E5" s="466"/>
      <c r="F5" s="548">
        <v>499946</v>
      </c>
      <c r="G5" s="466">
        <v>381053</v>
      </c>
      <c r="H5" s="466"/>
      <c r="I5" s="466">
        <v>149259</v>
      </c>
      <c r="J5" s="467">
        <v>239808</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1192964</v>
      </c>
      <c r="D7" s="466"/>
      <c r="E7" s="468"/>
      <c r="F7" s="467"/>
      <c r="G7" s="467"/>
      <c r="H7" s="467"/>
      <c r="I7" s="468"/>
      <c r="J7" s="468"/>
      <c r="K7" s="468"/>
    </row>
    <row r="8" spans="1:12" x14ac:dyDescent="0.2">
      <c r="A8" s="463" t="s">
        <v>433</v>
      </c>
      <c r="B8" s="470">
        <v>1150</v>
      </c>
      <c r="C8" s="475"/>
      <c r="D8" s="475"/>
      <c r="E8" s="477"/>
      <c r="F8" s="477"/>
      <c r="G8" s="481">
        <v>381053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11534815</v>
      </c>
      <c r="D12" s="1729">
        <f t="shared" si="0"/>
        <v>1618935</v>
      </c>
      <c r="E12" s="1729">
        <f t="shared" si="0"/>
        <v>0</v>
      </c>
      <c r="F12" s="1729">
        <f t="shared" si="0"/>
        <v>499946</v>
      </c>
      <c r="G12" s="1729">
        <f t="shared" si="0"/>
        <v>762106</v>
      </c>
      <c r="H12" s="1729">
        <f t="shared" si="0"/>
        <v>0</v>
      </c>
      <c r="I12" s="1729">
        <f t="shared" si="0"/>
        <v>149259</v>
      </c>
      <c r="J12" s="1729">
        <f t="shared" si="0"/>
        <v>239808</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141133</v>
      </c>
      <c r="D16" s="466">
        <v>94088</v>
      </c>
      <c r="E16" s="466"/>
      <c r="F16" s="466"/>
      <c r="G16" s="466">
        <v>19689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141133</v>
      </c>
      <c r="D18" s="1732">
        <f t="shared" ref="D18:K18" si="1">SUM(D14:D17)</f>
        <v>94088</v>
      </c>
      <c r="E18" s="1732">
        <f t="shared" si="1"/>
        <v>0</v>
      </c>
      <c r="F18" s="1732">
        <f t="shared" si="1"/>
        <v>0</v>
      </c>
      <c r="G18" s="1732">
        <f t="shared" si="1"/>
        <v>19689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159690</v>
      </c>
      <c r="D65" s="466">
        <v>20394</v>
      </c>
      <c r="E65" s="466">
        <v>869</v>
      </c>
      <c r="F65" s="467">
        <v>10564</v>
      </c>
      <c r="G65" s="466">
        <v>9620</v>
      </c>
      <c r="H65" s="466">
        <v>19</v>
      </c>
      <c r="I65" s="466">
        <v>4988</v>
      </c>
      <c r="J65" s="467">
        <v>7529</v>
      </c>
      <c r="K65" s="466">
        <v>7298</v>
      </c>
    </row>
    <row r="66" spans="1:11" ht="12.75" customHeight="1" x14ac:dyDescent="0.2">
      <c r="A66" s="463" t="s">
        <v>700</v>
      </c>
      <c r="B66" s="470">
        <v>1520</v>
      </c>
      <c r="C66" s="466">
        <v>18721</v>
      </c>
      <c r="D66" s="466"/>
      <c r="E66" s="466"/>
      <c r="F66" s="466"/>
      <c r="G66" s="466"/>
      <c r="H66" s="466"/>
      <c r="I66" s="466"/>
      <c r="J66" s="467"/>
      <c r="K66" s="466"/>
    </row>
    <row r="67" spans="1:11" ht="12.75" customHeight="1" thickBot="1" x14ac:dyDescent="0.25">
      <c r="A67" s="1730" t="s">
        <v>507</v>
      </c>
      <c r="B67" s="1731"/>
      <c r="C67" s="1710">
        <f>SUM(C65:C66)</f>
        <v>178411</v>
      </c>
      <c r="D67" s="1710">
        <f t="shared" ref="D67:K67" si="2">SUM(D65:D66)</f>
        <v>20394</v>
      </c>
      <c r="E67" s="1710">
        <f t="shared" si="2"/>
        <v>869</v>
      </c>
      <c r="F67" s="1710">
        <f t="shared" si="2"/>
        <v>10564</v>
      </c>
      <c r="G67" s="1710">
        <f t="shared" si="2"/>
        <v>9620</v>
      </c>
      <c r="H67" s="1710">
        <f t="shared" si="2"/>
        <v>19</v>
      </c>
      <c r="I67" s="1710">
        <f t="shared" si="2"/>
        <v>4988</v>
      </c>
      <c r="J67" s="1710">
        <f t="shared" si="2"/>
        <v>7529</v>
      </c>
      <c r="K67" s="1710">
        <f t="shared" si="2"/>
        <v>7298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41248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41248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2576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7030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9606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648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187101</v>
      </c>
      <c r="D107" s="466">
        <v>90967</v>
      </c>
      <c r="E107" s="466"/>
      <c r="F107" s="466"/>
      <c r="G107" s="466"/>
      <c r="H107" s="466"/>
      <c r="I107" s="466"/>
      <c r="J107" s="467"/>
      <c r="K107" s="466"/>
    </row>
    <row r="108" spans="1:12" ht="12.75" customHeight="1" thickBot="1" x14ac:dyDescent="0.25">
      <c r="A108" s="1730" t="s">
        <v>508</v>
      </c>
      <c r="B108" s="1734"/>
      <c r="C108" s="1729">
        <f>SUM(C95:C107)</f>
        <v>187749</v>
      </c>
      <c r="D108" s="1729">
        <f t="shared" ref="D108:K108" si="3">SUM(D95:D107)</f>
        <v>90967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12092962</v>
      </c>
      <c r="D109" s="1737">
        <f t="shared" si="4"/>
        <v>1824384</v>
      </c>
      <c r="E109" s="1737">
        <f t="shared" si="4"/>
        <v>869</v>
      </c>
      <c r="F109" s="1737">
        <f t="shared" si="4"/>
        <v>510510</v>
      </c>
      <c r="G109" s="1737">
        <f t="shared" si="4"/>
        <v>791415</v>
      </c>
      <c r="H109" s="1737">
        <f t="shared" si="4"/>
        <v>19</v>
      </c>
      <c r="I109" s="1737">
        <f t="shared" si="4"/>
        <v>154247</v>
      </c>
      <c r="J109" s="1737">
        <f t="shared" si="4"/>
        <v>247337</v>
      </c>
      <c r="K109" s="1724">
        <f t="shared" si="4"/>
        <v>7298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1572449</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1572449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107994</v>
      </c>
      <c r="D124" s="561"/>
      <c r="E124" s="468"/>
      <c r="F124" s="548"/>
      <c r="G124" s="468"/>
      <c r="H124" s="468"/>
      <c r="I124" s="468"/>
      <c r="J124" s="468"/>
      <c r="K124" s="468"/>
    </row>
    <row r="125" spans="1:11" ht="12.75" customHeight="1" x14ac:dyDescent="0.2">
      <c r="A125" s="463" t="s">
        <v>1521</v>
      </c>
      <c r="B125" s="562">
        <v>3105</v>
      </c>
      <c r="C125" s="466">
        <v>56431</v>
      </c>
      <c r="D125" s="561"/>
      <c r="E125" s="468"/>
      <c r="F125" s="466"/>
      <c r="G125" s="468"/>
      <c r="H125" s="468"/>
      <c r="I125" s="468"/>
      <c r="J125" s="468"/>
      <c r="K125" s="468"/>
    </row>
    <row r="126" spans="1:11" ht="12.75" customHeight="1" x14ac:dyDescent="0.2">
      <c r="A126" s="463" t="s">
        <v>922</v>
      </c>
      <c r="B126" s="562">
        <v>3110</v>
      </c>
      <c r="C126" s="551">
        <v>174507</v>
      </c>
      <c r="D126" s="466"/>
      <c r="E126" s="468"/>
      <c r="F126" s="466"/>
      <c r="G126" s="468"/>
      <c r="H126" s="468"/>
      <c r="I126" s="468"/>
      <c r="J126" s="468"/>
      <c r="K126" s="468"/>
    </row>
    <row r="127" spans="1:11" ht="12.75" customHeight="1" x14ac:dyDescent="0.2">
      <c r="A127" s="463" t="s">
        <v>107</v>
      </c>
      <c r="B127" s="562">
        <v>3120</v>
      </c>
      <c r="C127" s="466">
        <v>2823</v>
      </c>
      <c r="D127" s="561"/>
      <c r="E127" s="468"/>
      <c r="F127" s="466"/>
      <c r="G127" s="468"/>
      <c r="H127" s="468"/>
      <c r="I127" s="468"/>
      <c r="J127" s="468"/>
      <c r="K127" s="468"/>
    </row>
    <row r="128" spans="1:11" ht="12.75" customHeight="1" x14ac:dyDescent="0.2">
      <c r="A128" s="463" t="s">
        <v>1522</v>
      </c>
      <c r="B128" s="562">
        <v>3130</v>
      </c>
      <c r="C128" s="466">
        <v>770</v>
      </c>
      <c r="D128" s="561"/>
      <c r="E128" s="468"/>
      <c r="F128" s="466"/>
      <c r="G128" s="468"/>
      <c r="H128" s="468"/>
      <c r="I128" s="468"/>
      <c r="J128" s="468"/>
      <c r="K128" s="468"/>
    </row>
    <row r="129" spans="1:11" ht="12.75" customHeight="1" x14ac:dyDescent="0.2">
      <c r="A129" s="463" t="s">
        <v>139</v>
      </c>
      <c r="B129" s="562">
        <v>3145</v>
      </c>
      <c r="C129" s="466">
        <v>2310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344835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769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769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3090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290362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290362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348694</v>
      </c>
      <c r="D172" s="1744">
        <f t="shared" si="6"/>
        <v>0</v>
      </c>
      <c r="E172" s="1744">
        <f t="shared" si="6"/>
        <v>0</v>
      </c>
      <c r="F172" s="1744">
        <f t="shared" si="6"/>
        <v>290362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1921143</v>
      </c>
      <c r="D173" s="1737">
        <f>SUM(D121,D172)</f>
        <v>0</v>
      </c>
      <c r="E173" s="1737">
        <f>SUM(E121,E172)</f>
        <v>0</v>
      </c>
      <c r="F173" s="1737">
        <f t="shared" ref="F173:K173" si="7">SUM(F121,F172)</f>
        <v>290362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187471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27716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215187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275698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275698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19907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237049</v>
      </c>
      <c r="D220" s="466"/>
      <c r="E220" s="468"/>
      <c r="F220" s="466"/>
      <c r="G220" s="466"/>
      <c r="H220" s="468"/>
      <c r="I220" s="468"/>
      <c r="J220" s="468"/>
      <c r="K220" s="468"/>
    </row>
    <row r="221" spans="1:11" ht="12.75" customHeight="1" x14ac:dyDescent="0.2">
      <c r="A221" s="463" t="s">
        <v>1114</v>
      </c>
      <c r="B221" s="470">
        <v>4625</v>
      </c>
      <c r="C221" s="551">
        <v>137989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394945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46127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931957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931957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14946062</v>
      </c>
      <c r="D275" s="1737">
        <f t="shared" si="12"/>
        <v>1824384</v>
      </c>
      <c r="E275" s="1737">
        <f t="shared" si="12"/>
        <v>869</v>
      </c>
      <c r="F275" s="1737">
        <f t="shared" si="12"/>
        <v>800872</v>
      </c>
      <c r="G275" s="1737">
        <f t="shared" si="12"/>
        <v>791415</v>
      </c>
      <c r="H275" s="1737">
        <f t="shared" si="12"/>
        <v>19</v>
      </c>
      <c r="I275" s="1737">
        <f t="shared" si="12"/>
        <v>154247</v>
      </c>
      <c r="J275" s="1737">
        <f t="shared" si="12"/>
        <v>247337</v>
      </c>
      <c r="K275" s="1724">
        <f t="shared" si="12"/>
        <v>7298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07" activePane="bottomLeft" state="frozen"/>
      <selection activeCell="A47" sqref="A47"/>
      <selection pane="bottomLeft" activeCell="L4" sqref="L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4363872</v>
      </c>
      <c r="D5" s="466">
        <v>821595</v>
      </c>
      <c r="E5" s="466">
        <v>384135</v>
      </c>
      <c r="F5" s="466">
        <v>334061</v>
      </c>
      <c r="G5" s="466">
        <v>21597</v>
      </c>
      <c r="H5" s="466"/>
      <c r="I5" s="467"/>
      <c r="J5" s="467"/>
      <c r="K5" s="1693">
        <f>SUM(C5:J5)</f>
        <v>5925260</v>
      </c>
      <c r="L5" s="466">
        <v>6497863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379157</v>
      </c>
      <c r="D7" s="467">
        <v>38609</v>
      </c>
      <c r="E7" s="467">
        <v>12690</v>
      </c>
      <c r="F7" s="467">
        <v>10714</v>
      </c>
      <c r="G7" s="467">
        <v>1118</v>
      </c>
      <c r="H7" s="467">
        <v>759</v>
      </c>
      <c r="I7" s="467"/>
      <c r="J7" s="467"/>
      <c r="K7" s="1693">
        <f t="shared" ref="K7:K32" si="0">SUM(C7:J7)</f>
        <v>443047</v>
      </c>
      <c r="L7" s="466">
        <v>568209</v>
      </c>
    </row>
    <row r="8" spans="1:14" x14ac:dyDescent="0.2">
      <c r="A8" s="1526" t="s">
        <v>166</v>
      </c>
      <c r="B8" s="615">
        <v>1200</v>
      </c>
      <c r="C8" s="466">
        <v>1575115</v>
      </c>
      <c r="D8" s="466">
        <v>181095</v>
      </c>
      <c r="E8" s="466">
        <v>240076</v>
      </c>
      <c r="F8" s="466">
        <v>21501</v>
      </c>
      <c r="G8" s="466"/>
      <c r="H8" s="466">
        <v>215387</v>
      </c>
      <c r="I8" s="467"/>
      <c r="J8" s="467"/>
      <c r="K8" s="1693">
        <f t="shared" si="0"/>
        <v>2233174</v>
      </c>
      <c r="L8" s="466">
        <v>2447458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505473</v>
      </c>
      <c r="D10" s="466">
        <v>181045</v>
      </c>
      <c r="E10" s="466"/>
      <c r="F10" s="466">
        <v>1673</v>
      </c>
      <c r="G10" s="466"/>
      <c r="H10" s="466"/>
      <c r="I10" s="467"/>
      <c r="J10" s="467"/>
      <c r="K10" s="1693">
        <f t="shared" si="0"/>
        <v>688191</v>
      </c>
      <c r="L10" s="466">
        <v>797915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397244</v>
      </c>
      <c r="D14" s="466">
        <v>2624</v>
      </c>
      <c r="E14" s="466">
        <v>3860</v>
      </c>
      <c r="F14" s="466">
        <v>7343</v>
      </c>
      <c r="G14" s="466"/>
      <c r="H14" s="466"/>
      <c r="I14" s="467"/>
      <c r="J14" s="467"/>
      <c r="K14" s="1693">
        <f t="shared" si="0"/>
        <v>411071</v>
      </c>
      <c r="L14" s="466">
        <v>476800</v>
      </c>
    </row>
    <row r="15" spans="1:14" x14ac:dyDescent="0.2">
      <c r="A15" s="1526" t="s">
        <v>1021</v>
      </c>
      <c r="B15" s="615">
        <v>1600</v>
      </c>
      <c r="C15" s="466">
        <v>51623</v>
      </c>
      <c r="D15" s="466"/>
      <c r="E15" s="466">
        <v>55250</v>
      </c>
      <c r="F15" s="466">
        <v>455</v>
      </c>
      <c r="G15" s="466"/>
      <c r="H15" s="466"/>
      <c r="I15" s="467"/>
      <c r="J15" s="467"/>
      <c r="K15" s="1693">
        <f t="shared" si="0"/>
        <v>107328</v>
      </c>
      <c r="L15" s="466">
        <v>95435</v>
      </c>
    </row>
    <row r="16" spans="1:14" x14ac:dyDescent="0.2">
      <c r="A16" s="1526" t="s">
        <v>1044</v>
      </c>
      <c r="B16" s="615" t="s">
        <v>444</v>
      </c>
      <c r="C16" s="466">
        <v>88808</v>
      </c>
      <c r="D16" s="466">
        <v>6872</v>
      </c>
      <c r="E16" s="466">
        <v>1135</v>
      </c>
      <c r="F16" s="466">
        <v>2133</v>
      </c>
      <c r="G16" s="466"/>
      <c r="H16" s="466"/>
      <c r="I16" s="467"/>
      <c r="J16" s="467"/>
      <c r="K16" s="1693">
        <f t="shared" si="0"/>
        <v>98948</v>
      </c>
      <c r="L16" s="466">
        <v>99418</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180061</v>
      </c>
      <c r="D18" s="466">
        <v>14071</v>
      </c>
      <c r="E18" s="466"/>
      <c r="F18" s="466">
        <v>784</v>
      </c>
      <c r="G18" s="466"/>
      <c r="H18" s="466"/>
      <c r="I18" s="467"/>
      <c r="J18" s="467"/>
      <c r="K18" s="1693">
        <f t="shared" si="0"/>
        <v>194916</v>
      </c>
      <c r="L18" s="466">
        <v>211155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v>665000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7541353</v>
      </c>
      <c r="D33" s="1692">
        <f t="shared" ref="D33:L33" si="1">SUM(D5:D32)</f>
        <v>1245911</v>
      </c>
      <c r="E33" s="1692">
        <f t="shared" si="1"/>
        <v>697146</v>
      </c>
      <c r="F33" s="1692">
        <f t="shared" si="1"/>
        <v>378664</v>
      </c>
      <c r="G33" s="1692">
        <f t="shared" si="1"/>
        <v>22715</v>
      </c>
      <c r="H33" s="1692">
        <f t="shared" si="1"/>
        <v>216146</v>
      </c>
      <c r="I33" s="1692">
        <f t="shared" si="1"/>
        <v>0</v>
      </c>
      <c r="J33" s="1692">
        <f t="shared" si="1"/>
        <v>0</v>
      </c>
      <c r="K33" s="1692">
        <f t="shared" si="1"/>
        <v>10101935</v>
      </c>
      <c r="L33" s="1692">
        <f t="shared" si="1"/>
        <v>11859253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294731</v>
      </c>
      <c r="D36" s="481">
        <v>28654</v>
      </c>
      <c r="E36" s="481"/>
      <c r="F36" s="481">
        <v>3807</v>
      </c>
      <c r="G36" s="481"/>
      <c r="H36" s="481"/>
      <c r="I36" s="467"/>
      <c r="J36" s="467"/>
      <c r="K36" s="1693">
        <f t="shared" ref="K36:K41" si="2">SUM(C36:J36)</f>
        <v>327192</v>
      </c>
      <c r="L36" s="466">
        <v>330192</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141178</v>
      </c>
      <c r="D38" s="466">
        <v>15770</v>
      </c>
      <c r="E38" s="466">
        <v>2696</v>
      </c>
      <c r="F38" s="466">
        <v>3626</v>
      </c>
      <c r="G38" s="466"/>
      <c r="H38" s="466"/>
      <c r="I38" s="467"/>
      <c r="J38" s="467"/>
      <c r="K38" s="1693">
        <f t="shared" si="2"/>
        <v>163270</v>
      </c>
      <c r="L38" s="466">
        <v>227311</v>
      </c>
    </row>
    <row r="39" spans="1:14" x14ac:dyDescent="0.2">
      <c r="A39" s="1526" t="s">
        <v>208</v>
      </c>
      <c r="B39" s="615">
        <v>2140</v>
      </c>
      <c r="C39" s="466">
        <v>89898</v>
      </c>
      <c r="D39" s="466">
        <v>6724</v>
      </c>
      <c r="E39" s="466">
        <v>679</v>
      </c>
      <c r="F39" s="466">
        <v>1840</v>
      </c>
      <c r="G39" s="466"/>
      <c r="H39" s="466"/>
      <c r="I39" s="467"/>
      <c r="J39" s="467"/>
      <c r="K39" s="1693">
        <f t="shared" si="2"/>
        <v>99141</v>
      </c>
      <c r="L39" s="466">
        <v>102289</v>
      </c>
    </row>
    <row r="40" spans="1:14" x14ac:dyDescent="0.2">
      <c r="A40" s="1526" t="s">
        <v>209</v>
      </c>
      <c r="B40" s="615">
        <v>2150</v>
      </c>
      <c r="C40" s="466">
        <v>102925</v>
      </c>
      <c r="D40" s="466">
        <v>14646</v>
      </c>
      <c r="E40" s="466">
        <v>500</v>
      </c>
      <c r="F40" s="466">
        <v>2094</v>
      </c>
      <c r="G40" s="466"/>
      <c r="H40" s="466"/>
      <c r="I40" s="467"/>
      <c r="J40" s="467"/>
      <c r="K40" s="1693">
        <f t="shared" si="2"/>
        <v>120165</v>
      </c>
      <c r="L40" s="466">
        <v>123281</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628732</v>
      </c>
      <c r="D42" s="1692">
        <f t="shared" ref="D42:L42" si="3">SUM(D36:D41)</f>
        <v>65794</v>
      </c>
      <c r="E42" s="1692">
        <f t="shared" si="3"/>
        <v>3875</v>
      </c>
      <c r="F42" s="1692">
        <f t="shared" si="3"/>
        <v>11367</v>
      </c>
      <c r="G42" s="1692">
        <f t="shared" si="3"/>
        <v>0</v>
      </c>
      <c r="H42" s="1692">
        <f t="shared" si="3"/>
        <v>0</v>
      </c>
      <c r="I42" s="1692">
        <f t="shared" si="3"/>
        <v>0</v>
      </c>
      <c r="J42" s="1692">
        <f t="shared" si="3"/>
        <v>0</v>
      </c>
      <c r="K42" s="1692">
        <f t="shared" si="3"/>
        <v>709768</v>
      </c>
      <c r="L42" s="1692">
        <f t="shared" si="3"/>
        <v>783073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106779</v>
      </c>
      <c r="D44" s="481">
        <v>2297</v>
      </c>
      <c r="E44" s="481">
        <v>103666</v>
      </c>
      <c r="F44" s="481">
        <v>2970</v>
      </c>
      <c r="G44" s="481"/>
      <c r="H44" s="481"/>
      <c r="I44" s="467"/>
      <c r="J44" s="467"/>
      <c r="K44" s="1694">
        <f>SUM(C44:J44)</f>
        <v>215712</v>
      </c>
      <c r="L44" s="481">
        <v>265061</v>
      </c>
    </row>
    <row r="45" spans="1:14" x14ac:dyDescent="0.2">
      <c r="A45" s="1526" t="s">
        <v>869</v>
      </c>
      <c r="B45" s="615">
        <v>2220</v>
      </c>
      <c r="C45" s="466">
        <v>195309</v>
      </c>
      <c r="D45" s="466">
        <v>7908</v>
      </c>
      <c r="E45" s="466">
        <v>250</v>
      </c>
      <c r="F45" s="466">
        <v>37830</v>
      </c>
      <c r="G45" s="466"/>
      <c r="H45" s="466"/>
      <c r="I45" s="467"/>
      <c r="J45" s="467"/>
      <c r="K45" s="1694">
        <f>SUM(C45:J45)</f>
        <v>241297</v>
      </c>
      <c r="L45" s="466">
        <v>269646</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302088</v>
      </c>
      <c r="D47" s="1692">
        <f t="shared" ref="D47:K47" si="4">SUM(D44:D46)</f>
        <v>10205</v>
      </c>
      <c r="E47" s="1692">
        <f t="shared" si="4"/>
        <v>103916</v>
      </c>
      <c r="F47" s="1692">
        <f t="shared" si="4"/>
        <v>40800</v>
      </c>
      <c r="G47" s="1692">
        <f t="shared" si="4"/>
        <v>0</v>
      </c>
      <c r="H47" s="1692">
        <f t="shared" si="4"/>
        <v>0</v>
      </c>
      <c r="I47" s="1692">
        <f t="shared" si="4"/>
        <v>0</v>
      </c>
      <c r="J47" s="1692">
        <f t="shared" si="4"/>
        <v>0</v>
      </c>
      <c r="K47" s="1692">
        <f t="shared" si="4"/>
        <v>457009</v>
      </c>
      <c r="L47" s="1692">
        <f>SUM(L44:L46)</f>
        <v>534707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78850</v>
      </c>
      <c r="D49" s="481"/>
      <c r="E49" s="481">
        <v>135956</v>
      </c>
      <c r="F49" s="481">
        <v>11090</v>
      </c>
      <c r="G49" s="481"/>
      <c r="H49" s="481">
        <v>5845</v>
      </c>
      <c r="I49" s="467"/>
      <c r="J49" s="467"/>
      <c r="K49" s="1694">
        <f>SUM(C49:J49)</f>
        <v>231741</v>
      </c>
      <c r="L49" s="481">
        <v>331464</v>
      </c>
    </row>
    <row r="50" spans="1:14" x14ac:dyDescent="0.2">
      <c r="A50" s="1526" t="s">
        <v>872</v>
      </c>
      <c r="B50" s="615">
        <v>2320</v>
      </c>
      <c r="C50" s="466">
        <v>299002</v>
      </c>
      <c r="D50" s="466">
        <v>79897</v>
      </c>
      <c r="E50" s="466">
        <v>4073</v>
      </c>
      <c r="F50" s="466">
        <v>485</v>
      </c>
      <c r="G50" s="466"/>
      <c r="H50" s="466">
        <v>1244</v>
      </c>
      <c r="I50" s="467"/>
      <c r="J50" s="467"/>
      <c r="K50" s="1694">
        <f>SUM(C50:J50)</f>
        <v>384701</v>
      </c>
      <c r="L50" s="466">
        <v>411045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377852</v>
      </c>
      <c r="D53" s="1692">
        <f t="shared" ref="D53:L53" si="5">SUM(D49:D52)</f>
        <v>79897</v>
      </c>
      <c r="E53" s="1692">
        <f t="shared" si="5"/>
        <v>140029</v>
      </c>
      <c r="F53" s="1692">
        <f t="shared" si="5"/>
        <v>11575</v>
      </c>
      <c r="G53" s="1692">
        <f t="shared" si="5"/>
        <v>0</v>
      </c>
      <c r="H53" s="1692">
        <f t="shared" si="5"/>
        <v>7089</v>
      </c>
      <c r="I53" s="1692">
        <f t="shared" si="5"/>
        <v>0</v>
      </c>
      <c r="J53" s="1692">
        <f t="shared" si="5"/>
        <v>0</v>
      </c>
      <c r="K53" s="1692">
        <f t="shared" si="5"/>
        <v>616442</v>
      </c>
      <c r="L53" s="1692">
        <f t="shared" si="5"/>
        <v>742509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1086619</v>
      </c>
      <c r="D55" s="481">
        <v>285914</v>
      </c>
      <c r="E55" s="481">
        <v>1080</v>
      </c>
      <c r="F55" s="481">
        <v>43458</v>
      </c>
      <c r="G55" s="481"/>
      <c r="H55" s="481">
        <v>1148</v>
      </c>
      <c r="I55" s="467"/>
      <c r="J55" s="467"/>
      <c r="K55" s="1694">
        <f>SUM(C55:J55)</f>
        <v>1418219</v>
      </c>
      <c r="L55" s="481">
        <v>1429517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1086619</v>
      </c>
      <c r="D57" s="1696">
        <f t="shared" ref="D57:K57" si="6">SUM(D55:D56)</f>
        <v>285914</v>
      </c>
      <c r="E57" s="1696">
        <f t="shared" si="6"/>
        <v>1080</v>
      </c>
      <c r="F57" s="1696">
        <f t="shared" si="6"/>
        <v>43458</v>
      </c>
      <c r="G57" s="1696">
        <f t="shared" si="6"/>
        <v>0</v>
      </c>
      <c r="H57" s="1696">
        <f t="shared" si="6"/>
        <v>1148</v>
      </c>
      <c r="I57" s="1696">
        <f t="shared" si="6"/>
        <v>0</v>
      </c>
      <c r="J57" s="1696">
        <f t="shared" si="6"/>
        <v>0</v>
      </c>
      <c r="K57" s="1696">
        <f t="shared" si="6"/>
        <v>1418219</v>
      </c>
      <c r="L57" s="1692">
        <f>SUM(L55:L56)</f>
        <v>1429517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142376</v>
      </c>
      <c r="D59" s="481">
        <v>28514</v>
      </c>
      <c r="E59" s="481">
        <v>1500</v>
      </c>
      <c r="F59" s="481"/>
      <c r="G59" s="481"/>
      <c r="H59" s="481">
        <v>1905</v>
      </c>
      <c r="I59" s="467"/>
      <c r="J59" s="467"/>
      <c r="K59" s="1694">
        <f t="shared" ref="K59:K64" si="7">SUM(C59:J59)</f>
        <v>174295</v>
      </c>
      <c r="L59" s="481">
        <v>177183</v>
      </c>
      <c r="M59" s="610"/>
      <c r="N59" s="610"/>
    </row>
    <row r="60" spans="1:14" s="343" customFormat="1" x14ac:dyDescent="0.2">
      <c r="A60" s="1526" t="s">
        <v>483</v>
      </c>
      <c r="B60" s="615">
        <v>2520</v>
      </c>
      <c r="C60" s="466">
        <v>258607</v>
      </c>
      <c r="D60" s="466">
        <v>85641</v>
      </c>
      <c r="E60" s="466">
        <v>3500</v>
      </c>
      <c r="F60" s="466"/>
      <c r="G60" s="466"/>
      <c r="H60" s="466"/>
      <c r="I60" s="467"/>
      <c r="J60" s="467"/>
      <c r="K60" s="1694">
        <f t="shared" si="7"/>
        <v>347748</v>
      </c>
      <c r="L60" s="466">
        <v>340063</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128959</v>
      </c>
      <c r="D63" s="466"/>
      <c r="E63" s="466">
        <v>1313</v>
      </c>
      <c r="F63" s="466">
        <v>111405</v>
      </c>
      <c r="G63" s="466"/>
      <c r="H63" s="466"/>
      <c r="I63" s="467"/>
      <c r="J63" s="467"/>
      <c r="K63" s="1694">
        <f t="shared" si="7"/>
        <v>241677</v>
      </c>
      <c r="L63" s="466">
        <v>442981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529942</v>
      </c>
      <c r="D65" s="1692">
        <f t="shared" ref="D65:L65" si="8">SUM(D59:D64)</f>
        <v>114155</v>
      </c>
      <c r="E65" s="1692">
        <f t="shared" si="8"/>
        <v>6313</v>
      </c>
      <c r="F65" s="1692">
        <f t="shared" si="8"/>
        <v>111405</v>
      </c>
      <c r="G65" s="1692">
        <f t="shared" si="8"/>
        <v>0</v>
      </c>
      <c r="H65" s="1692">
        <f t="shared" si="8"/>
        <v>1905</v>
      </c>
      <c r="I65" s="1692">
        <f t="shared" si="8"/>
        <v>0</v>
      </c>
      <c r="J65" s="1692">
        <f t="shared" si="8"/>
        <v>0</v>
      </c>
      <c r="K65" s="1692">
        <f t="shared" si="8"/>
        <v>763720</v>
      </c>
      <c r="L65" s="1692">
        <f t="shared" si="8"/>
        <v>960227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58350</v>
      </c>
      <c r="D69" s="466">
        <v>4429</v>
      </c>
      <c r="E69" s="466">
        <v>23000</v>
      </c>
      <c r="F69" s="466">
        <v>11665</v>
      </c>
      <c r="G69" s="466"/>
      <c r="H69" s="466">
        <v>1090</v>
      </c>
      <c r="I69" s="467"/>
      <c r="J69" s="467"/>
      <c r="K69" s="1694">
        <f>SUM(C69:J69)</f>
        <v>98534</v>
      </c>
      <c r="L69" s="466">
        <v>192547</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58350</v>
      </c>
      <c r="D72" s="1692">
        <f t="shared" ref="D72:K72" si="9">SUM(D67:D71)</f>
        <v>4429</v>
      </c>
      <c r="E72" s="1692">
        <f t="shared" si="9"/>
        <v>23000</v>
      </c>
      <c r="F72" s="1692">
        <f t="shared" si="9"/>
        <v>11665</v>
      </c>
      <c r="G72" s="1692">
        <f t="shared" si="9"/>
        <v>0</v>
      </c>
      <c r="H72" s="1692">
        <f t="shared" si="9"/>
        <v>1090</v>
      </c>
      <c r="I72" s="1692">
        <f t="shared" si="9"/>
        <v>0</v>
      </c>
      <c r="J72" s="1692">
        <f t="shared" si="9"/>
        <v>0</v>
      </c>
      <c r="K72" s="1692">
        <f t="shared" si="9"/>
        <v>98534</v>
      </c>
      <c r="L72" s="1692">
        <f>SUM(L67:L71)</f>
        <v>192547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2983583</v>
      </c>
      <c r="D74" s="1699">
        <f t="shared" ref="D74:K74" si="10">SUM(D42,D47,D53,D57,D65,D72,D73)</f>
        <v>560394</v>
      </c>
      <c r="E74" s="1699">
        <f t="shared" si="10"/>
        <v>278213</v>
      </c>
      <c r="F74" s="1699">
        <f t="shared" si="10"/>
        <v>230270</v>
      </c>
      <c r="G74" s="1699">
        <f t="shared" si="10"/>
        <v>0</v>
      </c>
      <c r="H74" s="1699">
        <f t="shared" si="10"/>
        <v>11232</v>
      </c>
      <c r="I74" s="1699">
        <f t="shared" si="10"/>
        <v>0</v>
      </c>
      <c r="J74" s="1699">
        <f t="shared" si="10"/>
        <v>0</v>
      </c>
      <c r="K74" s="1699">
        <f t="shared" si="10"/>
        <v>4063692</v>
      </c>
      <c r="L74" s="1699">
        <f>SUM(L42,L47,L53,L57,L65,L72,L73)</f>
        <v>4642580</v>
      </c>
    </row>
    <row r="75" spans="1:14" s="259" customFormat="1" ht="15.75" customHeight="1" thickTop="1" thickBot="1" x14ac:dyDescent="0.25">
      <c r="A75" s="1632" t="s">
        <v>49</v>
      </c>
      <c r="B75" s="1633" t="s">
        <v>596</v>
      </c>
      <c r="C75" s="573"/>
      <c r="D75" s="573"/>
      <c r="E75" s="573">
        <v>43318</v>
      </c>
      <c r="F75" s="573"/>
      <c r="G75" s="573"/>
      <c r="H75" s="573"/>
      <c r="I75" s="531"/>
      <c r="J75" s="531"/>
      <c r="K75" s="1692">
        <f>SUM(C75:J75)</f>
        <v>43318</v>
      </c>
      <c r="L75" s="576">
        <v>50000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746414</v>
      </c>
      <c r="I79" s="477"/>
      <c r="J79" s="477"/>
      <c r="K79" s="1693">
        <f t="shared" si="11"/>
        <v>746414</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746414</v>
      </c>
      <c r="I84" s="477"/>
      <c r="J84" s="477"/>
      <c r="K84" s="1692">
        <f>SUM(K78:K83)</f>
        <v>746414</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746414</v>
      </c>
      <c r="I102" s="477"/>
      <c r="J102" s="477"/>
      <c r="K102" s="1699">
        <f>SUM(K84,K92,K100,K101)</f>
        <v>746414</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10524936</v>
      </c>
      <c r="D114" s="1692">
        <f t="shared" ref="D114:K114" si="13">SUM(D33,D74,D75,D102,D112,D113)</f>
        <v>1806305</v>
      </c>
      <c r="E114" s="1692">
        <f t="shared" si="13"/>
        <v>1018677</v>
      </c>
      <c r="F114" s="1692">
        <f t="shared" si="13"/>
        <v>608934</v>
      </c>
      <c r="G114" s="1692">
        <f t="shared" si="13"/>
        <v>22715</v>
      </c>
      <c r="H114" s="1692">
        <f>SUM(H33,H74,H75,H102,H112,H113)</f>
        <v>973792</v>
      </c>
      <c r="I114" s="1692">
        <f t="shared" si="13"/>
        <v>0</v>
      </c>
      <c r="J114" s="1692">
        <f t="shared" si="13"/>
        <v>0</v>
      </c>
      <c r="K114" s="1692">
        <f t="shared" si="13"/>
        <v>14955359</v>
      </c>
      <c r="L114" s="1692">
        <f>SUM(L33,L74,L75,L102,L112,L113)</f>
        <v>16551833</v>
      </c>
    </row>
    <row r="115" spans="1:14" ht="13.5" thickTop="1" x14ac:dyDescent="0.2">
      <c r="A115" s="2179" t="s">
        <v>1053</v>
      </c>
      <c r="B115" s="2180"/>
      <c r="C115" s="619"/>
      <c r="D115" s="619"/>
      <c r="E115" s="619"/>
      <c r="F115" s="619"/>
      <c r="G115" s="619"/>
      <c r="H115" s="619"/>
      <c r="I115" s="619"/>
      <c r="J115" s="619"/>
      <c r="K115" s="1706">
        <f>'Revenues 9-14'!C275-'Expenditures 15-22'!K114</f>
        <v>-9297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872386</v>
      </c>
      <c r="D124" s="466">
        <v>105772</v>
      </c>
      <c r="E124" s="466">
        <v>396868</v>
      </c>
      <c r="F124" s="466">
        <v>423253</v>
      </c>
      <c r="G124" s="466">
        <v>4979</v>
      </c>
      <c r="H124" s="466"/>
      <c r="I124" s="467"/>
      <c r="J124" s="467"/>
      <c r="K124" s="1692">
        <f>SUM(C124:J124)</f>
        <v>1803258</v>
      </c>
      <c r="L124" s="466">
        <v>2194437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872386</v>
      </c>
      <c r="D127" s="1692">
        <f t="shared" ref="D127:L127" si="14">SUM(D122:D126)</f>
        <v>105772</v>
      </c>
      <c r="E127" s="1692">
        <f t="shared" si="14"/>
        <v>396868</v>
      </c>
      <c r="F127" s="1692">
        <f t="shared" si="14"/>
        <v>423253</v>
      </c>
      <c r="G127" s="1692">
        <f t="shared" si="14"/>
        <v>4979</v>
      </c>
      <c r="H127" s="1692">
        <f t="shared" si="14"/>
        <v>0</v>
      </c>
      <c r="I127" s="1692">
        <f t="shared" si="14"/>
        <v>0</v>
      </c>
      <c r="J127" s="1692">
        <f t="shared" si="14"/>
        <v>0</v>
      </c>
      <c r="K127" s="1692">
        <f t="shared" si="14"/>
        <v>1803258</v>
      </c>
      <c r="L127" s="1692">
        <f t="shared" si="14"/>
        <v>2194437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872386</v>
      </c>
      <c r="D129" s="1699">
        <f t="shared" ref="D129:L129" si="15">SUM(D120,D127,D128)</f>
        <v>105772</v>
      </c>
      <c r="E129" s="1699">
        <f t="shared" si="15"/>
        <v>396868</v>
      </c>
      <c r="F129" s="1699">
        <f t="shared" si="15"/>
        <v>423253</v>
      </c>
      <c r="G129" s="1699">
        <f t="shared" si="15"/>
        <v>4979</v>
      </c>
      <c r="H129" s="1699">
        <f t="shared" si="15"/>
        <v>0</v>
      </c>
      <c r="I129" s="1699">
        <f t="shared" si="15"/>
        <v>0</v>
      </c>
      <c r="J129" s="1699">
        <f t="shared" si="15"/>
        <v>0</v>
      </c>
      <c r="K129" s="1699">
        <f t="shared" si="15"/>
        <v>1803258</v>
      </c>
      <c r="L129" s="1699">
        <f t="shared" si="15"/>
        <v>2194437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6" t="s">
        <v>641</v>
      </c>
      <c r="B151" s="2176"/>
      <c r="C151" s="1692">
        <f>SUM(C129,C130,C139,C149,C150)</f>
        <v>872386</v>
      </c>
      <c r="D151" s="1692">
        <f t="shared" ref="D151:K151" si="16">SUM(D129,D130,D139,D149,D150)</f>
        <v>105772</v>
      </c>
      <c r="E151" s="1692">
        <f t="shared" si="16"/>
        <v>396868</v>
      </c>
      <c r="F151" s="1692">
        <f t="shared" si="16"/>
        <v>423253</v>
      </c>
      <c r="G151" s="1692">
        <f t="shared" si="16"/>
        <v>4979</v>
      </c>
      <c r="H151" s="1692">
        <f t="shared" si="16"/>
        <v>0</v>
      </c>
      <c r="I151" s="1692">
        <f t="shared" si="16"/>
        <v>0</v>
      </c>
      <c r="J151" s="1692">
        <f t="shared" si="16"/>
        <v>0</v>
      </c>
      <c r="K151" s="1692">
        <f t="shared" si="16"/>
        <v>1803258</v>
      </c>
      <c r="L151" s="1692">
        <f>SUM(L129,L130,L139,L149,L150)</f>
        <v>2194437</v>
      </c>
    </row>
    <row r="152" spans="1:14" ht="12.75" customHeight="1" thickTop="1" x14ac:dyDescent="0.2">
      <c r="A152" s="2199" t="s">
        <v>1240</v>
      </c>
      <c r="B152" s="2200"/>
      <c r="C152" s="619"/>
      <c r="D152" s="619"/>
      <c r="E152" s="619"/>
      <c r="F152" s="619"/>
      <c r="G152" s="619"/>
      <c r="H152" s="619"/>
      <c r="I152" s="619"/>
      <c r="J152" s="617"/>
      <c r="K152" s="1706">
        <f>'Revenues 9-14'!D275-'Expenditures 15-22'!K151</f>
        <v>21126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9" t="s">
        <v>1053</v>
      </c>
      <c r="B175" s="2180"/>
      <c r="C175" s="617"/>
      <c r="D175" s="617"/>
      <c r="E175" s="617"/>
      <c r="F175" s="617"/>
      <c r="G175" s="617"/>
      <c r="H175" s="619"/>
      <c r="I175" s="617"/>
      <c r="J175" s="617"/>
      <c r="K175" s="1706">
        <f>'Revenues 9-14'!E275-'Expenditures 15-22'!K174</f>
        <v>869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202391</v>
      </c>
      <c r="D182" s="466">
        <v>31873</v>
      </c>
      <c r="E182" s="466">
        <v>63997</v>
      </c>
      <c r="F182" s="466">
        <v>33576</v>
      </c>
      <c r="G182" s="466"/>
      <c r="H182" s="466"/>
      <c r="I182" s="467"/>
      <c r="J182" s="467"/>
      <c r="K182" s="1693">
        <f>SUM(C182:J182)</f>
        <v>331837</v>
      </c>
      <c r="L182" s="466">
        <v>472249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202391</v>
      </c>
      <c r="D184" s="1699">
        <f t="shared" ref="D184:J184" si="17">SUM(D180,D182,D183)</f>
        <v>31873</v>
      </c>
      <c r="E184" s="1699">
        <f t="shared" si="17"/>
        <v>63997</v>
      </c>
      <c r="F184" s="1699">
        <f t="shared" si="17"/>
        <v>33576</v>
      </c>
      <c r="G184" s="1699">
        <f t="shared" si="17"/>
        <v>0</v>
      </c>
      <c r="H184" s="1699">
        <f t="shared" si="17"/>
        <v>0</v>
      </c>
      <c r="I184" s="1699">
        <f t="shared" si="17"/>
        <v>0</v>
      </c>
      <c r="J184" s="1699">
        <f t="shared" si="17"/>
        <v>0</v>
      </c>
      <c r="K184" s="1699">
        <f>SUM(K180,K182,K183)</f>
        <v>331837</v>
      </c>
      <c r="L184" s="1699">
        <f>SUM(L180, L182:L183)</f>
        <v>472249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202391</v>
      </c>
      <c r="D210" s="1692">
        <f>SUM(D184,D185)</f>
        <v>31873</v>
      </c>
      <c r="E210" s="1692">
        <f>SUM(E184,E185,E196)</f>
        <v>63997</v>
      </c>
      <c r="F210" s="1692">
        <f>SUM(F184,F185)</f>
        <v>33576</v>
      </c>
      <c r="G210" s="1692">
        <f>SUM(G184,G185)</f>
        <v>0</v>
      </c>
      <c r="H210" s="1692">
        <f>SUM(H184,H185,H196,H208,H209)</f>
        <v>0</v>
      </c>
      <c r="I210" s="1692">
        <f>SUM(I184,I185)</f>
        <v>0</v>
      </c>
      <c r="J210" s="1692">
        <f>SUM(J184,J185)</f>
        <v>0</v>
      </c>
      <c r="K210" s="1693">
        <f>SUM(K184,K185,K196,K208,K209)</f>
        <v>331837</v>
      </c>
      <c r="L210" s="1692">
        <f>SUM(L184,L185,L196,L208,L209)</f>
        <v>472249</v>
      </c>
    </row>
    <row r="211" spans="1:14" ht="13.5" thickTop="1" x14ac:dyDescent="0.2">
      <c r="A211" s="2179" t="s">
        <v>1053</v>
      </c>
      <c r="B211" s="2180"/>
      <c r="C211" s="619"/>
      <c r="D211" s="619"/>
      <c r="E211" s="619"/>
      <c r="F211" s="619"/>
      <c r="G211" s="619"/>
      <c r="H211" s="619"/>
      <c r="I211" s="617"/>
      <c r="J211" s="617"/>
      <c r="K211" s="1706">
        <f>'Revenues 9-14'!F275-'Expenditures 15-22'!K210</f>
        <v>469035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146276</v>
      </c>
      <c r="E215" s="617"/>
      <c r="F215" s="617"/>
      <c r="G215" s="617"/>
      <c r="H215" s="617"/>
      <c r="I215" s="617"/>
      <c r="J215" s="617"/>
      <c r="K215" s="1693">
        <f>D215</f>
        <v>146276</v>
      </c>
      <c r="L215" s="466">
        <v>158890</v>
      </c>
    </row>
    <row r="216" spans="1:14" x14ac:dyDescent="0.2">
      <c r="A216" s="1526" t="s">
        <v>165</v>
      </c>
      <c r="B216" s="615" t="s">
        <v>1024</v>
      </c>
      <c r="C216" s="617"/>
      <c r="D216" s="467">
        <v>33919</v>
      </c>
      <c r="E216" s="617"/>
      <c r="F216" s="617"/>
      <c r="G216" s="617"/>
      <c r="H216" s="617"/>
      <c r="I216" s="617"/>
      <c r="J216" s="617"/>
      <c r="K216" s="1693">
        <f t="shared" ref="K216:K228" si="19">D216</f>
        <v>33919</v>
      </c>
      <c r="L216" s="466">
        <v>49099</v>
      </c>
    </row>
    <row r="217" spans="1:14" x14ac:dyDescent="0.2">
      <c r="A217" s="1526" t="s">
        <v>166</v>
      </c>
      <c r="B217" s="615">
        <v>1200</v>
      </c>
      <c r="C217" s="617"/>
      <c r="D217" s="466">
        <v>92938</v>
      </c>
      <c r="E217" s="617"/>
      <c r="F217" s="617"/>
      <c r="G217" s="617"/>
      <c r="H217" s="617"/>
      <c r="I217" s="617"/>
      <c r="J217" s="617"/>
      <c r="K217" s="1693">
        <f t="shared" si="19"/>
        <v>92938</v>
      </c>
      <c r="L217" s="466">
        <v>126211</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5782</v>
      </c>
      <c r="E219" s="617"/>
      <c r="F219" s="617"/>
      <c r="G219" s="617"/>
      <c r="H219" s="617"/>
      <c r="I219" s="617"/>
      <c r="J219" s="617"/>
      <c r="K219" s="1693">
        <f t="shared" si="19"/>
        <v>5782</v>
      </c>
      <c r="L219" s="466">
        <v>7526</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5681</v>
      </c>
      <c r="E223" s="617"/>
      <c r="F223" s="617"/>
      <c r="G223" s="617"/>
      <c r="H223" s="617"/>
      <c r="I223" s="617"/>
      <c r="J223" s="617"/>
      <c r="K223" s="1693">
        <f t="shared" si="19"/>
        <v>5681</v>
      </c>
      <c r="L223" s="466">
        <v>6499</v>
      </c>
    </row>
    <row r="224" spans="1:14" x14ac:dyDescent="0.2">
      <c r="A224" s="1526" t="s">
        <v>1021</v>
      </c>
      <c r="B224" s="615">
        <v>1600</v>
      </c>
      <c r="C224" s="617"/>
      <c r="D224" s="466">
        <v>3643</v>
      </c>
      <c r="E224" s="617"/>
      <c r="F224" s="617"/>
      <c r="G224" s="617"/>
      <c r="H224" s="617"/>
      <c r="I224" s="617"/>
      <c r="J224" s="617"/>
      <c r="K224" s="1693">
        <f t="shared" si="19"/>
        <v>3643</v>
      </c>
      <c r="L224" s="466">
        <v>15713</v>
      </c>
    </row>
    <row r="225" spans="1:12" x14ac:dyDescent="0.2">
      <c r="A225" s="1526" t="s">
        <v>1044</v>
      </c>
      <c r="B225" s="615">
        <v>1650</v>
      </c>
      <c r="C225" s="617"/>
      <c r="D225" s="466">
        <v>1289</v>
      </c>
      <c r="E225" s="617"/>
      <c r="F225" s="617"/>
      <c r="G225" s="617"/>
      <c r="H225" s="617"/>
      <c r="I225" s="617"/>
      <c r="J225" s="617"/>
      <c r="K225" s="1693">
        <f t="shared" si="19"/>
        <v>1289</v>
      </c>
      <c r="L225" s="466">
        <v>1252</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2584</v>
      </c>
      <c r="E227" s="617"/>
      <c r="F227" s="617"/>
      <c r="G227" s="617"/>
      <c r="H227" s="617"/>
      <c r="I227" s="617"/>
      <c r="J227" s="617"/>
      <c r="K227" s="1693">
        <f t="shared" si="19"/>
        <v>2584</v>
      </c>
      <c r="L227" s="466">
        <v>2627</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292112</v>
      </c>
      <c r="E229" s="617"/>
      <c r="F229" s="617"/>
      <c r="G229" s="617"/>
      <c r="H229" s="617"/>
      <c r="I229" s="617"/>
      <c r="J229" s="617"/>
      <c r="K229" s="1692">
        <f>SUM(K215:K228)</f>
        <v>292112</v>
      </c>
      <c r="L229" s="1692">
        <f>SUM(L215:L228)</f>
        <v>367817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4274</v>
      </c>
      <c r="E232" s="617"/>
      <c r="F232" s="617"/>
      <c r="G232" s="617"/>
      <c r="H232" s="617"/>
      <c r="I232" s="617"/>
      <c r="J232" s="617"/>
      <c r="K232" s="1693">
        <f t="shared" ref="K232:K237" si="20">D232</f>
        <v>4274</v>
      </c>
      <c r="L232" s="466">
        <v>4201</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26611</v>
      </c>
      <c r="E234" s="617"/>
      <c r="F234" s="617"/>
      <c r="G234" s="617"/>
      <c r="H234" s="617"/>
      <c r="I234" s="617"/>
      <c r="J234" s="617"/>
      <c r="K234" s="1693">
        <f t="shared" si="20"/>
        <v>26611</v>
      </c>
      <c r="L234" s="466">
        <v>41138</v>
      </c>
    </row>
    <row r="235" spans="1:12" x14ac:dyDescent="0.2">
      <c r="A235" s="1526" t="s">
        <v>208</v>
      </c>
      <c r="B235" s="615">
        <v>2140</v>
      </c>
      <c r="C235" s="617"/>
      <c r="D235" s="466">
        <v>1308</v>
      </c>
      <c r="E235" s="617"/>
      <c r="F235" s="617"/>
      <c r="G235" s="617"/>
      <c r="H235" s="617"/>
      <c r="I235" s="617"/>
      <c r="J235" s="617"/>
      <c r="K235" s="1693">
        <f t="shared" si="20"/>
        <v>1308</v>
      </c>
      <c r="L235" s="466">
        <v>1311</v>
      </c>
    </row>
    <row r="236" spans="1:12" x14ac:dyDescent="0.2">
      <c r="A236" s="1526" t="s">
        <v>209</v>
      </c>
      <c r="B236" s="615">
        <v>2150</v>
      </c>
      <c r="C236" s="617"/>
      <c r="D236" s="466">
        <v>1492</v>
      </c>
      <c r="E236" s="617"/>
      <c r="F236" s="617"/>
      <c r="G236" s="617"/>
      <c r="H236" s="617"/>
      <c r="I236" s="617"/>
      <c r="J236" s="617"/>
      <c r="K236" s="1693">
        <f t="shared" si="20"/>
        <v>1492</v>
      </c>
      <c r="L236" s="466">
        <v>1501</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33685</v>
      </c>
      <c r="E238" s="617"/>
      <c r="F238" s="617"/>
      <c r="G238" s="617"/>
      <c r="H238" s="617"/>
      <c r="I238" s="617"/>
      <c r="J238" s="617"/>
      <c r="K238" s="1692">
        <f>SUM(K232:K237)</f>
        <v>33685</v>
      </c>
      <c r="L238" s="1692">
        <f>SUM(L232:L237)</f>
        <v>48151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1402</v>
      </c>
      <c r="E240" s="617"/>
      <c r="F240" s="617"/>
      <c r="G240" s="617"/>
      <c r="H240" s="617"/>
      <c r="I240" s="617"/>
      <c r="J240" s="617"/>
      <c r="K240" s="1694">
        <f>D240</f>
        <v>1402</v>
      </c>
      <c r="L240" s="481">
        <v>1508</v>
      </c>
    </row>
    <row r="241" spans="1:12" x14ac:dyDescent="0.2">
      <c r="A241" s="1526" t="s">
        <v>869</v>
      </c>
      <c r="B241" s="615">
        <v>2220</v>
      </c>
      <c r="C241" s="617"/>
      <c r="D241" s="466">
        <v>2885</v>
      </c>
      <c r="E241" s="617"/>
      <c r="F241" s="617"/>
      <c r="G241" s="617"/>
      <c r="H241" s="617"/>
      <c r="I241" s="617"/>
      <c r="J241" s="617"/>
      <c r="K241" s="1694">
        <f>D241</f>
        <v>2885</v>
      </c>
      <c r="L241" s="466">
        <v>2849</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4287</v>
      </c>
      <c r="E243" s="617"/>
      <c r="F243" s="617"/>
      <c r="G243" s="617"/>
      <c r="H243" s="617"/>
      <c r="I243" s="617"/>
      <c r="J243" s="617"/>
      <c r="K243" s="1692">
        <f>SUM(K240:K242)</f>
        <v>4287</v>
      </c>
      <c r="L243" s="1692">
        <f>SUM(L240:L242)</f>
        <v>4357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17521</v>
      </c>
      <c r="E246" s="617"/>
      <c r="F246" s="617"/>
      <c r="G246" s="617"/>
      <c r="H246" s="617"/>
      <c r="I246" s="617"/>
      <c r="J246" s="617"/>
      <c r="K246" s="1694">
        <f t="shared" ref="K246:K256" si="21">D246</f>
        <v>17521</v>
      </c>
      <c r="L246" s="466">
        <v>18247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17521</v>
      </c>
      <c r="E257" s="617"/>
      <c r="F257" s="617"/>
      <c r="G257" s="617"/>
      <c r="H257" s="617"/>
      <c r="I257" s="617"/>
      <c r="J257" s="617"/>
      <c r="K257" s="1692">
        <f>SUM(K245:K256)</f>
        <v>17521</v>
      </c>
      <c r="L257" s="1692">
        <f>SUM(L245:L256)</f>
        <v>18247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81855</v>
      </c>
      <c r="E259" s="617"/>
      <c r="F259" s="617"/>
      <c r="G259" s="617"/>
      <c r="H259" s="617"/>
      <c r="I259" s="617"/>
      <c r="J259" s="617"/>
      <c r="K259" s="1694">
        <f>D259</f>
        <v>81855</v>
      </c>
      <c r="L259" s="481">
        <v>82342</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81855</v>
      </c>
      <c r="E261" s="617"/>
      <c r="F261" s="617"/>
      <c r="G261" s="617"/>
      <c r="H261" s="617"/>
      <c r="I261" s="617"/>
      <c r="J261" s="617"/>
      <c r="K261" s="1692">
        <f>SUM(K259:K260)</f>
        <v>81855</v>
      </c>
      <c r="L261" s="1692">
        <f>SUM(L259:L260)</f>
        <v>82342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2066</v>
      </c>
      <c r="E263" s="617"/>
      <c r="F263" s="617"/>
      <c r="G263" s="617"/>
      <c r="H263" s="617"/>
      <c r="I263" s="617"/>
      <c r="J263" s="617"/>
      <c r="K263" s="1694">
        <f>D263</f>
        <v>2066</v>
      </c>
      <c r="L263" s="481">
        <v>2064</v>
      </c>
    </row>
    <row r="264" spans="1:14" x14ac:dyDescent="0.2">
      <c r="A264" s="1526" t="s">
        <v>483</v>
      </c>
      <c r="B264" s="686">
        <v>2520</v>
      </c>
      <c r="C264" s="617"/>
      <c r="D264" s="466">
        <v>50028</v>
      </c>
      <c r="E264" s="617"/>
      <c r="F264" s="617"/>
      <c r="G264" s="617"/>
      <c r="H264" s="617"/>
      <c r="I264" s="617"/>
      <c r="J264" s="617"/>
      <c r="K264" s="1694">
        <f t="shared" ref="K264:K269" si="22">D264</f>
        <v>50028</v>
      </c>
      <c r="L264" s="466">
        <v>53595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161028</v>
      </c>
      <c r="E266" s="617"/>
      <c r="F266" s="617"/>
      <c r="G266" s="617"/>
      <c r="H266" s="617"/>
      <c r="I266" s="617"/>
      <c r="J266" s="617"/>
      <c r="K266" s="1694">
        <f t="shared" si="22"/>
        <v>161028</v>
      </c>
      <c r="L266" s="466">
        <v>187090</v>
      </c>
    </row>
    <row r="267" spans="1:14" x14ac:dyDescent="0.2">
      <c r="A267" s="1526" t="s">
        <v>1010</v>
      </c>
      <c r="B267" s="615">
        <v>2550</v>
      </c>
      <c r="C267" s="617"/>
      <c r="D267" s="466">
        <v>37994</v>
      </c>
      <c r="E267" s="617"/>
      <c r="F267" s="617"/>
      <c r="G267" s="617"/>
      <c r="H267" s="617"/>
      <c r="I267" s="617"/>
      <c r="J267" s="617"/>
      <c r="K267" s="1694">
        <f t="shared" si="22"/>
        <v>37994</v>
      </c>
      <c r="L267" s="466">
        <v>45566</v>
      </c>
    </row>
    <row r="268" spans="1:14" x14ac:dyDescent="0.2">
      <c r="A268" s="1526" t="s">
        <v>102</v>
      </c>
      <c r="B268" s="615">
        <v>2560</v>
      </c>
      <c r="C268" s="617"/>
      <c r="D268" s="466">
        <v>18427</v>
      </c>
      <c r="E268" s="617"/>
      <c r="F268" s="617"/>
      <c r="G268" s="617"/>
      <c r="H268" s="617"/>
      <c r="I268" s="617"/>
      <c r="J268" s="617"/>
      <c r="K268" s="1694">
        <f t="shared" si="22"/>
        <v>18427</v>
      </c>
      <c r="L268" s="466">
        <v>29345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269543</v>
      </c>
      <c r="E270" s="617"/>
      <c r="F270" s="617"/>
      <c r="G270" s="617"/>
      <c r="H270" s="617"/>
      <c r="I270" s="617"/>
      <c r="J270" s="617"/>
      <c r="K270" s="1692">
        <f>SUM(K263:K269)</f>
        <v>269543</v>
      </c>
      <c r="L270" s="1692">
        <f>SUM(L263:L269)</f>
        <v>317660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11049</v>
      </c>
      <c r="E274" s="617"/>
      <c r="F274" s="617"/>
      <c r="G274" s="617"/>
      <c r="H274" s="617"/>
      <c r="I274" s="617"/>
      <c r="J274" s="617"/>
      <c r="K274" s="1694">
        <f>D274</f>
        <v>11049</v>
      </c>
      <c r="L274" s="466">
        <v>12224</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11049</v>
      </c>
      <c r="E277" s="617"/>
      <c r="F277" s="617"/>
      <c r="G277" s="617"/>
      <c r="H277" s="617"/>
      <c r="I277" s="617"/>
      <c r="J277" s="617"/>
      <c r="K277" s="1692">
        <f>SUM(K272:K276)</f>
        <v>11049</v>
      </c>
      <c r="L277" s="1692">
        <f>SUM(L272:L276)</f>
        <v>12224</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417940</v>
      </c>
      <c r="E279" s="617"/>
      <c r="F279" s="617"/>
      <c r="G279" s="617"/>
      <c r="H279" s="617"/>
      <c r="I279" s="617"/>
      <c r="J279" s="617"/>
      <c r="K279" s="1699">
        <f>SUM(K238,K243,K257,K261,K270,K277,K278)</f>
        <v>417940</v>
      </c>
      <c r="L279" s="1699">
        <f>SUM(L238,L243,L257,L261,L270,L277,L278)</f>
        <v>482981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2">
        <f>SUM(D229,D279,D280,D285)</f>
        <v>710052</v>
      </c>
      <c r="E295" s="617"/>
      <c r="F295" s="617"/>
      <c r="G295" s="617"/>
      <c r="H295" s="1692">
        <f>H293</f>
        <v>0</v>
      </c>
      <c r="I295" s="617"/>
      <c r="J295" s="617"/>
      <c r="K295" s="1692">
        <f>SUM(K229,K279,K280,K285,K293,K294)</f>
        <v>710052</v>
      </c>
      <c r="L295" s="1692">
        <f>SUM(L229,L279,L280,L285,L293,L294)</f>
        <v>850798</v>
      </c>
    </row>
    <row r="296" spans="1:14" ht="13.5" thickTop="1" x14ac:dyDescent="0.2">
      <c r="A296" s="2179" t="s">
        <v>1053</v>
      </c>
      <c r="B296" s="2180"/>
      <c r="C296" s="617"/>
      <c r="D296" s="619"/>
      <c r="E296" s="617"/>
      <c r="F296" s="617"/>
      <c r="G296" s="617"/>
      <c r="H296" s="688"/>
      <c r="I296" s="617"/>
      <c r="J296" s="617"/>
      <c r="K296" s="1706">
        <f>'Revenues 9-14'!G275-'Expenditures 15-22'!K295</f>
        <v>81363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0" t="s">
        <v>1053</v>
      </c>
      <c r="B313" s="2191"/>
      <c r="C313" s="627"/>
      <c r="D313" s="627"/>
      <c r="E313" s="627"/>
      <c r="F313" s="627"/>
      <c r="G313" s="627"/>
      <c r="H313" s="627"/>
      <c r="I313" s="627"/>
      <c r="J313" s="627"/>
      <c r="K313" s="1707">
        <f>'Revenues 9-14'!H275-'Expenditures 15-22'!K312</f>
        <v>19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107562</v>
      </c>
      <c r="F320" s="467"/>
      <c r="G320" s="467"/>
      <c r="H320" s="467"/>
      <c r="I320" s="467"/>
      <c r="J320" s="467"/>
      <c r="K320" s="1693">
        <f t="shared" ref="K320:K327" si="24">SUM(C320:J320)</f>
        <v>107562</v>
      </c>
      <c r="L320" s="467">
        <v>135000</v>
      </c>
      <c r="M320" s="666"/>
      <c r="N320" s="666"/>
    </row>
    <row r="321" spans="1:14" s="675" customFormat="1" x14ac:dyDescent="0.2">
      <c r="A321" s="1541" t="s">
        <v>318</v>
      </c>
      <c r="B321" s="698" t="s">
        <v>301</v>
      </c>
      <c r="C321" s="467"/>
      <c r="D321" s="467"/>
      <c r="E321" s="467">
        <v>18330</v>
      </c>
      <c r="F321" s="467"/>
      <c r="G321" s="467"/>
      <c r="H321" s="467"/>
      <c r="I321" s="467"/>
      <c r="J321" s="467"/>
      <c r="K321" s="1693">
        <f t="shared" si="24"/>
        <v>18330</v>
      </c>
      <c r="L321" s="467">
        <v>25000</v>
      </c>
      <c r="M321" s="666"/>
      <c r="N321" s="666"/>
    </row>
    <row r="322" spans="1:14" s="675" customFormat="1" x14ac:dyDescent="0.2">
      <c r="A322" s="1541" t="s">
        <v>256</v>
      </c>
      <c r="B322" s="698" t="s">
        <v>302</v>
      </c>
      <c r="C322" s="467"/>
      <c r="D322" s="467"/>
      <c r="E322" s="467">
        <v>54839</v>
      </c>
      <c r="F322" s="467"/>
      <c r="G322" s="467"/>
      <c r="H322" s="467"/>
      <c r="I322" s="467"/>
      <c r="J322" s="467"/>
      <c r="K322" s="1693">
        <f t="shared" si="24"/>
        <v>54839</v>
      </c>
      <c r="L322" s="467">
        <v>55000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200</v>
      </c>
      <c r="F325" s="467"/>
      <c r="G325" s="467"/>
      <c r="H325" s="467"/>
      <c r="I325" s="467"/>
      <c r="J325" s="467"/>
      <c r="K325" s="1693">
        <f t="shared" si="24"/>
        <v>200</v>
      </c>
      <c r="L325" s="467">
        <v>15000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7078</v>
      </c>
      <c r="F327" s="467"/>
      <c r="G327" s="467"/>
      <c r="H327" s="467"/>
      <c r="I327" s="467"/>
      <c r="J327" s="467"/>
      <c r="K327" s="1693">
        <f t="shared" si="24"/>
        <v>7078</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188009</v>
      </c>
      <c r="F330" s="1692">
        <f t="shared" si="25"/>
        <v>0</v>
      </c>
      <c r="G330" s="1692">
        <f t="shared" si="25"/>
        <v>0</v>
      </c>
      <c r="H330" s="1692">
        <f t="shared" si="25"/>
        <v>0</v>
      </c>
      <c r="I330" s="1692">
        <f t="shared" si="25"/>
        <v>0</v>
      </c>
      <c r="J330" s="1692">
        <f t="shared" si="25"/>
        <v>0</v>
      </c>
      <c r="K330" s="1692">
        <f>SUM(K319:K329)</f>
        <v>188009</v>
      </c>
      <c r="L330" s="1692">
        <f>SUM(L319:L329)</f>
        <v>230000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188009</v>
      </c>
      <c r="F342" s="1692">
        <f>SUM(F330)</f>
        <v>0</v>
      </c>
      <c r="G342" s="1692">
        <f>SUM(G330)</f>
        <v>0</v>
      </c>
      <c r="H342" s="1692">
        <f>SUM(H330,H334,H340)</f>
        <v>0</v>
      </c>
      <c r="I342" s="1692">
        <f>SUM(I330)</f>
        <v>0</v>
      </c>
      <c r="J342" s="1692">
        <f>SUM(J330)</f>
        <v>0</v>
      </c>
      <c r="K342" s="1692">
        <f>SUM(K330,K334,K340)</f>
        <v>188009</v>
      </c>
      <c r="L342" s="1699">
        <f>SUM(L330,L340,L341)</f>
        <v>230000</v>
      </c>
    </row>
    <row r="343" spans="1:14" ht="12.75" customHeight="1" thickTop="1" x14ac:dyDescent="0.2">
      <c r="A343" s="2192" t="s">
        <v>1053</v>
      </c>
      <c r="B343" s="2193"/>
      <c r="C343" s="617"/>
      <c r="D343" s="617"/>
      <c r="E343" s="617"/>
      <c r="F343" s="617"/>
      <c r="G343" s="617"/>
      <c r="H343" s="617"/>
      <c r="I343" s="617"/>
      <c r="J343" s="617"/>
      <c r="K343" s="1706">
        <f>'Revenues 9-14'!J275-'Expenditures 15-22'!K342</f>
        <v>59328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v>100000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100000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100000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100000</v>
      </c>
    </row>
    <row r="368" spans="1:14" ht="13.5" thickTop="1" x14ac:dyDescent="0.2">
      <c r="A368" s="2179" t="s">
        <v>1053</v>
      </c>
      <c r="B368" s="2180"/>
      <c r="C368" s="655"/>
      <c r="D368" s="655"/>
      <c r="E368" s="627"/>
      <c r="F368" s="627"/>
      <c r="G368" s="627"/>
      <c r="H368" s="627"/>
      <c r="I368" s="627"/>
      <c r="J368" s="624"/>
      <c r="K368" s="1693">
        <f>'Revenues 9-14'!K275-'Expenditures 15-22'!K367</f>
        <v>7298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office/infopath/2007/PartnerControls"/>
    <ds:schemaRef ds:uri="http://www.w3.org/XML/1998/namespace"/>
    <ds:schemaRef ds:uri="http://schemas.microsoft.com/office/2006/metadata/properties"/>
    <ds:schemaRef ds:uri="d21dc803-237d-4c68-8692-8d731fd29118"/>
    <ds:schemaRef ds:uri="http://schemas.microsoft.com/sharepoint/v3"/>
    <ds:schemaRef ds:uri="http://schemas.openxmlformats.org/package/2006/metadata/core-properties"/>
    <ds:schemaRef ds:uri="http://schemas.microsoft.com/office/2006/documentManagement/types"/>
    <ds:schemaRef ds:uri="http://purl.org/dc/elements/1.1/"/>
    <ds:schemaRef ds:uri="http://purl.org/dc/dcmitype/"/>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2018-12-12T16:26:40Z</cp:lastPrinted>
  <dcterms:created xsi:type="dcterms:W3CDTF">2003-10-29T19:06:34Z</dcterms:created>
  <dcterms:modified xsi:type="dcterms:W3CDTF">2018-12-14T21:46:17Z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