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65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E63" i="29" l="1"/>
  <c r="D182" i="34" l="1"/>
  <c r="J24" i="2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J34" i="182" s="1"/>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H34" i="182"/>
  <c r="K34" i="182" l="1"/>
  <c r="D81" i="36" s="1"/>
  <c r="F79" i="34"/>
  <c r="F74" i="34"/>
  <c r="F60" i="34"/>
  <c r="B7796" i="106" l="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K357" i="29"/>
  <c r="B7792" i="106"/>
  <c r="K15" i="4" l="1"/>
  <c r="B7790" i="106"/>
  <c r="J15" i="4"/>
  <c r="G367" i="29"/>
  <c r="F367" i="29"/>
  <c r="E367" i="29"/>
  <c r="D367" i="29"/>
  <c r="C367" i="29"/>
  <c r="L367" i="29"/>
  <c r="J367" i="29"/>
  <c r="I367" i="29"/>
  <c r="L357" i="29"/>
  <c r="L285" i="29" l="1"/>
  <c r="D285" i="29"/>
  <c r="L160" i="29"/>
  <c r="K160" i="29"/>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8" i="170"/>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44" i="170"/>
  <c r="C39" i="170"/>
  <c r="C36" i="170"/>
  <c r="C15" i="170"/>
  <c r="C18" i="170" s="1"/>
  <c r="C21" i="170" s="1"/>
  <c r="C24" i="170" s="1"/>
  <c r="C28" i="170" s="1"/>
  <c r="C13" i="170"/>
  <c r="A2" i="170"/>
  <c r="B2" i="177" l="1"/>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K24" i="12" s="1"/>
  <c r="B7733" i="106" s="1"/>
  <c r="J12" i="12"/>
  <c r="J21" i="12"/>
  <c r="J23" i="12"/>
  <c r="B7729" i="106"/>
  <c r="B7734" i="106"/>
  <c r="B7726" i="106"/>
  <c r="D76" i="36"/>
  <c r="F162" i="34"/>
  <c r="B30" i="36"/>
  <c r="B33" i="36" s="1"/>
  <c r="B43" i="36" s="1"/>
  <c r="B56" i="36" s="1"/>
  <c r="B66" i="36" s="1"/>
  <c r="B70" i="36" s="1"/>
  <c r="B74" i="36" s="1"/>
  <c r="D73" i="36"/>
  <c r="C191" i="5"/>
  <c r="C201" i="5"/>
  <c r="B5246" i="106" s="1"/>
  <c r="D5246" i="106" s="1"/>
  <c r="C211" i="5"/>
  <c r="C216" i="5"/>
  <c r="C224" i="5"/>
  <c r="C228" i="5"/>
  <c r="C259" i="5"/>
  <c r="B7761" i="106"/>
  <c r="L127" i="29"/>
  <c r="L129" i="29" s="1"/>
  <c r="L139" i="29"/>
  <c r="L149" i="29"/>
  <c r="I7" i="145"/>
  <c r="I6" i="145"/>
  <c r="D82" i="36"/>
  <c r="D78" i="36"/>
  <c r="K75" i="29"/>
  <c r="K130" i="29"/>
  <c r="K185" i="29"/>
  <c r="K122" i="29"/>
  <c r="F15" i="145" s="1"/>
  <c r="F19" i="145" s="1"/>
  <c r="K67" i="29"/>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c r="D963" i="106" s="1"/>
  <c r="B964" i="106"/>
  <c r="D964" i="106" s="1"/>
  <c r="B965" i="106"/>
  <c r="D965" i="106" s="1"/>
  <c r="G53" i="29"/>
  <c r="B966" i="106"/>
  <c r="D966" i="106" s="1"/>
  <c r="B967" i="106"/>
  <c r="D967" i="106" s="1"/>
  <c r="B968" i="106"/>
  <c r="D968" i="106" s="1"/>
  <c r="G57" i="29"/>
  <c r="B969" i="106"/>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F27" i="108" s="1"/>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B7074" i="106" s="1"/>
  <c r="D7074" i="106" s="1"/>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c r="D3254" i="106" s="1"/>
  <c r="F77" i="4"/>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c r="D3619" i="106" s="1"/>
  <c r="B3620" i="106"/>
  <c r="D3620" i="106" s="1"/>
  <c r="C352" i="29"/>
  <c r="B3621" i="106" s="1"/>
  <c r="D3621"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c r="D3647" i="106" s="1"/>
  <c r="B3648" i="106"/>
  <c r="D3648" i="106" s="1"/>
  <c r="G352" i="29"/>
  <c r="B3649" i="106" s="1"/>
  <c r="D3649" i="106" s="1"/>
  <c r="D3651" i="106"/>
  <c r="B3652" i="106"/>
  <c r="D3652" i="106" s="1"/>
  <c r="B3653" i="106"/>
  <c r="D3653" i="106" s="1"/>
  <c r="H350" i="29"/>
  <c r="B3654" i="106" s="1"/>
  <c r="D3654" i="106" s="1"/>
  <c r="B3655" i="106"/>
  <c r="D3655" i="106" s="1"/>
  <c r="B3657" i="106"/>
  <c r="D3657" i="106" s="1"/>
  <c r="H362" i="29"/>
  <c r="B3658" i="106" s="1"/>
  <c r="D3658" i="106" s="1"/>
  <c r="D3659" i="106"/>
  <c r="H365" i="29"/>
  <c r="H367" i="29" s="1"/>
  <c r="D3661" i="106"/>
  <c r="D3662" i="106"/>
  <c r="D3663" i="106"/>
  <c r="D3664" i="106"/>
  <c r="D3665" i="106"/>
  <c r="D3666" i="106"/>
  <c r="D3667" i="106"/>
  <c r="K348" i="29"/>
  <c r="B3668" i="106" s="1"/>
  <c r="D3668" i="106" s="1"/>
  <c r="K349" i="29"/>
  <c r="B3669" i="106" s="1"/>
  <c r="D3669" i="106" s="1"/>
  <c r="K350" i="29"/>
  <c r="B3670" i="106" s="1"/>
  <c r="D3670" i="106" s="1"/>
  <c r="K351" i="29"/>
  <c r="B3671" i="106" s="1"/>
  <c r="D3671" i="106" s="1"/>
  <c r="K352" i="29"/>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s="1"/>
  <c r="B5100" i="106"/>
  <c r="D5100" i="106"/>
  <c r="B5101" i="106"/>
  <c r="D5101" i="106"/>
  <c r="B5103" i="106"/>
  <c r="D5103" i="106" s="1"/>
  <c r="B5104" i="106"/>
  <c r="D5104" i="106" s="1"/>
  <c r="B5105" i="106"/>
  <c r="D5105" i="106"/>
  <c r="B5106" i="106"/>
  <c r="D5106" i="106"/>
  <c r="B5107" i="106"/>
  <c r="D5107" i="106"/>
  <c r="B5108" i="106"/>
  <c r="D5108" i="106"/>
  <c r="B5109" i="106"/>
  <c r="D5109" i="106"/>
  <c r="B5110" i="106"/>
  <c r="D5110" i="106"/>
  <c r="B5111" i="106"/>
  <c r="D5111" i="106"/>
  <c r="B5113" i="106"/>
  <c r="D5113" i="106"/>
  <c r="B5114" i="106"/>
  <c r="D5114" i="106"/>
  <c r="B5115" i="106"/>
  <c r="D5115" i="106"/>
  <c r="B5116" i="106"/>
  <c r="D5116" i="106"/>
  <c r="B5117" i="106"/>
  <c r="D5117" i="106"/>
  <c r="B5118" i="106"/>
  <c r="D5118" i="106"/>
  <c r="B5119" i="106"/>
  <c r="D5119" i="106" s="1"/>
  <c r="B5122" i="106"/>
  <c r="D5122" i="106"/>
  <c r="B5123" i="106"/>
  <c r="D5123" i="106"/>
  <c r="B5124" i="106"/>
  <c r="D5124" i="106"/>
  <c r="B5126" i="106"/>
  <c r="D5126" i="106" s="1"/>
  <c r="B5127" i="106"/>
  <c r="D5127" i="106"/>
  <c r="D5128" i="106"/>
  <c r="D5129" i="106"/>
  <c r="D5130" i="106"/>
  <c r="D5131" i="106"/>
  <c r="B5133" i="106"/>
  <c r="D5133" i="106"/>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c r="D5179" i="106"/>
  <c r="D5180" i="106"/>
  <c r="B5181" i="106"/>
  <c r="D5181" i="106"/>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c r="B5200"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c r="B5241" i="106"/>
  <c r="D5241" i="106" s="1"/>
  <c r="B5242" i="106"/>
  <c r="D5242" i="106"/>
  <c r="B5243" i="106"/>
  <c r="D5243" i="106"/>
  <c r="D5244" i="106"/>
  <c r="D5245" i="106"/>
  <c r="B5247" i="106"/>
  <c r="D5247" i="106" s="1"/>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s="1"/>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c r="B6740" i="106"/>
  <c r="D6740" i="106"/>
  <c r="B6741" i="106"/>
  <c r="D6741" i="106"/>
  <c r="B6742" i="106"/>
  <c r="D6742" i="106"/>
  <c r="B6743" i="106"/>
  <c r="D6743" i="106"/>
  <c r="B6744" i="106"/>
  <c r="D6744" i="106"/>
  <c r="B6745" i="106"/>
  <c r="D6745" i="106"/>
  <c r="B6746" i="106"/>
  <c r="D6746" i="106"/>
  <c r="B6747" i="106"/>
  <c r="D6747" i="106"/>
  <c r="B6748" i="106"/>
  <c r="D6748" i="106"/>
  <c r="B6749" i="106"/>
  <c r="D6749" i="106"/>
  <c r="B6750" i="106"/>
  <c r="D6750" i="106"/>
  <c r="B6751" i="106"/>
  <c r="D6751" i="106"/>
  <c r="B6752" i="106"/>
  <c r="D6752" i="106"/>
  <c r="B6753" i="106"/>
  <c r="D6753" i="106"/>
  <c r="B6754" i="106"/>
  <c r="D6754" i="106"/>
  <c r="B6755" i="106"/>
  <c r="D6755" i="106"/>
  <c r="B6756" i="106"/>
  <c r="D6756" i="106"/>
  <c r="B6757" i="106"/>
  <c r="D6757" i="106"/>
  <c r="B6758" i="106"/>
  <c r="D6758" i="106"/>
  <c r="B6759" i="106"/>
  <c r="D6759" i="106"/>
  <c r="B6760" i="106"/>
  <c r="D6760" i="106"/>
  <c r="B6761" i="106"/>
  <c r="D6761" i="106"/>
  <c r="B6762" i="106"/>
  <c r="D6762" i="106"/>
  <c r="B6763" i="106"/>
  <c r="D6763" i="106"/>
  <c r="B6764" i="106"/>
  <c r="D6764" i="106"/>
  <c r="B6765" i="106"/>
  <c r="D6765" i="106"/>
  <c r="B6766" i="106"/>
  <c r="D6766" i="106"/>
  <c r="B6767" i="106"/>
  <c r="D6767" i="106"/>
  <c r="B6768" i="106"/>
  <c r="D6768" i="106"/>
  <c r="B6769" i="106"/>
  <c r="D6769" i="106"/>
  <c r="B6770" i="106"/>
  <c r="D6770" i="106"/>
  <c r="B6771" i="106"/>
  <c r="D6771" i="106"/>
  <c r="B6772" i="106"/>
  <c r="D6772" i="106"/>
  <c r="B6773" i="106"/>
  <c r="D6773" i="106"/>
  <c r="B6774" i="106"/>
  <c r="D6774" i="106"/>
  <c r="B6775" i="106"/>
  <c r="D6775" i="106"/>
  <c r="B6776" i="106"/>
  <c r="D6776" i="106"/>
  <c r="B6777" i="106"/>
  <c r="D6777" i="106"/>
  <c r="B6778" i="106"/>
  <c r="D6778" i="106"/>
  <c r="B6779" i="106"/>
  <c r="D6779" i="106"/>
  <c r="B6780" i="106"/>
  <c r="D6780" i="106"/>
  <c r="B6781" i="106"/>
  <c r="D6781" i="106"/>
  <c r="B6782" i="106"/>
  <c r="D6782" i="106"/>
  <c r="B6783" i="106"/>
  <c r="D6783" i="106"/>
  <c r="B6784" i="106"/>
  <c r="D6784" i="106"/>
  <c r="B6785" i="106"/>
  <c r="D6785" i="106"/>
  <c r="B6786" i="106"/>
  <c r="D6786" i="106"/>
  <c r="B6787" i="106"/>
  <c r="D6787" i="106"/>
  <c r="B6788" i="106"/>
  <c r="D6788" i="106"/>
  <c r="B6789" i="106"/>
  <c r="D6789" i="106"/>
  <c r="B6790" i="106"/>
  <c r="D6790" i="106"/>
  <c r="B6791" i="106"/>
  <c r="D6791" i="106"/>
  <c r="B6792" i="106"/>
  <c r="D6792" i="106"/>
  <c r="B6793" i="106"/>
  <c r="D6793" i="106"/>
  <c r="B6794" i="106"/>
  <c r="D6794" i="106"/>
  <c r="B6795" i="106"/>
  <c r="D6795" i="106"/>
  <c r="B6796" i="106"/>
  <c r="D6796" i="106"/>
  <c r="B6797" i="106"/>
  <c r="D6797" i="106"/>
  <c r="B6798" i="106"/>
  <c r="D6798" i="106"/>
  <c r="B6799" i="106"/>
  <c r="D6799" i="106"/>
  <c r="B6800" i="106"/>
  <c r="D6800" i="106"/>
  <c r="B6801" i="106"/>
  <c r="D6801" i="106"/>
  <c r="B6802" i="106"/>
  <c r="D6802" i="106"/>
  <c r="B6803" i="106"/>
  <c r="D6803" i="106"/>
  <c r="B6804" i="106"/>
  <c r="D6804" i="106"/>
  <c r="B6805" i="106"/>
  <c r="D6805" i="106"/>
  <c r="B6806" i="106"/>
  <c r="D6806" i="106"/>
  <c r="B6807" i="106"/>
  <c r="D6807" i="106"/>
  <c r="B6808" i="106"/>
  <c r="D6808" i="106"/>
  <c r="B6809" i="106"/>
  <c r="D6809" i="106"/>
  <c r="B6810" i="106"/>
  <c r="D6810" i="106"/>
  <c r="B6811" i="106"/>
  <c r="D6811" i="106"/>
  <c r="B6812" i="106"/>
  <c r="D6812" i="106"/>
  <c r="B6813" i="106"/>
  <c r="D6813" i="106"/>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B6841" i="106"/>
  <c r="D6841" i="106"/>
  <c r="B6842" i="106"/>
  <c r="D6842" i="106"/>
  <c r="B6843"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c r="D7209" i="106" s="1"/>
  <c r="B7210" i="106"/>
  <c r="D7210" i="106" s="1"/>
  <c r="K338" i="29"/>
  <c r="B7212" i="106"/>
  <c r="D7212" i="106" s="1"/>
  <c r="K339" i="29"/>
  <c r="B7213" i="106" s="1"/>
  <c r="D7213" i="106" s="1"/>
  <c r="H340" i="29"/>
  <c r="H342" i="29" s="1"/>
  <c r="C342" i="29"/>
  <c r="B7216" i="106" s="1"/>
  <c r="D7216" i="106" s="1"/>
  <c r="I342" i="29"/>
  <c r="B7222" i="106" s="1"/>
  <c r="D7222" i="106" s="1"/>
  <c r="B7226" i="106"/>
  <c r="D7226" i="106" s="1"/>
  <c r="B7227" i="106"/>
  <c r="D7227" i="106" s="1"/>
  <c r="B7228" i="106"/>
  <c r="D7228" i="106" s="1"/>
  <c r="B7229" i="106"/>
  <c r="D7229" i="106" s="1"/>
  <c r="I350" i="29"/>
  <c r="J350" i="29"/>
  <c r="B7231" i="106"/>
  <c r="D7231" i="106" s="1"/>
  <c r="B7232" i="106"/>
  <c r="D7232" i="106" s="1"/>
  <c r="B7233" i="106"/>
  <c r="D7233" i="106" s="1"/>
  <c r="J352" i="29"/>
  <c r="B7235" i="106"/>
  <c r="D723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D7245"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3" i="106"/>
  <c r="D7734" i="106"/>
  <c r="B7735" i="106"/>
  <c r="D7735" i="106" s="1"/>
  <c r="B7736" i="106"/>
  <c r="D7736" i="106" s="1"/>
  <c r="B7737" i="106"/>
  <c r="D7737" i="106" s="1"/>
  <c r="B7738" i="106"/>
  <c r="D7738" i="106" s="1"/>
  <c r="I26" i="12"/>
  <c r="B7741" i="106" s="1"/>
  <c r="D7741" i="106" s="1"/>
  <c r="K26" i="12"/>
  <c r="B7743" i="106" s="1"/>
  <c r="D7743"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8" i="36"/>
  <c r="D71" i="36"/>
  <c r="D72" i="36"/>
  <c r="D79" i="36"/>
  <c r="B64" i="127"/>
  <c r="B65" i="127"/>
  <c r="E26" i="108"/>
  <c r="G26" i="108"/>
  <c r="D27" i="108"/>
  <c r="E27" i="108"/>
  <c r="G27" i="108"/>
  <c r="E28" i="108"/>
  <c r="F28" i="108"/>
  <c r="F31" i="108"/>
  <c r="F36" i="108"/>
  <c r="F37" i="108"/>
  <c r="G28" i="108"/>
  <c r="E29" i="108"/>
  <c r="G29" i="108"/>
  <c r="E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5"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F94" i="34"/>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50" i="29"/>
  <c r="L352" i="29" s="1"/>
  <c r="L362" i="29"/>
  <c r="L365" i="29" s="1"/>
  <c r="C12" i="5"/>
  <c r="B5066" i="106" s="1"/>
  <c r="D5066" i="106" s="1"/>
  <c r="D12" i="5"/>
  <c r="B5334" i="106" s="1"/>
  <c r="D5334" i="106" s="1"/>
  <c r="E12" i="5"/>
  <c r="B5513" i="106"/>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c r="D5562" i="106" s="1"/>
  <c r="G18" i="5"/>
  <c r="B5730" i="106"/>
  <c r="D5730" i="106" s="1"/>
  <c r="H18" i="5"/>
  <c r="B5878" i="106"/>
  <c r="D5878" i="106" s="1"/>
  <c r="I18" i="5"/>
  <c r="B5923" i="106"/>
  <c r="D5923" i="106" s="1"/>
  <c r="J18" i="5"/>
  <c r="B6306" i="106"/>
  <c r="D6306" i="106" s="1"/>
  <c r="K18" i="5"/>
  <c r="B5992" i="106"/>
  <c r="D5992" i="106" s="1"/>
  <c r="C40" i="5"/>
  <c r="B5087" i="106"/>
  <c r="D5087" i="106" s="1"/>
  <c r="F63" i="5"/>
  <c r="B5579" i="106"/>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c r="D5995" i="106" s="1"/>
  <c r="C82" i="5"/>
  <c r="B5102" i="106" s="1"/>
  <c r="D5102" i="106" s="1"/>
  <c r="D82" i="5"/>
  <c r="B5348" i="106"/>
  <c r="D5348" i="106" s="1"/>
  <c r="C93" i="5"/>
  <c r="B5112" i="106" s="1"/>
  <c r="D5112" i="106" s="1"/>
  <c r="C108" i="5"/>
  <c r="B5120" i="106"/>
  <c r="D5120" i="106" s="1"/>
  <c r="D108" i="5"/>
  <c r="B5355" i="106" s="1"/>
  <c r="D5355" i="106" s="1"/>
  <c r="E108" i="5"/>
  <c r="B5526" i="106"/>
  <c r="D5526" i="106" s="1"/>
  <c r="F108" i="5"/>
  <c r="B5587" i="106" s="1"/>
  <c r="D5587" i="106" s="1"/>
  <c r="G108" i="5"/>
  <c r="B5737" i="106"/>
  <c r="D5737" i="106" s="1"/>
  <c r="H108" i="5"/>
  <c r="B5886" i="106"/>
  <c r="D5886" i="106" s="1"/>
  <c r="I108" i="5"/>
  <c r="B5930" i="106" s="1"/>
  <c r="D5930" i="106" s="1"/>
  <c r="J108" i="5"/>
  <c r="B6351" i="106" s="1"/>
  <c r="D6351" i="106" s="1"/>
  <c r="K108" i="5"/>
  <c r="B5999" i="106" s="1"/>
  <c r="D5999" i="106" s="1"/>
  <c r="E109" i="5"/>
  <c r="E4" i="4" s="1"/>
  <c r="B2630" i="106" s="1"/>
  <c r="D2630"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c r="D5161" i="106" s="1"/>
  <c r="D140" i="5"/>
  <c r="B5383" i="106"/>
  <c r="D5383" i="106" s="1"/>
  <c r="G140" i="5"/>
  <c r="G144" i="5"/>
  <c r="B5756" i="106" s="1"/>
  <c r="D5756" i="106" s="1"/>
  <c r="G154" i="5"/>
  <c r="G172" i="5"/>
  <c r="G173" i="5" s="1"/>
  <c r="B5778" i="106" s="1"/>
  <c r="D5778" i="106" s="1"/>
  <c r="C144" i="5"/>
  <c r="B5165" i="106" s="1"/>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I173" i="5"/>
  <c r="B4216" i="106" s="1"/>
  <c r="D4216"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c r="D6400" i="106" s="1"/>
  <c r="K178" i="5"/>
  <c r="B4951" i="106"/>
  <c r="D4951" i="106" s="1"/>
  <c r="C184" i="5"/>
  <c r="B5232" i="106"/>
  <c r="D5232" i="106" s="1"/>
  <c r="D184" i="5"/>
  <c r="B5425" i="106"/>
  <c r="D5425" i="106" s="1"/>
  <c r="F184" i="5"/>
  <c r="B5658" i="106"/>
  <c r="D5658" i="106" s="1"/>
  <c r="G184" i="5"/>
  <c r="B5784" i="106"/>
  <c r="D5784" i="106" s="1"/>
  <c r="H184" i="5"/>
  <c r="B5908" i="106"/>
  <c r="D5908" i="106" s="1"/>
  <c r="K184" i="5"/>
  <c r="B6016" i="106" s="1"/>
  <c r="D6016" i="106" s="1"/>
  <c r="B4395" i="106"/>
  <c r="D4395" i="106" s="1"/>
  <c r="D191" i="5"/>
  <c r="B4396" i="106"/>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c r="D4412" i="106" s="1"/>
  <c r="F216" i="5"/>
  <c r="B4413" i="106"/>
  <c r="D4413" i="106" s="1"/>
  <c r="G216" i="5"/>
  <c r="B4414" i="106"/>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B7041" i="106"/>
  <c r="D7041" i="106" s="1"/>
  <c r="I274" i="5"/>
  <c r="D5" i="4"/>
  <c r="B3406" i="106" s="1"/>
  <c r="D3406" i="106" s="1"/>
  <c r="G5" i="4"/>
  <c r="B3409" i="106" s="1"/>
  <c r="D3409" i="106" s="1"/>
  <c r="G14" i="4"/>
  <c r="B2609" i="106" s="1"/>
  <c r="D2609" i="106" s="1"/>
  <c r="G15" i="4"/>
  <c r="B6032" i="106" s="1"/>
  <c r="D6032" i="106" s="1"/>
  <c r="K13" i="4"/>
  <c r="B3572" i="106" s="1"/>
  <c r="D3572" i="106" s="1"/>
  <c r="C14" i="4"/>
  <c r="B2558" i="106" s="1"/>
  <c r="D2558" i="106" s="1"/>
  <c r="D14" i="4"/>
  <c r="B2570" i="106" s="1"/>
  <c r="D2570" i="106" s="1"/>
  <c r="F14" i="4"/>
  <c r="B2597" i="106" s="1"/>
  <c r="D2597" i="106" s="1"/>
  <c r="B2633" i="106"/>
  <c r="D2633" i="106" s="1"/>
  <c r="D7" i="118"/>
  <c r="D8" i="118"/>
  <c r="D9" i="118"/>
  <c r="H14" i="118"/>
  <c r="H19" i="118"/>
  <c r="H24" i="118"/>
  <c r="H28" i="118"/>
  <c r="H33" i="118"/>
  <c r="D22" i="37"/>
  <c r="H22" i="37"/>
  <c r="J22" i="37"/>
  <c r="L22" i="37"/>
  <c r="D24" i="37"/>
  <c r="B4270" i="106" s="1"/>
  <c r="D4270" i="106" s="1"/>
  <c r="L5" i="11"/>
  <c r="B2056" i="106" s="1"/>
  <c r="D2056" i="106" s="1"/>
  <c r="D4" i="7"/>
  <c r="B1760" i="106" s="1"/>
  <c r="D1760" i="106" s="1"/>
  <c r="D13" i="7"/>
  <c r="B3726" i="106" s="1"/>
  <c r="D3726" i="106" s="1"/>
  <c r="D9" i="7"/>
  <c r="B1767" i="106" s="1"/>
  <c r="D1767" i="106" s="1"/>
  <c r="B5770" i="106"/>
  <c r="D5770" i="106" s="1"/>
  <c r="F136" i="34"/>
  <c r="F131" i="34"/>
  <c r="F130" i="34"/>
  <c r="F128" i="34"/>
  <c r="F127" i="34"/>
  <c r="B5847" i="106"/>
  <c r="D5847" i="106" s="1"/>
  <c r="B5752" i="106"/>
  <c r="D5752" i="106" s="1"/>
  <c r="B5599" i="106"/>
  <c r="D5599" i="106" s="1"/>
  <c r="K274" i="5"/>
  <c r="H173" i="5"/>
  <c r="B5906" i="106" s="1"/>
  <c r="D5906" i="106" s="1"/>
  <c r="H109" i="5"/>
  <c r="B6025" i="106" s="1"/>
  <c r="D6025" i="106" s="1"/>
  <c r="D109" i="5"/>
  <c r="B5356" i="106" s="1"/>
  <c r="D5356" i="106" s="1"/>
  <c r="F106" i="34"/>
  <c r="D7" i="7"/>
  <c r="B1763" i="106" s="1"/>
  <c r="D1763" i="106" s="1"/>
  <c r="H4" i="4"/>
  <c r="H6" i="4"/>
  <c r="B2656" i="106" s="1"/>
  <c r="D2656" i="106" s="1"/>
  <c r="B2655" i="106"/>
  <c r="D2655" i="106" s="1"/>
  <c r="B1746" i="106"/>
  <c r="D1746" i="106" s="1"/>
  <c r="D17" i="7"/>
  <c r="B4104" i="106" s="1"/>
  <c r="D4104" i="106" s="1"/>
  <c r="D11" i="7"/>
  <c r="B1768" i="106" s="1"/>
  <c r="D1768" i="106" s="1"/>
  <c r="D15" i="7"/>
  <c r="B1772" i="106" s="1"/>
  <c r="D1772" i="106" s="1"/>
  <c r="G30" i="108" l="1"/>
  <c r="N22" i="3"/>
  <c r="B283" i="106" s="1"/>
  <c r="D283" i="106" s="1"/>
  <c r="D69" i="36"/>
  <c r="F19" i="7"/>
  <c r="B1807" i="106" s="1"/>
  <c r="D1807" i="106" s="1"/>
  <c r="D11" i="37"/>
  <c r="H29" i="118"/>
  <c r="K28" i="118" s="1"/>
  <c r="O27" i="118" s="1"/>
  <c r="O29" i="118" s="1"/>
  <c r="D31" i="36"/>
  <c r="B1329" i="106"/>
  <c r="D1329" i="106" s="1"/>
  <c r="F61" i="34"/>
  <c r="L342" i="29"/>
  <c r="B1410" i="106"/>
  <c r="D1410" i="106" s="1"/>
  <c r="K184" i="29"/>
  <c r="F13" i="4" s="1"/>
  <c r="B2596" i="106" s="1"/>
  <c r="D2596" i="106" s="1"/>
  <c r="B6995" i="106"/>
  <c r="D6995" i="106" s="1"/>
  <c r="F26" i="108"/>
  <c r="D26" i="108"/>
  <c r="B1126" i="106"/>
  <c r="D1126" i="106" s="1"/>
  <c r="F111" i="34"/>
  <c r="C172" i="5"/>
  <c r="G109" i="5"/>
  <c r="D12" i="7"/>
  <c r="B1769" i="106" s="1"/>
  <c r="D1769" i="106" s="1"/>
  <c r="D4" i="4"/>
  <c r="B2564" i="106" s="1"/>
  <c r="D2564" i="106" s="1"/>
  <c r="D5" i="7"/>
  <c r="B1761" i="106" s="1"/>
  <c r="D1761" i="106" s="1"/>
  <c r="C109" i="5"/>
  <c r="B5121" i="106" s="1"/>
  <c r="D5121" i="106" s="1"/>
  <c r="D52" i="36"/>
  <c r="D54" i="36"/>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D18" i="7"/>
  <c r="B4105" i="106" s="1"/>
  <c r="D4105" i="106" s="1"/>
  <c r="K7" i="4"/>
  <c r="B3718" i="106" s="1"/>
  <c r="D3718" i="106" s="1"/>
  <c r="F105" i="34"/>
  <c r="F107" i="34"/>
  <c r="F109" i="5"/>
  <c r="F275" i="5" s="1"/>
  <c r="J109" i="5"/>
  <c r="J173" i="5"/>
  <c r="I6" i="4"/>
  <c r="B5011" i="106" s="1"/>
  <c r="D5011" i="106" s="1"/>
  <c r="B6014" i="106"/>
  <c r="D6014" i="106" s="1"/>
  <c r="F95" i="34"/>
  <c r="F129" i="34"/>
  <c r="D14" i="7"/>
  <c r="B1770" i="106" s="1"/>
  <c r="D1770"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L16" i="11" s="1"/>
  <c r="B2061" i="106" s="1"/>
  <c r="D206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60" i="106"/>
  <c r="D3660" i="106" s="1"/>
  <c r="B3650" i="106"/>
  <c r="D3650" i="106" s="1"/>
  <c r="D352" i="29"/>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F274" i="5"/>
  <c r="E273" i="5"/>
  <c r="B6835" i="106"/>
  <c r="D6835" i="106" s="1"/>
  <c r="G273" i="5"/>
  <c r="B4398" i="106"/>
  <c r="D4398" i="106" s="1"/>
  <c r="B5537" i="106"/>
  <c r="D5537" i="106" s="1"/>
  <c r="E173" i="5"/>
  <c r="I109" i="5"/>
  <c r="B5527" i="106"/>
  <c r="D5527" i="106" s="1"/>
  <c r="L279" i="29"/>
  <c r="L295" i="29" s="1"/>
  <c r="L74" i="29"/>
  <c r="L114" i="29" s="1"/>
  <c r="K33" i="29"/>
  <c r="B720" i="106"/>
  <c r="D720" i="106" s="1"/>
  <c r="B2031" i="106"/>
  <c r="D2031" i="106" s="1"/>
  <c r="B7618" i="106"/>
  <c r="L14" i="11"/>
  <c r="B7623" i="106" s="1"/>
  <c r="D7252" i="106"/>
  <c r="D7250" i="106"/>
  <c r="B7230" i="106"/>
  <c r="D7230" i="106" s="1"/>
  <c r="I352" i="29"/>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72" i="106"/>
  <c r="D3672" i="106" s="1"/>
  <c r="B3633" i="106"/>
  <c r="D3633" i="106" s="1"/>
  <c r="E352" i="29"/>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8" i="106"/>
  <c r="D1318" i="106" s="1"/>
  <c r="B1127" i="106"/>
  <c r="D1127" i="106" s="1"/>
  <c r="K65" i="29"/>
  <c r="B1133" i="106" s="1"/>
  <c r="D1133" i="106" s="1"/>
  <c r="B1123" i="106"/>
  <c r="D1123" i="106" s="1"/>
  <c r="K57" i="29"/>
  <c r="K365" i="29"/>
  <c r="K367" i="29" s="1"/>
  <c r="B3640" i="106"/>
  <c r="D3640" i="106" s="1"/>
  <c r="F352" i="29"/>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73" i="5"/>
  <c r="J24" i="12"/>
  <c r="B7730" i="106"/>
  <c r="D7730" i="106" s="1"/>
  <c r="H275" i="5"/>
  <c r="B5914" i="106"/>
  <c r="D5914" i="106" s="1"/>
  <c r="J7" i="4"/>
  <c r="B2657" i="106"/>
  <c r="D2657" i="106" s="1"/>
  <c r="H8" i="4"/>
  <c r="D274" i="5"/>
  <c r="B7270" i="106"/>
  <c r="N23" i="3" l="1"/>
  <c r="B284" i="106" s="1"/>
  <c r="D284" i="106" s="1"/>
  <c r="B1317" i="106"/>
  <c r="D1317" i="106" s="1"/>
  <c r="K342" i="29"/>
  <c r="F13" i="34" s="1"/>
  <c r="C114" i="29"/>
  <c r="B757" i="106" s="1"/>
  <c r="D757" i="106" s="1"/>
  <c r="B5214" i="106"/>
  <c r="D5214" i="106" s="1"/>
  <c r="C173" i="5"/>
  <c r="B6024" i="106"/>
  <c r="D6024" i="106" s="1"/>
  <c r="G4" i="4"/>
  <c r="B2603" i="106" s="1"/>
  <c r="D2603" i="106" s="1"/>
  <c r="C4" i="4"/>
  <c r="B2551" i="106" s="1"/>
  <c r="D2551" i="106" s="1"/>
  <c r="D19" i="7"/>
  <c r="B1775" i="106" s="1"/>
  <c r="D1775"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B6222" i="106"/>
  <c r="D6222" i="106" s="1"/>
  <c r="J8" i="4"/>
  <c r="B2658" i="106"/>
  <c r="D2658" i="106" s="1"/>
  <c r="H10" i="4"/>
  <c r="B4127" i="106" s="1"/>
  <c r="D4127" i="106" s="1"/>
  <c r="D7" i="4"/>
  <c r="D275" i="5"/>
  <c r="B5507" i="106"/>
  <c r="D5507" i="106" s="1"/>
  <c r="B7298" i="106"/>
  <c r="B7299" i="106"/>
  <c r="E41" i="108" l="1"/>
  <c r="E44" i="108" s="1"/>
  <c r="E45" i="108" s="1"/>
  <c r="G41" i="108"/>
  <c r="G44" i="108" s="1"/>
  <c r="G45" i="108" s="1"/>
  <c r="F8" i="4"/>
  <c r="B5223" i="106"/>
  <c r="D5223" i="106" s="1"/>
  <c r="C6" i="4"/>
  <c r="B2553" i="106" s="1"/>
  <c r="D255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76" i="34" s="1"/>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D10" i="171" l="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F179"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B3588" i="106" l="1"/>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<sst xmlns="http://schemas.openxmlformats.org/spreadsheetml/2006/main" count="5125" uniqueCount="2163">
  <si>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</si>
  <si>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</si>
  <si>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</si>
  <si>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</si>
  <si>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</si>
  <si>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</si>
  <si>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</si>
  <si>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</si>
  <si>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</si>
  <si>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</si>
  <si>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</si>
  <si>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</si>
  <si>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</si>
  <si>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</si>
  <si>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</si>
  <si>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</si>
  <si>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</si>
  <si>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</si>
  <si>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</si>
  <si>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</si>
  <si>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</si>
  <si>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</si>
  <si>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</si>
  <si>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</si>
  <si>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</si>
  <si>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</si>
  <si>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</si>
  <si>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</si>
  <si>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</si>
  <si>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</si>
  <si>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</si>
  <si>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</si>
  <si>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</si>
  <si>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</si>
  <si>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</si>
  <si>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</si>
  <si>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</si>
  <si>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</si>
  <si>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</si>
  <si>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</si>
  <si>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</si>
  <si>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</si>
  <si>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</si>
  <si>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</si>
  <si>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</si>
  <si>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</si>
  <si>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</si>
  <si>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</si>
  <si>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</si>
  <si>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</si>
  <si>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</si>
  <si>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</si>
  <si>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</si>
  <si>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</si>
  <si>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</si>
  <si>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</si>
  <si>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</si>
  <si>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</si>
  <si>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</si>
  <si>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</si>
  <si>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</si>
  <si>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</si>
  <si>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</si>
  <si>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</si>
  <si>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</si>
  <si>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</si>
  <si>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</si>
  <si>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</si>
  <si>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</si>
  <si>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</si>
  <si>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</si>
  <si>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</si>
  <si>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</si>
  <si>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</si>
  <si>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</si>
  <si>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</si>
  <si>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</si>
  <si>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</si>
  <si>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</si>
  <si>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</si>
  <si>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</si>
  <si>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</si>
  <si>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</si>
  <si>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</si>
  <si>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</si>
  <si>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</si>
  <si>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</si>
  <si>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</si>
  <si>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</si>
  <si>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</si>
  <si>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</si>
  <si>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</si>
  <si>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</si>
  <si>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</si>
  <si>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</si>
  <si>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</si>
  <si>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</si>
  <si>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</si>
  <si>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</si>
  <si>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</si>
  <si>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</si>
  <si>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</si>
  <si>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</si>
  <si>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</si>
  <si>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</si>
  <si>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</si>
  <si>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</si>
  <si>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</si>
  <si>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</si>
  <si>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</si>
  <si>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</si>
  <si>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</si>
  <si>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</si>
  <si>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</si>
  <si>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</si>
  <si>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</si>
  <si>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</si>
  <si>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</si>
  <si>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</si>
  <si>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</si>
  <si>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</si>
  <si>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</si>
  <si>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</si>
  <si>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</si>
  <si>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</si>
  <si>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</si>
  <si>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</si>
  <si>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</si>
  <si>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</si>
  <si>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</si>
  <si>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</si>
  <si>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</si>
  <si>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</si>
  <si>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</si>
  <si>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</si>
  <si>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</si>
  <si>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</si>
  <si>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</si>
  <si>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</si>
  <si>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</si>
  <si>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</si>
  <si>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</si>
  <si>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</si>
  <si>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</si>
  <si>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</si>
  <si>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</si>
  <si>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</si>
  <si>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</si>
  <si>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</si>
  <si>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</si>
  <si>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</si>
  <si>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</si>
  <si>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</si>
  <si>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</si>
  <si>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</si>
  <si>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</si>
  <si>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</si>
  <si>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</si>
  <si>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</si>
  <si>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</si>
  <si>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</si>
  <si>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</si>
  <si>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</si>
  <si>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</si>
  <si>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</si>
  <si>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</si>
  <si>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</si>
  <si>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</si>
  <si>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</si>
  <si>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</si>
  <si>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</si>
  <si>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</si>
  <si>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</si>
  <si>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</si>
  <si>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</si>
  <si>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</si>
  <si>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</si>
  <si>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</si>
  <si>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</si>
  <si>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</si>
  <si>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</si>
  <si>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</si>
  <si>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</si>
  <si>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</si>
  <si>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</si>
  <si>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</si>
  <si>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</si>
  <si>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</si>
  <si>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</si>
  <si>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</si>
  <si>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</si>
  <si>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</si>
  <si>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</si>
  <si>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</si>
  <si>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</si>
  <si>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</si>
  <si>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</si>
  <si>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</si>
  <si>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</si>
  <si>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</si>
  <si>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</si>
  <si>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</si>
  <si>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</si>
  <si>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</si>
  <si>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</si>
  <si>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</si>
  <si>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</si>
  <si>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</si>
  <si>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</si>
  <si>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</si>
  <si>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</si>
  <si>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</si>
  <si>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</si>
  <si>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</si>
  <si>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</si>
  <si>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</si>
  <si>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</si>
  <si>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</si>
  <si>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</si>
  <si>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</si>
  <si>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</si>
  <si>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</si>
  <si>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</si>
  <si>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</si>
  <si>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</si>
  <si>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</si>
  <si>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</si>
  <si>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</si>
  <si>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</si>
  <si>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</si>
  <si>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</si>
  <si>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</si>
  <si>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</si>
  <si>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</si>
  <si>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</si>
  <si>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</si>
  <si>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</si>
  <si>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</si>
  <si>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</si>
  <si>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</si>
  <si>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</si>
  <si>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</si>
  <si>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</si>
  <si>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</si>
  <si>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</si>
  <si>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</si>
  <si>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</si>
  <si>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</si>
  <si>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</si>
  <si>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</si>
  <si>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</si>
  <si>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</si>
  <si>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</si>
  <si>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</si>
  <si>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</si>
  <si>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</si>
  <si>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</si>
  <si>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</si>
  <si>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</si>
  <si>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</si>
  <si>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</si>
  <si>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</si>
  <si>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</si>
  <si>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</si>
  <si>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</si>
  <si>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</si>
  <si>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</si>
  <si>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</si>
  <si>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</si>
  <si>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</si>
  <si>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</si>
  <si>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</si>
  <si>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</si>
  <si>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</si>
  <si>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</si>
  <si>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</si>
  <si>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</si>
  <si>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</si>
  <si>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</si>
  <si>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</si>
  <si>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</si>
  <si>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</si>
  <si>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</si>
  <si>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</si>
  <si>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</si>
  <si>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</si>
  <si>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</si>
  <si>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</si>
  <si>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</si>
  <si>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</si>
  <si>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</si>
  <si>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</si>
  <si>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</si>
  <si>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</si>
  <si>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</si>
  <si>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</si>
  <si>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</si>
  <si>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</si>
  <si>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</si>
  <si>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</si>
  <si>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</si>
  <si>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</si>
  <si>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</si>
  <si>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</si>
  <si>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</si>
  <si>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</si>
  <si>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</si>
  <si>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</si>
  <si>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</si>
  <si>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</si>
  <si>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</si>
  <si>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</si>
  <si>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</si>
  <si>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</si>
  <si>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</si>
  <si>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</si>
  <si>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</si>
  <si>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</si>
  <si>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</si>
  <si>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</si>
  <si>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</si>
  <si>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</si>
  <si>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</si>
  <si>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</si>
  <si>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</si>
  <si>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</si>
  <si>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</si>
  <si>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</si>
  <si>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</si>
  <si>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</si>
  <si>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</si>
  <si>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</si>
  <si>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</si>
  <si>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</si>
  <si>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</si>
  <si>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</si>
  <si>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</si>
  <si>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</si>
  <si>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</si>
  <si>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</si>
  <si>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</si>
  <si>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</si>
  <si>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</si>
  <si>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</si>
  <si>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</si>
  <si>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</si>
  <si>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</si>
  <si>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</si>
  <si>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</si>
  <si>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</si>
  <si>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</si>
  <si>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</si>
  <si>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</si>
  <si>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</si>
  <si>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</si>
  <si>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</si>
  <si>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</si>
  <si>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</si>
  <si>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</si>
  <si>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</si>
  <si>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</si>
  <si>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</si>
  <si>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</si>
  <si>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</si>
  <si>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</si>
  <si>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</si>
  <si>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</si>
  <si>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</si>
  <si>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</si>
  <si>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</si>
  <si>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</si>
  <si>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</si>
  <si>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</si>
  <si>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</si>
  <si>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</si>
  <si>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</si>
  <si>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</si>
  <si>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</si>
  <si>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</si>
  <si>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</si>
  <si>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</si>
  <si>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</si>
  <si>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</si>
  <si>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</si>
  <si>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</si>
  <si>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</si>
  <si>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</si>
  <si>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</si>
  <si>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</si>
  <si>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</si>
  <si>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</si>
  <si>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</si>
  <si>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</si>
  <si>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</si>
  <si>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</si>
  <si>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</si>
  <si>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</si>
  <si>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</si>
  <si>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</si>
  <si>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</si>
  <si>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</si>
  <si>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</si>
  <si>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</si>
  <si>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</si>
  <si>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</si>
  <si>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</si>
  <si>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</si>
  <si>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</si>
  <si>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</si>
  <si>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</si>
  <si>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</si>
  <si>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</si>
  <si>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</si>
  <si>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</si>
  <si>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</si>
  <si>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</si>
  <si>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</si>
  <si>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</si>
  <si>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</si>
  <si>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</si>
  <si>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</si>
  <si>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</si>
  <si>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</si>
  <si>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</si>
  <si>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</si>
  <si>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</si>
  <si>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</si>
  <si>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</si>
  <si>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</si>
  <si>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</si>
  <si>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</si>
  <si>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</si>
  <si>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</si>
  <si>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</si>
  <si>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</si>
  <si>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</si>
  <si>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</si>
  <si>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</si>
  <si>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</si>
  <si>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</si>
  <si>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</si>
  <si>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</si>
  <si>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</si>
  <si>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</si>
  <si>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</si>
  <si>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</si>
  <si>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</si>
  <si>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</si>
  <si>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</si>
  <si>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</si>
  <si>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</si>
  <si>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</si>
  <si>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</si>
  <si>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</si>
  <si>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</si>
  <si>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</si>
  <si>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</si>
  <si>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</si>
  <si>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</si>
  <si>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</si>
  <si>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</si>
  <si>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</si>
  <si>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</si>
  <si>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</si>
  <si>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</si>
  <si>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</si>
  <si>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</si>
  <si>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</si>
  <si>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</si>
  <si>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</si>
  <si>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</si>
  <si>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</si>
  <si>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</si>
  <si>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</si>
  <si>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</si>
  <si>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</si>
  <si>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</si>
  <si>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</si>
  <si>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</si>
  <si>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</si>
  <si>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</si>
  <si>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</si>
  <si>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</si>
  <si>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</si>
  <si>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</si>
  <si>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</si>
  <si>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</si>
  <si>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</si>
  <si>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</si>
  <si>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</si>
  <si>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</si>
  <si>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</si>
  <si>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</si>
  <si>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</si>
  <si>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</si>
  <si>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</si>
  <si>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</si>
  <si>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</si>
  <si>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</si>
  <si>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</si>
  <si>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</si>
  <si>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</si>
  <si>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</si>
  <si>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</si>
  <si>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</si>
  <si>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</si>
  <si>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</si>
  <si>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</si>
  <si>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</si>
  <si>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</si>
  <si>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</si>
  <si>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</si>
  <si>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</si>
  <si>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</si>
  <si>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</si>
  <si>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</si>
  <si>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</si>
  <si>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</si>
  <si>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</si>
  <si>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</si>
  <si>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</si>
  <si>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</si>
  <si>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</si>
  <si>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</si>
  <si>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</si>
  <si>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</si>
  <si>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</si>
  <si>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</si>
  <si>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</si>
  <si>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</si>
  <si>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</si>
  <si>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</si>
  <si>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</si>
  <si>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</si>
  <si>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</si>
  <si>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</si>
  <si>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</si>
  <si>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</si>
  <si>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</si>
  <si>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</si>
  <si>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</si>
  <si>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</si>
  <si>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</si>
  <si>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</si>
  <si>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</si>
  <si>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</si>
  <si>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</si>
  <si>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</si>
  <si>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</si>
  <si>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</si>
  <si>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</si>
  <si>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</si>
  <si>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</si>
  <si>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</si>
  <si>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</si>
  <si>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</si>
  <si>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</si>
  <si>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</si>
  <si>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</si>
  <si>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</si>
  <si>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</si>
  <si>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</si>
  <si>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</si>
  <si>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</si>
  <si>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</si>
  <si>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</si>
  <si>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</si>
  <si>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</si>
  <si>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</si>
  <si>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</si>
  <si>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</si>
  <si>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</si>
  <si>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</si>
  <si>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</si>
  <si>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</si>
  <si>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</si>
  <si>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</si>
  <si>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</si>
  <si>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</si>
  <si>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</si>
  <si>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</si>
  <si>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</si>
  <si>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</si>
  <si>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</si>
  <si>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</si>
  <si>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</si>
  <si>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</si>
  <si>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</si>
  <si>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</si>
  <si>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</si>
  <si>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</si>
  <si>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</si>
  <si>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</si>
  <si>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</si>
  <si>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</si>
  <si>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</si>
  <si>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</si>
  <si>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</si>
  <si>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</si>
  <si>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</si>
  <si>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</si>
  <si>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</si>
  <si>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</si>
  <si>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</si>
  <si>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</si>
  <si>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</si>
  <si>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</si>
  <si>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</si>
  <si>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</si>
  <si>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</si>
  <si>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</si>
  <si>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</si>
  <si>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</si>
  <si>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</si>
  <si>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</si>
  <si>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</si>
  <si>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</si>
  <si>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</si>
  <si>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</si>
  <si>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</si>
  <si>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</si>
  <si>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</si>
  <si>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</si>
  <si>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</si>
  <si>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</si>
  <si>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</si>
  <si>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</si>
  <si>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</si>
  <si>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</si>
  <si>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</si>
  <si>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</si>
  <si>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</si>
  <si>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</si>
  <si>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</si>
  <si>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</si>
  <si>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</si>
  <si>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</si>
  <si>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</si>
  <si>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</si>
  <si>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</si>
  <si>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</si>
  <si>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</si>
  <si>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</si>
  <si>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</si>
  <si>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</si>
  <si>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</si>
  <si>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</si>
  <si>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</si>
  <si>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</si>
  <si>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</si>
  <si>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</si>
  <si>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</si>
  <si>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</si>
  <si>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</si>
  <si>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</si>
  <si>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</si>
  <si>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</si>
  <si>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</si>
  <si>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</si>
  <si>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</si>
  <si>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</si>
  <si>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</si>
  <si>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</si>
  <si>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</si>
  <si>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</si>
  <si>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</si>
  <si>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</si>
  <si>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</si>
  <si>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</si>
  <si>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</si>
  <si>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</si>
  <si>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</si>
  <si>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</si>
  <si>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</si>
  <si>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</si>
  <si>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</si>
  <si>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</si>
  <si>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</si>
  <si>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</si>
  <si>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</si>
  <si>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</si>
  <si>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</si>
  <si>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</si>
  <si>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</si>
  <si>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</si>
  <si>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</si>
  <si>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</si>
  <si>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</si>
  <si>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</si>
  <si>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</si>
  <si>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</si>
  <si>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</si>
  <si>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</si>
  <si>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</si>
  <si>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</si>
  <si>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</si>
  <si>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</si>
  <si>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</si>
  <si>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</si>
  <si>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</si>
  <si>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</si>
  <si>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</si>
  <si>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</si>
  <si>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</si>
  <si>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</si>
  <si>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</si>
  <si>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</si>
  <si>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</si>
  <si>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</si>
  <si>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</si>
  <si>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</si>
  <si>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</si>
  <si>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</si>
  <si>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</si>
  <si>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</si>
  <si>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</si>
  <si>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</si>
  <si>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</si>
  <si>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</si>
  <si>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</si>
  <si>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</si>
  <si>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</si>
  <si>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</si>
  <si>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</si>
  <si>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</si>
  <si>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</si>
  <si>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</si>
  <si>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</si>
  <si>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</si>
  <si>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</si>
  <si>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</si>
  <si>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</si>
  <si>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</si>
  <si>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</si>
  <si>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</si>
  <si>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</si>
  <si>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</si>
  <si>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</si>
  <si>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</si>
  <si>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</si>
  <si>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</si>
  <si>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</si>
  <si>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</si>
  <si>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</si>
  <si>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</si>
  <si>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</si>
  <si>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</si>
  <si>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</si>
  <si>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</si>
  <si>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</si>
  <si>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</si>
  <si>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</si>
  <si>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</si>
  <si>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</si>
  <si>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</si>
  <si>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</si>
  <si>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</si>
  <si>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</si>
  <si>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</si>
  <si>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</si>
  <si>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</si>
  <si>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</si>
  <si>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</si>
  <si>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</si>
  <si>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</si>
  <si>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</si>
  <si>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</si>
  <si>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</si>
  <si>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</si>
  <si>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</si>
  <si>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</si>
  <si>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</si>
  <si>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</si>
  <si>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</si>
  <si>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</si>
  <si>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</si>
  <si>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</si>
  <si>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</si>
  <si>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</si>
  <si>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</si>
  <si>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</si>
  <si>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</si>
  <si>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</si>
  <si>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</si>
  <si>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</si>
  <si>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</si>
  <si>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</si>
  <si>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</si>
  <si>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</si>
  <si>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</si>
  <si>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</si>
  <si>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</si>
  <si>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</si>
  <si>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</si>
  <si>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</si>
  <si>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</si>
  <si>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</si>
  <si>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</si>
  <si>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</si>
  <si>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</si>
  <si>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</si>
  <si>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</si>
  <si>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</si>
  <si>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</si>
  <si>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</si>
  <si>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</si>
  <si>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</si>
  <si>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</si>
  <si>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</si>
  <si>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</si>
  <si>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</si>
  <si>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</si>
  <si>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</si>
  <si>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</si>
  <si>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</si>
  <si>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</si>
  <si>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</si>
  <si>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</si>
  <si>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</si>
  <si>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</si>
  <si>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</si>
  <si>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</si>
  <si>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</si>
  <si>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</si>
  <si>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</si>
  <si>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</si>
  <si>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</si>
  <si>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</si>
  <si>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</si>
  <si>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</si>
  <si>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</si>
  <si>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</si>
  <si>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</si>
  <si>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</si>
  <si>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</si>
  <si>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</si>
  <si>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</si>
  <si>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</si>
  <si>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</si>
  <si>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</si>
  <si>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</si>
  <si>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</si>
  <si>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</si>
  <si>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</si>
  <si>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</si>
  <si>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</si>
  <si>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</si>
  <si>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</si>
  <si>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</si>
  <si>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</si>
  <si>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</si>
  <si>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</si>
  <si>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</si>
  <si>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</si>
  <si>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</si>
  <si>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</si>
  <si>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</si>
  <si>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</si>
  <si>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</si>
  <si>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</si>
  <si>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</si>
  <si>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</si>
  <si>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</si>
  <si>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</si>
  <si>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</si>
  <si>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</si>
  <si>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</si>
  <si>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</si>
  <si>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</si>
  <si>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</si>
  <si>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</si>
  <si>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</si>
  <si>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</si>
  <si>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</si>
  <si>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</si>
  <si>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</si>
  <si>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</si>
  <si>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</si>
  <si>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</si>
  <si>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</si>
  <si>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</si>
  <si>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</si>
  <si>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</si>
  <si>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</si>
  <si>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</si>
  <si>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</si>
  <si>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</si>
  <si>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</si>
  <si>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</si>
  <si>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</si>
  <si>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</si>
  <si>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</si>
  <si>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</si>
  <si>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</si>
  <si>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</si>
  <si>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</si>
  <si>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</si>
  <si>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</si>
  <si>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</si>
  <si>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</si>
  <si>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</si>
  <si>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</si>
  <si>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</si>
  <si>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</si>
  <si>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</si>
  <si>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</si>
  <si>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</si>
  <si>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</si>
  <si>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</si>
  <si>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</si>
  <si>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</si>
  <si>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</si>
  <si>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</si>
  <si>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</si>
  <si>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</si>
  <si>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</si>
  <si>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</si>
  <si>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</si>
  <si>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</si>
  <si>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</si>
  <si>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</si>
  <si>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</si>
  <si>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</si>
  <si>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</si>
  <si>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</si>
  <si>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</si>
  <si>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</si>
  <si>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</si>
  <si>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</si>
  <si>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</si>
  <si>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</si>
  <si>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</si>
  <si>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</si>
  <si>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</si>
  <si>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</si>
  <si>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</si>
  <si>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</si>
  <si>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</si>
  <si>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</si>
  <si>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</si>
  <si>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</si>
  <si>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</si>
  <si>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</si>
  <si>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</si>
  <si>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</si>
  <si>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</si>
  <si>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</si>
  <si>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</si>
  <si>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</si>
  <si>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</si>
  <si>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</si>
  <si>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</si>
  <si>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</si>
  <si>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</si>
  <si>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</si>
  <si>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</si>
  <si>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</si>
  <si>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</si>
  <si>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</si>
  <si>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</si>
  <si>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</si>
  <si>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</si>
  <si>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</si>
  <si>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</si>
  <si>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</si>
  <si>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</si>
  <si>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</si>
  <si>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</si>
  <si>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</si>
  <si>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</si>
  <si>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</si>
  <si>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</si>
  <si>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</si>
  <si>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</si>
  <si>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</si>
  <si>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</si>
  <si>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</si>
  <si>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</si>
  <si>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</si>
  <si>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</si>
  <si>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</si>
  <si>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</si>
  <si>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</si>
  <si>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</si>
  <si>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</si>
  <si>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</si>
  <si>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</si>
  <si>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</si>
  <si>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</si>
  <si>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</si>
  <si>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</si>
  <si>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</si>
  <si>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</si>
  <si>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</si>
  <si>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</si>
  <si>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</si>
  <si>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</si>
  <si>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</si>
  <si>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</si>
  <si>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</si>
  <si>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</si>
  <si>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</si>
  <si>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</si>
  <si>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</si>
  <si>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</si>
  <si>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</si>
  <si>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</si>
  <si>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</si>
  <si>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</si>
  <si>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</si>
  <si>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</si>
  <si>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</si>
  <si>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</si>
  <si>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</si>
  <si>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</si>
  <si>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</si>
  <si>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</si>
  <si>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</si>
  <si>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</si>
  <si>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</si>
  <si>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</si>
  <si>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</si>
  <si>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</si>
  <si>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</si>
  <si>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</si>
  <si>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</si>
  <si>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</si>
  <si>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</si>
  <si>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</si>
  <si>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</si>
  <si>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</si>
  <si>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</si>
  <si>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</si>
  <si>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</si>
  <si>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</si>
  <si>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</si>
  <si>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</si>
  <si>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</si>
  <si>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</si>
  <si>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</si>
  <si>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</si>
  <si>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</si>
  <si>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</si>
  <si>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</si>
  <si>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</si>
  <si>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</si>
  <si>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</si>
  <si>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</si>
  <si>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</si>
  <si>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</si>
  <si>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</si>
  <si>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</si>
  <si>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</si>
  <si>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</si>
  <si>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</si>
  <si>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</si>
  <si>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</si>
  <si>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</si>
  <si>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</si>
  <si>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</si>
  <si>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</si>
  <si>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</si>
  <si>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</si>
  <si>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</si>
  <si>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</si>
  <si>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</si>
  <si>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</si>
  <si>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</si>
  <si>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</si>
  <si>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</si>
  <si>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</si>
  <si>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</si>
  <si>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</si>
  <si>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</si>
  <si>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</si>
  <si>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</si>
  <si>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</si>
  <si>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</si>
  <si>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</si>
  <si>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</si>
  <si>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</si>
  <si>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</si>
  <si>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</si>
  <si>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</si>
  <si>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</si>
  <si>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</si>
  <si>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</si>
  <si>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</si>
  <si>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</si>
  <si>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</si>
  <si>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</si>
  <si>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</si>
  <si>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</si>
  <si>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</si>
  <si>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</si>
  <si>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</si>
  <si>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</si>
  <si>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</si>
  <si>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</si>
  <si>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</si>
  <si>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</si>
  <si>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</si>
  <si>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</si>
  <si>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</si>
  <si>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</si>
  <si>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</si>
  <si>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</si>
  <si>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</si>
  <si>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</si>
  <si>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</si>
  <si>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</si>
  <si>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</si>
  <si>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</si>
  <si>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</si>
  <si>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</si>
  <si>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</si>
  <si>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</si>
  <si>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</si>
  <si>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</si>
  <si>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</si>
  <si>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</si>
  <si>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</si>
  <si>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</si>
  <si>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</si>
  <si>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</si>
  <si>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</si>
  <si>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</si>
  <si>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</si>
  <si>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</si>
  <si>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</si>
  <si>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</si>
  <si>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</si>
  <si>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</si>
  <si>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</si>
  <si>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</si>
  <si>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</si>
  <si>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</si>
  <si>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</si>
  <si>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</si>
  <si>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</si>
  <si>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</si>
  <si>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</si>
  <si>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</si>
  <si>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</si>
  <si>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</si>
  <si>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</si>
  <si>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</si>
  <si>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</si>
  <si>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</si>
  <si>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</si>
  <si>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</si>
  <si>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</si>
  <si>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</si>
  <si>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</si>
  <si>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</si>
  <si>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</si>
  <si>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</si>
  <si>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</si>
  <si>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</si>
  <si>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</si>
  <si>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</si>
  <si>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</si>
  <si>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</si>
  <si>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</si>
  <si>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</si>
  <si>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</si>
  <si>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</si>
  <si>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</si>
  <si>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</si>
  <si>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</si>
  <si>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</si>
  <si>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</si>
  <si>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</si>
  <si>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</si>
  <si>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</si>
  <si>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</si>
  <si>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</si>
  <si>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</si>
  <si>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</si>
  <si>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</si>
  <si>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</si>
  <si>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</si>
  <si>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</si>
  <si>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</si>
  <si>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</si>
  <si>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</si>
  <si>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</si>
  <si>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</si>
  <si>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</si>
  <si>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</si>
  <si>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</si>
  <si>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</si>
  <si>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</si>
  <si>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</si>
  <si>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</si>
  <si>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</si>
  <si>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</si>
  <si>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</si>
  <si>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</si>
  <si>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</si>
  <si>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</si>
  <si>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</si>
  <si>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</si>
  <si>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</si>
  <si>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</si>
  <si>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</si>
  <si>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</si>
  <si>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</si>
  <si>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</si>
  <si>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</si>
  <si>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</si>
  <si>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</si>
  <si>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</si>
  <si>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</si>
  <si>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</si>
  <si>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</si>
  <si>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</si>
  <si>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</si>
  <si>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</si>
  <si>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</si>
  <si>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</si>
  <si>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</si>
  <si>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</si>
  <si>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</si>
  <si>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</si>
  <si>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</si>
  <si>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</si>
  <si>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</si>
  <si>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</si>
  <si>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</si>
  <si>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</si>
  <si>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</si>
  <si>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</si>
  <si>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</si>
  <si>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</si>
  <si>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</si>
  <si>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</si>
  <si>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</si>
  <si>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</si>
  <si>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</si>
  <si>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</si>
  <si>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</si>
  <si>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</si>
  <si>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</si>
  <si>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</si>
  <si>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</si>
  <si>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</si>
  <si>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</si>
  <si>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</si>
  <si>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</si>
  <si>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</si>
  <si>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</si>
  <si>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</si>
  <si>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</si>
  <si>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</si>
  <si>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</si>
  <si>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</si>
  <si>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</si>
  <si>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</si>
  <si>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</si>
  <si>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</si>
  <si>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</si>
  <si>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</si>
  <si>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</si>
  <si>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</si>
  <si>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</si>
  <si>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</si>
  <si>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</si>
  <si>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</si>
  <si>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</si>
  <si>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</si>
  <si>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</si>
  <si>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</si>
  <si>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</si>
  <si>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</si>
  <si>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</si>
  <si>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</si>
  <si>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</si>
  <si>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</si>
  <si>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</si>
  <si>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</si>
  <si>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</si>
  <si>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</si>
  <si>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</si>
  <si>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</si>
  <si>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</si>
  <si>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</si>
  <si>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</si>
  <si>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</si>
  <si>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</si>
  <si>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</si>
  <si>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</si>
  <si>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</si>
  <si>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</si>
  <si>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</si>
  <si>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</si>
  <si>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</si>
  <si>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</si>
  <si>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</si>
  <si>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</si>
  <si>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</si>
  <si>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</si>
  <si>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</si>
  <si>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</si>
  <si>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</si>
  <si>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</si>
  <si>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</si>
  <si>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</si>
  <si>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</si>
  <si>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</si>
  <si>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</si>
  <si>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</si>
  <si>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</si>
  <si>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</si>
  <si>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</si>
  <si>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</si>
  <si>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</si>
  <si>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</si>
  <si>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</si>
  <si>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</si>
  <si>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</si>
  <si>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</si>
  <si>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</si>
  <si>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</si>
  <si>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</si>
  <si>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</si>
  <si>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</si>
  <si>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</si>
  <si>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</si>
  <si>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</si>
  <si>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</si>
  <si>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</si>
  <si>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</si>
  <si>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</si>
  <si>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</si>
  <si>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</si>
  <si>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</si>
  <si>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</si>
  <si>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</si>
  <si>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</si>
  <si>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</si>
  <si>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</si>
  <si>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</si>
  <si>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</si>
  <si>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</si>
  <si>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</si>
  <si>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</si>
  <si>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</si>
  <si>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</si>
  <si>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</si>
  <si>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</si>
  <si>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</si>
  <si>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</si>
  <si>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</si>
  <si>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</si>
  <si>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</si>
  <si>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</si>
  <si>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</si>
  <si>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</si>
  <si>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</si>
  <si>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</si>
  <si>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</si>
  <si>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</si>
  <si>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</si>
  <si>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</si>
  <si>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</si>
  <si>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</si>
  <si>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</si>
  <si>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</si>
  <si>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</si>
  <si>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</si>
  <si>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</si>
  <si>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</si>
  <si>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</si>
  <si>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</si>
  <si>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</si>
  <si>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</si>
  <si>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</si>
  <si>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</si>
  <si>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</si>
  <si>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</si>
  <si>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</si>
  <si>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</si>
  <si>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</si>
  <si>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</si>
  <si>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</si>
  <si>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</si>
  <si>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</si>
  <si>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</si>
  <si>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</si>
  <si>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</si>
  <si>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</si>
  <si>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</si>
  <si>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</si>
  <si>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</si>
  <si>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</si>
  <si>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</si>
  <si>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</si>
  <si>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</si>
  <si>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</si>
  <si>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</si>
  <si>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</si>
  <si>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</si>
  <si>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</si>
  <si>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</si>
  <si>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</si>
  <si>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</si>
  <si>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</si>
  <si>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</si>
  <si>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</si>
  <si>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</si>
  <si>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</si>
  <si>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</si>
  <si>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</si>
  <si>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</si>
  <si>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</si>
  <si>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</si>
  <si>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</si>
  <si>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</si>
  <si>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</si>
  <si>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</si>
  <si>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</si>
  <si>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</si>
  <si>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</si>
  <si>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</si>
  <si>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</si>
  <si>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</si>
  <si>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</si>
  <si>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</si>
  <si>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</si>
  <si>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</si>
  <si>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</si>
  <si>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</si>
  <si>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</si>
  <si>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</si>
  <si>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</si>
  <si>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</si>
  <si>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</si>
  <si>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</si>
  <si>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</si>
  <si>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</si>
  <si>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</si>
  <si>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</si>
  <si>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</si>
  <si>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</si>
  <si>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</si>
  <si>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</si>
  <si>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</si>
  <si>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</si>
  <si>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</si>
  <si>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</si>
  <si>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</si>
  <si>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</si>
  <si>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</si>
  <si>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</si>
  <si>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</si>
  <si>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</si>
  <si>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</si>
  <si>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</si>
  <si>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</si>
  <si>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</si>
  <si>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</si>
  <si>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</si>
  <si>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</si>
  <si>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</si>
  <si>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</si>
  <si>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</si>
  <si>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</si>
  <si>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</si>
  <si>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</si>
  <si>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</si>
  <si>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</si>
  <si>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</si>
  <si>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</si>
  <si>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</si>
  <si>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</si>
  <si>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</si>
  <si>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</si>
  <si>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</si>
  <si>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</si>
  <si>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</si>
  <si>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</si>
  <si>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</si>
  <si>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</si>
  <si>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</si>
  <si>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</si>
  <si>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</si>
  <si>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</si>
  <si>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</si>
  <si>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</si>
  <si>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</si>
  <si>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</si>
  <si>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</si>
  <si>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</si>
  <si>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</si>
  <si>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</si>
  <si>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</si>
  <si>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</si>
  <si>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</si>
  <si>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</si>
  <si>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</si>
  <si>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</si>
  <si>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</si>
  <si>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</si>
  <si>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</si>
  <si>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</si>
  <si>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</si>
  <si>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</si>
  <si>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</si>
  <si>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</si>
  <si>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</si>
  <si>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</si>
  <si>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</si>
  <si>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</si>
  <si>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</si>
  <si>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</si>
  <si>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</si>
  <si>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</si>
  <si>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</si>
  <si>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</si>
  <si>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</si>
  <si>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</si>
  <si>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</si>
  <si>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</si>
  <si>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</si>
  <si>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</si>
  <si>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</si>
  <si>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</si>
  <si>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</si>
  <si>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</si>
  <si>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</si>
  <si>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</si>
  <si>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</si>
  <si>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</si>
  <si>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</si>
  <si>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</si>
  <si>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</si>
  <si>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</si>
  <si>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</si>
  <si>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</si>
  <si>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</si>
  <si>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</si>
  <si>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</si>
  <si>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</si>
  <si>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</si>
  <si>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</si>
  <si>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</si>
  <si>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</si>
  <si>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</si>
  <si>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</si>
  <si>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</si>
  <si>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</si>
  <si>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</si>
  <si>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</si>
  <si>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</si>
  <si>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</si>
  <si>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</si>
  <si>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</si>
  <si>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</si>
  <si>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</si>
  <si>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</si>
  <si>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</si>
  <si>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</si>
  <si>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</si>
  <si>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</si>
  <si>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</si>
  <si>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</si>
  <si>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</si>
  <si>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</si>
  <si>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</si>
  <si>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</si>
  <si>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</si>
  <si>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</si>
  <si>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</si>
  <si>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</si>
  <si>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</si>
  <si>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</si>
  <si>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</si>
  <si>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</si>
  <si>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</si>
  <si>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</si>
  <si>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</si>
  <si>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</si>
  <si>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</si>
  <si>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</si>
  <si>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</si>
  <si>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</si>
  <si>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</si>
  <si>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</si>
  <si>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</si>
  <si>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</si>
  <si>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</si>
  <si>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</si>
  <si>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</si>
  <si>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</si>
  <si>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</si>
  <si>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</si>
  <si>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</si>
  <si>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</si>
  <si>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</si>
  <si>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</si>
  <si>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</si>
  <si>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</si>
  <si>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</si>
  <si>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</si>
  <si>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</si>
  <si>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</si>
  <si>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</si>
  <si>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</si>
  <si>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</si>
  <si>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</si>
  <si>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</si>
  <si>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</si>
  <si>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</si>
  <si>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</si>
  <si>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</si>
  <si>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</si>
  <si>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</si>
  <si>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</si>
  <si>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</si>
  <si>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</si>
  <si>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</si>
  <si>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</si>
  <si>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</si>
  <si>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</si>
  <si>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</si>
  <si>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</si>
  <si>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</si>
  <si>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</si>
  <si>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</si>
  <si>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</si>
  <si>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</si>
  <si>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</si>
  <si>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</si>
  <si>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</si>
  <si>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</si>
  <si>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</si>
  <si>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</si>
  <si>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</si>
  <si>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</si>
  <si>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</si>
  <si>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</si>
  <si>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</si>
  <si>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</si>
  <si>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</si>
  <si>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</si>
  <si>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</si>
  <si>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</si>
  <si>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</si>
  <si>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</si>
  <si>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</si>
  <si>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</si>
  <si>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</si>
  <si>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</si>
  <si>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</si>
  <si>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</si>
  <si>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</si>
  <si>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</si>
  <si>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</si>
  <si>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</si>
  <si>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</si>
  <si>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</si>
  <si>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</si>
  <si>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</si>
  <si>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</si>
  <si>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</si>
  <si>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</si>
  <si>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</si>
  <si>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</si>
  <si>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</si>
  <si>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</si>
  <si>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</si>
  <si>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</si>
  <si>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</si>
  <si>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</si>
  <si>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</si>
  <si>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</si>
  <si>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</si>
  <si>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</si>
  <si>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</si>
  <si>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</si>
  <si>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</si>
  <si>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</si>
  <si>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</si>
  <si>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</si>
  <si>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</si>
  <si>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</si>
  <si>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</si>
  <si>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</si>
  <si>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</si>
  <si>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</si>
  <si>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</si>
  <si>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</si>
  <si>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</si>
  <si>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</si>
  <si>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</si>
  <si>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</si>
  <si>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</si>
  <si>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</si>
  <si>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</si>
  <si>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</si>
  <si>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</si>
  <si>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</si>
  <si>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</si>
  <si>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</si>
  <si>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</si>
  <si>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</si>
  <si>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</si>
  <si>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</si>
  <si>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</si>
  <si>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</si>
  <si>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</si>
  <si>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</si>
  <si>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</si>
  <si>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</si>
  <si>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</si>
  <si>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</si>
  <si>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</si>
  <si>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</si>
  <si>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</si>
  <si>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</si>
  <si>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</si>
  <si>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</si>
  <si>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</si>
  <si>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</si>
  <si>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</si>
  <si>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</si>
  <si>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</si>
  <si>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</si>
  <si>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</si>
  <si>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</si>
  <si>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</si>
  <si>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</si>
  <si>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</si>
  <si>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</si>
  <si>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</si>
  <si>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</si>
  <si>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</si>
  <si>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</si>
  <si>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</si>
  <si>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</si>
  <si>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</si>
  <si>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</si>
  <si>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</si>
  <si>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</si>
  <si>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</si>
  <si>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</si>
  <si>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</si>
  <si>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</si>
  <si>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</si>
  <si>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</si>
  <si>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</si>
  <si>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</si>
  <si>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</si>
  <si>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</si>
  <si>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</si>
  <si>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</si>
  <si>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</si>
  <si>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</si>
  <si>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</si>
  <si>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</si>
  <si>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</si>
  <si>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</si>
  <si>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</si>
  <si>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</si>
  <si>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</si>
  <si>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</si>
  <si>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</si>
  <si>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</si>
  <si>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</si>
  <si>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</si>
  <si>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</si>
  <si>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</si>
  <si>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</si>
  <si>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</si>
  <si>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</si>
  <si>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</si>
  <si>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</si>
  <si>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</si>
  <si>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</si>
  <si>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</si>
  <si>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</si>
  <si>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</si>
  <si>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</si>
  <si>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</si>
  <si>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</si>
  <si>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</si>
  <si>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</si>
  <si>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</si>
  <si>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</si>
  <si>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</si>
  <si>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</si>
  <si>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</si>
  <si>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</si>
  <si>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</si>
  <si>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</si>
  <si>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</si>
  <si>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</si>
  <si>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</si>
  <si>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</si>
  <si>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</si>
  <si>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</si>
  <si>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</si>
  <si>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</si>
  <si>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</si>
  <si>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</si>
  <si>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</si>
  <si>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</si>
  <si>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</si>
  <si>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</si>
  <si>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</si>
  <si>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</si>
  <si>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</si>
  <si>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</si>
  <si>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</si>
  <si>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</si>
  <si>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</si>
  <si>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</si>
  <si>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</si>
  <si>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</si>
  <si>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</si>
  <si>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</si>
  <si>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</si>
  <si>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</si>
  <si>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</si>
  <si>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</si>
  <si>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</si>
  <si>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</si>
  <si>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</si>
  <si>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</si>
  <si>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</si>
  <si>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</si>
  <si>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</si>
  <si>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</si>
  <si>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</si>
  <si>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</si>
  <si>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</si>
  <si>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</si>
  <si>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</si>
  <si>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</si>
  <si>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</si>
  <si>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</si>
  <si>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</si>
  <si>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</si>
  <si>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</si>
  <si>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</si>
  <si>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</si>
  <si>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</si>
  <si>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</si>
  <si>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</si>
  <si>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</si>
  <si>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</si>
  <si>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</si>
  <si>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</si>
  <si>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</si>
  <si>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</si>
  <si>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</si>
  <si>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</si>
  <si>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</si>
  <si>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</si>
  <si>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</si>
  <si>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</si>
  <si>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</si>
  <si>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</si>
  <si>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</si>
  <si>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</si>
  <si>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</si>
  <si>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</si>
  <si>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</si>
  <si>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</si>
  <si>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</si>
  <si>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</si>
  <si>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</si>
  <si>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</si>
  <si>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</si>
  <si>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</si>
  <si>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</si>
  <si>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</si>
  <si>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</si>
  <si>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</si>
  <si>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</si>
  <si>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</si>
  <si>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</si>
  <si>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</si>
  <si>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</si>
  <si>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</si>
  <si>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</si>
  <si>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</si>
  <si>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</si>
  <si>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</si>
  <si>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</si>
  <si>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</si>
  <si>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</si>
  <si>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</si>
  <si>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</si>
  <si>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</si>
  <si>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</si>
  <si>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</si>
  <si>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</si>
  <si>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</si>
  <si>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</si>
  <si>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</si>
  <si>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</si>
  <si>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</si>
  <si>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</si>
  <si>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</si>
  <si>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</si>
  <si>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</si>
  <si>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</si>
  <si>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</si>
  <si>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</si>
  <si>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</si>
  <si>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</si>
  <si>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</si>
  <si>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</si>
  <si>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</si>
  <si>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</si>
  <si>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</si>
  <si>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</si>
  <si>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</si>
  <si>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</si>
  <si>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</si>
  <si>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</si>
  <si>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</si>
  <si>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</si>
  <si>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</si>
  <si>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</si>
  <si>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</si>
  <si>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</si>
  <si>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</si>
  <si>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</si>
  <si>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</si>
  <si>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</si>
  <si>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</si>
  <si>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</si>
  <si>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</si>
  <si>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</si>
  <si>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</si>
  <si>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</si>
  <si>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</si>
  <si>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</si>
  <si>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</si>
  <si>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</si>
  <si>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</si>
  <si>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</si>
  <si>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</si>
  <si>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</si>
  <si>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</si>
  <si>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</si>
  <si>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</si>
  <si>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</si>
  <si>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</si>
  <si>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</si>
  <si>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</si>
  <si>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</si>
  <si>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</si>
  <si>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</si>
  <si>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</si>
  <si>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</si>
  <si>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</si>
  <si>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</si>
  <si>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</si>
  <si>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</si>
  <si>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</si>
  <si>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</si>
  <si>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</si>
  <si>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</si>
  <si>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</si>
  <si>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</si>
  <si>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</si>
  <si>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</si>
  <si>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</si>
  <si>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</si>
  <si>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</si>
  <si>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</si>
  <si>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</si>
  <si>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</si>
  <si>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</si>
  <si>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</si>
  <si>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</si>
  <si>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</si>
  <si>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</si>
  <si>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</si>
  <si>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</si>
  <si>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</si>
  <si>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</si>
  <si>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</si>
  <si>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</si>
  <si>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</si>
  <si>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</si>
  <si>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</si>
  <si>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</si>
  <si>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</si>
  <si>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</si>
  <si>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</si>
  <si>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</si>
  <si>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</si>
  <si>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</si>
  <si>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</si>
  <si>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</si>
  <si>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</si>
  <si>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</si>
  <si>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</si>
  <si>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</si>
  <si>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</si>
  <si>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</si>
  <si>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</si>
  <si>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</si>
  <si>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</si>
  <si>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</si>
  <si>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</si>
  <si>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</si>
  <si>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</si>
  <si>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</si>
  <si>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</si>
  <si>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</si>
  <si>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</si>
  <si>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</si>
  <si>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</si>
  <si>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</si>
  <si>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</si>
  <si>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</si>
  <si>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</si>
  <si>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</si>
  <si>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</si>
  <si>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</si>
  <si>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</si>
  <si>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</si>
  <si>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</si>
  <si>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</si>
  <si>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</si>
  <si>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</si>
  <si>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</si>
  <si>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</si>
  <si>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</si>
  <si>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</si>
  <si>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</si>
  <si>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</si>
  <si>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</si>
  <si>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</si>
  <si>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</si>
  <si>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</si>
  <si>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</si>
  <si>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</si>
  <si>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</si>
  <si>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</si>
  <si>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</si>
  <si>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</si>
  <si>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</si>
  <si>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</si>
  <si>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</si>
  <si>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</si>
  <si>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</si>
  <si>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</si>
  <si>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</si>
  <si>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</si>
  <si>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</si>
  <si>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</si>
  <si>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</si>
  <si>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</si>
  <si>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</si>
  <si>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</si>
  <si>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</si>
  <si>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</si>
  <si>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</si>
  <si>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</si>
  <si>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</si>
  <si>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</si>
  <si>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</si>
  <si>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</si>
  <si>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</si>
  <si>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</si>
  <si>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</si>
  <si>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</si>
  <si>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</si>
  <si>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</si>
  <si>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</si>
  <si>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Cook</t>
  </si>
  <si>
    <t>4600 N. Oak Park Avenue</t>
  </si>
  <si>
    <t>Harwood Heights, IL</t>
  </si>
  <si>
    <t>mkyne@urs86.org</t>
  </si>
  <si>
    <t>x</t>
  </si>
  <si>
    <t>Mike Maguire</t>
  </si>
  <si>
    <t>708-867-5822</t>
  </si>
  <si>
    <t>mmaguire@urs86.org</t>
  </si>
  <si>
    <t>Knutte &amp; Associates, PC</t>
  </si>
  <si>
    <t>David Knutte, CPA</t>
  </si>
  <si>
    <t>7900 S Cass Avenue</t>
  </si>
  <si>
    <t>Darien</t>
  </si>
  <si>
    <t>IL</t>
  </si>
  <si>
    <t>630-960-3317</t>
  </si>
  <si>
    <t>630-960-9960</t>
  </si>
  <si>
    <t>davek@knutte.com</t>
  </si>
  <si>
    <t>066-005122</t>
  </si>
  <si>
    <t>Series 2005 Bonds</t>
  </si>
  <si>
    <t>Series 2010 Bonds</t>
  </si>
  <si>
    <t>Series 2016A Bonds</t>
  </si>
  <si>
    <t>Series 2016B Bonds</t>
  </si>
  <si>
    <t>SELF, SSCIP, EBC</t>
  </si>
  <si>
    <t>Illinois Schoold District Liquid Asset Fund</t>
  </si>
  <si>
    <t>Leyden Area Special Education Cooperative</t>
  </si>
  <si>
    <t>Elmwood Park 401</t>
  </si>
  <si>
    <t>20-2545-342</t>
  </si>
  <si>
    <t>10-1225-314</t>
  </si>
  <si>
    <t>20-2542-342</t>
  </si>
  <si>
    <t>20-2542-465</t>
  </si>
  <si>
    <t>20-2544-323</t>
  </si>
  <si>
    <t>10-2660-323</t>
  </si>
  <si>
    <t>AT&amp;T</t>
  </si>
  <si>
    <t>BRIGHTSTAR</t>
  </si>
  <si>
    <t>COMCAST</t>
  </si>
  <si>
    <t>CONSTELLATION ENERGY</t>
  </si>
  <si>
    <t>DELANGE LANDEN</t>
  </si>
  <si>
    <t>E2 SERVICES</t>
  </si>
  <si>
    <t>10-2620-314</t>
  </si>
  <si>
    <t>10-2321-490</t>
  </si>
  <si>
    <t>10-2660-324</t>
  </si>
  <si>
    <t>10-2317-317</t>
  </si>
  <si>
    <t>ECRA</t>
  </si>
  <si>
    <t>EQUIFAX</t>
  </si>
  <si>
    <t>ESSCOE</t>
  </si>
  <si>
    <t>FSP</t>
  </si>
  <si>
    <t>GRAPEVINE</t>
  </si>
  <si>
    <t>GROOT</t>
  </si>
  <si>
    <t>IMPACT</t>
  </si>
  <si>
    <t>INNERSYNC</t>
  </si>
  <si>
    <t>KNUTTE</t>
  </si>
  <si>
    <t>VARIOUS</t>
  </si>
  <si>
    <t>EDUCATIONAL BENEFIT COOPERATIVE</t>
  </si>
  <si>
    <t>10-4220-600</t>
  </si>
  <si>
    <t>10-2321-440</t>
  </si>
  <si>
    <t>10-2321-491</t>
  </si>
  <si>
    <t>10-1110-742</t>
  </si>
  <si>
    <t>80-2364-383</t>
  </si>
  <si>
    <t>LASEC (ADMIN)</t>
  </si>
  <si>
    <t>LASEC (ESY)</t>
  </si>
  <si>
    <t>LASEC (OT/PT)</t>
  </si>
  <si>
    <t>NEXTERA ENERGY</t>
  </si>
  <si>
    <t>ORKIN</t>
  </si>
  <si>
    <t>PITNEY BOWES</t>
  </si>
  <si>
    <t>RAPTOR</t>
  </si>
  <si>
    <t>SAFEWARE</t>
  </si>
  <si>
    <t>SELF</t>
  </si>
  <si>
    <t>SSCIP</t>
  </si>
  <si>
    <t>SSCIP (BOARD)</t>
  </si>
  <si>
    <t>TRUGREEN</t>
  </si>
  <si>
    <t>O&amp;M - Support Services - Purchased Services</t>
  </si>
  <si>
    <t>ED - Instruction - Purchased Services</t>
  </si>
  <si>
    <t xml:space="preserve"> O&amp;M - Support Services - Purchased Services</t>
  </si>
  <si>
    <t>O&amp;M - Support Services - Supplies and Materials</t>
  </si>
  <si>
    <t>ED - Support Services - Purchased Services</t>
  </si>
  <si>
    <t>ED - Support Services - Supplies and Materials</t>
  </si>
  <si>
    <t>Various Benefit accounts based on salary function</t>
  </si>
  <si>
    <t>ED - Payments to Other Districts - Purchased Services</t>
  </si>
  <si>
    <t>ED - Payments to Other Districts - Other Objects</t>
  </si>
  <si>
    <t>ED - Instruction - Non Capital Equipment</t>
  </si>
  <si>
    <t>Tort - Support Services - Purchased Services</t>
  </si>
  <si>
    <t>Knutte &amp; Associates, P.C.</t>
  </si>
  <si>
    <t>Union Ridge SD 86</t>
  </si>
  <si>
    <t>10-2560-300</t>
  </si>
  <si>
    <t>10-4000-300</t>
  </si>
  <si>
    <t>20-2540-400</t>
  </si>
  <si>
    <t>80-2300-300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</si>
</sst>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4">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49" fontId="1" fillId="0" borderId="158" xfId="17" applyNumberFormat="1" applyFont="1" applyBorder="1" applyAlignment="1" applyProtection="1">
      <alignment horizontal="center" vertical="top"/>
      <protection locked="0"/>
    </xf>
    <xf numFmtId="0" fontId="1" fillId="0" borderId="158" xfId="17" applyFont="1" applyBorder="1" applyAlignment="1" applyProtection="1">
      <alignment vertical="top"/>
      <protection locked="0"/>
    </xf>
    <xf numFmtId="49" fontId="1" fillId="0" borderId="158" xfId="17" applyNumberFormat="1" applyFont="1" applyBorder="1" applyAlignment="1" applyProtection="1">
      <alignment horizontal="center" vertical="center"/>
      <protection locked="0"/>
    </xf>
    <xf numFmtId="0" fontId="1" fillId="0" borderId="158" xfId="17" applyFont="1" applyBorder="1" applyAlignment="1" applyProtection="1">
      <alignment horizontal="left" vertical="top" wrapText="1"/>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2</xdr:row>
          <xdr:rowOff>0</xdr:rowOff>
        </xdr:from>
        <xdr:to>
          <xdr:col>1</xdr:col>
          <xdr:colOff>857250</xdr:colOff>
          <xdr:row>6</xdr:row>
          <xdr:rowOff>57150</xdr:rowOff>
        </xdr:to>
        <xdr:sp macro="" textlink="">
          <xdr:nvSpPr>
            <xdr:cNvPr id="50180" name="Object 4" hidden="1">
              <a:extLst>
                <a:ext uri="{63B3BB69-23CF-44E3-9099-C40C66FF867C}">
                  <a14:compatExt spid="_x0000_s50180"/>
                </a:ext>
                <a:ext uri="{FF2B5EF4-FFF2-40B4-BE49-F238E27FC236}">
                  <a16:creationId xmlns:a16="http://schemas.microsoft.com/office/drawing/2014/main" id="{D747E321-5999-40A3-959C-B1B2330F096F}"/>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1</xdr:row>
          <xdr:rowOff>152400</xdr:rowOff>
        </xdr:from>
        <xdr:to>
          <xdr:col>1</xdr:col>
          <xdr:colOff>2009775</xdr:colOff>
          <xdr:row>6</xdr:row>
          <xdr:rowOff>28575</xdr:rowOff>
        </xdr:to>
        <xdr:sp macro="" textlink="">
          <xdr:nvSpPr>
            <xdr:cNvPr id="50181" name="Object 5" hidden="1">
              <a:extLst>
                <a:ext uri="{63B3BB69-23CF-44E3-9099-C40C66FF867C}">
                  <a14:compatExt spid="_x0000_s50181"/>
                </a:ext>
                <a:ext uri="{FF2B5EF4-FFF2-40B4-BE49-F238E27FC236}">
                  <a16:creationId xmlns:a16="http://schemas.microsoft.com/office/drawing/2014/main" id="{1421FAC5-925F-49D8-97AC-BFE38C7BEFD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2171700</xdr:colOff>
          <xdr:row>2</xdr:row>
          <xdr:rowOff>0</xdr:rowOff>
        </xdr:from>
        <xdr:to>
          <xdr:col>1</xdr:col>
          <xdr:colOff>3086100</xdr:colOff>
          <xdr:row>6</xdr:row>
          <xdr:rowOff>38100</xdr:rowOff>
        </xdr:to>
        <xdr:sp macro="" textlink="">
          <xdr:nvSpPr>
            <xdr:cNvPr id="50182" name="Object 6" hidden="1">
              <a:extLst>
                <a:ext uri="{63B3BB69-23CF-44E3-9099-C40C66FF867C}">
                  <a14:compatExt spid="_x0000_s50182"/>
                </a:ext>
                <a:ext uri="{FF2B5EF4-FFF2-40B4-BE49-F238E27FC236}">
                  <a16:creationId xmlns:a16="http://schemas.microsoft.com/office/drawing/2014/main" id="{66449B30-2B8A-4CAE-B905-111139E39E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3305175</xdr:colOff>
          <xdr:row>2</xdr:row>
          <xdr:rowOff>0</xdr:rowOff>
        </xdr:from>
        <xdr:to>
          <xdr:col>2</xdr:col>
          <xdr:colOff>238125</xdr:colOff>
          <xdr:row>6</xdr:row>
          <xdr:rowOff>38100</xdr:rowOff>
        </xdr:to>
        <xdr:sp macro="" textlink="">
          <xdr:nvSpPr>
            <xdr:cNvPr id="50183" name="Object 7" hidden="1">
              <a:extLst>
                <a:ext uri="{63B3BB69-23CF-44E3-9099-C40C66FF867C}">
                  <a14:compatExt spid="_x0000_s50183"/>
                </a:ext>
                <a:ext uri="{FF2B5EF4-FFF2-40B4-BE49-F238E27FC236}">
                  <a16:creationId xmlns:a16="http://schemas.microsoft.com/office/drawing/2014/main" id="{F4B537DA-AF56-468A-9EC8-2B0F7A1AC65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3" t="s">
        <v>425</v>
      </c>
      <c r="J1" s="2034"/>
      <c r="K1" s="2034"/>
      <c r="L1" s="2034"/>
      <c r="M1" s="2034"/>
      <c r="N1" s="2034"/>
      <c r="O1" s="2034"/>
      <c r="P1" s="2034"/>
      <c r="Q1" s="2034"/>
      <c r="R1" s="2034"/>
      <c r="S1" s="2034"/>
    </row>
    <row r="2" spans="1:28" ht="12" customHeight="1" x14ac:dyDescent="0.2">
      <c r="A2" s="47" t="s">
        <v>1684</v>
      </c>
      <c r="D2" s="48"/>
      <c r="I2" s="2035" t="s">
        <v>1036</v>
      </c>
      <c r="J2" s="2034"/>
      <c r="K2" s="2034"/>
      <c r="L2" s="2034"/>
      <c r="M2" s="2034"/>
      <c r="N2" s="2034"/>
      <c r="O2" s="2034"/>
      <c r="P2" s="2034"/>
      <c r="Q2" s="2034"/>
      <c r="R2" s="2034"/>
      <c r="S2" s="2034"/>
    </row>
    <row r="3" spans="1:28" ht="12" customHeight="1" x14ac:dyDescent="0.2">
      <c r="A3" s="155" t="s">
        <v>1685</v>
      </c>
      <c r="B3" s="156"/>
      <c r="C3" s="156"/>
      <c r="D3" s="157"/>
      <c r="I3" s="2035" t="s">
        <v>54</v>
      </c>
      <c r="J3" s="2034"/>
      <c r="K3" s="2034"/>
      <c r="L3" s="2034"/>
      <c r="M3" s="2034"/>
      <c r="N3" s="2034"/>
      <c r="O3" s="2034"/>
      <c r="P3" s="2034"/>
      <c r="Q3" s="2034"/>
      <c r="R3" s="2034"/>
      <c r="S3" s="2034"/>
    </row>
    <row r="4" spans="1:28" ht="12" customHeight="1" x14ac:dyDescent="0.2">
      <c r="A4" s="37"/>
      <c r="I4" s="2035" t="s">
        <v>545</v>
      </c>
      <c r="J4" s="2034"/>
      <c r="K4" s="2034"/>
      <c r="L4" s="2034"/>
      <c r="M4" s="2034"/>
      <c r="N4" s="2034"/>
      <c r="O4" s="2034"/>
      <c r="P4" s="2034"/>
      <c r="Q4" s="2034"/>
      <c r="R4" s="2034"/>
      <c r="S4" s="2034"/>
    </row>
    <row r="5" spans="1:28" ht="14.1" customHeight="1" x14ac:dyDescent="0.2">
      <c r="B5" s="104"/>
      <c r="C5" s="26" t="s">
        <v>966</v>
      </c>
      <c r="D5" s="84"/>
      <c r="E5" s="84"/>
      <c r="H5" s="38"/>
      <c r="I5" s="2042" t="s">
        <v>701</v>
      </c>
      <c r="J5" s="1987"/>
      <c r="K5" s="1987"/>
      <c r="L5" s="1987"/>
      <c r="M5" s="1987"/>
      <c r="N5" s="1987"/>
      <c r="O5" s="1987"/>
      <c r="P5" s="1987"/>
      <c r="Q5" s="1987"/>
      <c r="R5" s="1987"/>
      <c r="S5" s="1987"/>
    </row>
    <row r="6" spans="1:28" ht="14.1" customHeight="1" x14ac:dyDescent="0.2">
      <c r="B6" s="104"/>
      <c r="C6" s="26" t="s">
        <v>967</v>
      </c>
      <c r="D6" s="84"/>
      <c r="E6" s="84"/>
      <c r="I6" s="2041" t="s">
        <v>938</v>
      </c>
      <c r="J6" s="1987"/>
      <c r="K6" s="1987"/>
      <c r="L6" s="1987"/>
      <c r="M6" s="1987"/>
      <c r="N6" s="1987"/>
      <c r="O6" s="1987"/>
      <c r="P6" s="1987"/>
      <c r="Q6" s="1987"/>
      <c r="R6" s="1987"/>
      <c r="S6" s="1987"/>
    </row>
    <row r="7" spans="1:28" ht="12.2" customHeight="1" x14ac:dyDescent="0.2">
      <c r="I7" s="2036">
        <v>43281</v>
      </c>
      <c r="J7" s="2037"/>
      <c r="K7" s="2037"/>
      <c r="L7" s="2037"/>
      <c r="M7" s="2037"/>
      <c r="N7" s="2037"/>
      <c r="O7" s="2037"/>
      <c r="P7" s="2037"/>
      <c r="Q7" s="2037"/>
      <c r="R7" s="2037"/>
      <c r="S7" s="2037"/>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8" t="s">
        <v>695</v>
      </c>
      <c r="J9" s="2039"/>
      <c r="K9" s="2039"/>
      <c r="L9" s="2039"/>
      <c r="M9" s="2039"/>
      <c r="N9" s="2039"/>
      <c r="O9" s="2039"/>
      <c r="P9" s="2039"/>
      <c r="Q9" s="2039"/>
      <c r="R9" s="2039"/>
      <c r="S9" s="2040"/>
      <c r="T9" s="1983" t="s">
        <v>554</v>
      </c>
      <c r="U9" s="1984"/>
      <c r="V9" s="1984"/>
      <c r="W9" s="1984"/>
      <c r="X9" s="1984"/>
      <c r="Y9" s="1984"/>
      <c r="Z9" s="1984"/>
      <c r="AA9" s="1985"/>
    </row>
    <row r="10" spans="1:28" ht="13.5" customHeight="1" x14ac:dyDescent="0.2">
      <c r="A10" s="1992" t="s">
        <v>696</v>
      </c>
      <c r="B10" s="1993"/>
      <c r="C10" s="1993"/>
      <c r="D10" s="1993"/>
      <c r="E10" s="1993"/>
      <c r="F10" s="1993"/>
      <c r="G10" s="1993"/>
      <c r="H10" s="1994"/>
      <c r="I10" s="29"/>
      <c r="J10" s="30"/>
      <c r="K10" s="28"/>
      <c r="R10" s="30"/>
      <c r="S10" s="30"/>
      <c r="T10" s="1986"/>
      <c r="U10" s="1987"/>
      <c r="V10" s="1987"/>
      <c r="W10" s="1987"/>
      <c r="X10" s="1987"/>
      <c r="Y10" s="1987"/>
      <c r="Z10" s="1987"/>
      <c r="AA10" s="1988"/>
    </row>
    <row r="11" spans="1:28" ht="14.25" customHeight="1" x14ac:dyDescent="0.2">
      <c r="A11" s="1995" t="s">
        <v>1012</v>
      </c>
      <c r="B11" s="1996"/>
      <c r="C11" s="1996"/>
      <c r="D11" s="1996"/>
      <c r="E11" s="1996"/>
      <c r="F11" s="1996"/>
      <c r="G11" s="1996"/>
      <c r="H11" s="1997"/>
      <c r="I11" s="27"/>
      <c r="J11" s="74"/>
      <c r="K11" s="27"/>
      <c r="O11" s="148" t="s">
        <v>2081</v>
      </c>
      <c r="P11" s="100" t="s">
        <v>210</v>
      </c>
      <c r="Q11" s="30"/>
      <c r="R11" s="28"/>
      <c r="S11" s="27"/>
      <c r="T11" s="1989"/>
      <c r="U11" s="1990"/>
      <c r="V11" s="1990"/>
      <c r="W11" s="1990"/>
      <c r="X11" s="1990"/>
      <c r="Y11" s="1990"/>
      <c r="Z11" s="1990"/>
      <c r="AA11" s="1991"/>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3">
        <v>6016086002</v>
      </c>
      <c r="B13" s="2004"/>
      <c r="C13" s="2004"/>
      <c r="D13" s="2004"/>
      <c r="E13" s="2004"/>
      <c r="F13" s="2004"/>
      <c r="G13" s="2004"/>
      <c r="H13" s="2005"/>
      <c r="I13" s="31"/>
      <c r="J13" s="30"/>
      <c r="K13" s="28"/>
      <c r="L13" s="30"/>
      <c r="M13" s="30"/>
      <c r="N13" s="30"/>
      <c r="O13" s="30"/>
      <c r="P13" s="30"/>
      <c r="Q13" s="30"/>
      <c r="R13" s="30"/>
      <c r="S13" s="30"/>
      <c r="T13" s="2008" t="s">
        <v>2085</v>
      </c>
      <c r="U13" s="2009"/>
      <c r="V13" s="2009"/>
      <c r="W13" s="2009"/>
      <c r="X13" s="2009"/>
      <c r="Y13" s="2010"/>
      <c r="Z13" s="2010"/>
      <c r="AA13" s="2011"/>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1" t="s">
        <v>2077</v>
      </c>
      <c r="B15" s="2006"/>
      <c r="C15" s="2006"/>
      <c r="D15" s="2006"/>
      <c r="E15" s="2006"/>
      <c r="F15" s="2006"/>
      <c r="G15" s="2006"/>
      <c r="H15" s="2007"/>
      <c r="T15" s="1969" t="s">
        <v>2086</v>
      </c>
      <c r="U15" s="1970"/>
      <c r="V15" s="1970"/>
      <c r="W15" s="1970"/>
      <c r="X15" s="1970"/>
      <c r="Y15" s="2012"/>
      <c r="Z15" s="2012"/>
      <c r="AA15" s="2013"/>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61" t="s">
        <v>2158</v>
      </c>
      <c r="B17" s="2031"/>
      <c r="C17" s="2031"/>
      <c r="D17" s="2031"/>
      <c r="E17" s="2031"/>
      <c r="F17" s="2031"/>
      <c r="G17" s="2031"/>
      <c r="H17" s="2032"/>
      <c r="T17" s="2018" t="s">
        <v>2087</v>
      </c>
      <c r="U17" s="2019"/>
      <c r="V17" s="2019"/>
      <c r="W17" s="2019"/>
      <c r="X17" s="2019"/>
      <c r="Y17" s="2019"/>
      <c r="Z17" s="2019"/>
      <c r="AA17" s="2020"/>
    </row>
    <row r="18" spans="1:27" ht="13.5" customHeight="1" x14ac:dyDescent="0.2">
      <c r="A18" s="85" t="s">
        <v>551</v>
      </c>
      <c r="B18" s="76"/>
      <c r="C18" s="72"/>
      <c r="D18" s="76"/>
      <c r="E18" s="76"/>
      <c r="F18" s="76"/>
      <c r="G18" s="76"/>
      <c r="H18" s="56"/>
      <c r="I18" s="2028" t="s">
        <v>697</v>
      </c>
      <c r="J18" s="2029"/>
      <c r="K18" s="2029"/>
      <c r="L18" s="2029"/>
      <c r="M18" s="2029"/>
      <c r="N18" s="2029"/>
      <c r="O18" s="2029"/>
      <c r="P18" s="2029"/>
      <c r="Q18" s="2029"/>
      <c r="R18" s="2029"/>
      <c r="S18" s="2030"/>
      <c r="T18" s="85" t="s">
        <v>735</v>
      </c>
      <c r="U18" s="51"/>
      <c r="V18" s="72"/>
      <c r="W18" s="50"/>
      <c r="X18" s="85" t="s">
        <v>284</v>
      </c>
      <c r="Y18" s="81"/>
      <c r="Z18" s="159" t="s">
        <v>698</v>
      </c>
      <c r="AA18" s="46"/>
    </row>
    <row r="19" spans="1:27" ht="13.5" customHeight="1" x14ac:dyDescent="0.2">
      <c r="A19" s="2001" t="s">
        <v>2078</v>
      </c>
      <c r="B19" s="2002"/>
      <c r="C19" s="2002"/>
      <c r="D19" s="2002"/>
      <c r="E19" s="2002"/>
      <c r="F19" s="2002"/>
      <c r="G19" s="2002"/>
      <c r="H19" s="2000"/>
      <c r="I19" s="30"/>
      <c r="J19" s="99"/>
      <c r="K19" s="40"/>
      <c r="L19" s="38"/>
      <c r="M19" s="112" t="s">
        <v>333</v>
      </c>
      <c r="P19" s="27"/>
      <c r="Q19" s="27"/>
      <c r="R19" s="27"/>
      <c r="S19" s="31"/>
      <c r="T19" s="2001" t="s">
        <v>2088</v>
      </c>
      <c r="U19" s="1999"/>
      <c r="V19" s="1999"/>
      <c r="W19" s="2000"/>
      <c r="X19" s="2016" t="s">
        <v>2089</v>
      </c>
      <c r="Y19" s="2017"/>
      <c r="Z19" s="2014">
        <v>60561</v>
      </c>
      <c r="AA19" s="2015"/>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8" t="s">
        <v>2079</v>
      </c>
      <c r="B21" s="1999"/>
      <c r="C21" s="1999"/>
      <c r="D21" s="1999"/>
      <c r="E21" s="1999"/>
      <c r="F21" s="1999"/>
      <c r="G21" s="1999"/>
      <c r="H21" s="2000"/>
      <c r="I21" s="2024" t="s">
        <v>699</v>
      </c>
      <c r="J21" s="1987"/>
      <c r="K21" s="1987"/>
      <c r="L21" s="1987"/>
      <c r="M21" s="1987"/>
      <c r="N21" s="1987"/>
      <c r="O21" s="1987"/>
      <c r="P21" s="1987"/>
      <c r="Q21" s="1987"/>
      <c r="R21" s="1987"/>
      <c r="S21" s="1988"/>
      <c r="T21" s="1966" t="s">
        <v>2090</v>
      </c>
      <c r="U21" s="1967"/>
      <c r="V21" s="1967"/>
      <c r="W21" s="1967"/>
      <c r="X21" s="1980" t="s">
        <v>2091</v>
      </c>
      <c r="Y21" s="1981"/>
      <c r="Z21" s="1981"/>
      <c r="AA21" s="1982"/>
    </row>
    <row r="22" spans="1:27" ht="13.5" customHeight="1" x14ac:dyDescent="0.2">
      <c r="A22" s="87" t="s">
        <v>552</v>
      </c>
      <c r="B22" s="59"/>
      <c r="C22" s="59"/>
      <c r="D22" s="59"/>
      <c r="E22" s="59"/>
      <c r="F22" s="59"/>
      <c r="G22" s="59"/>
      <c r="H22" s="60"/>
      <c r="I22" s="2025" t="s">
        <v>1504</v>
      </c>
      <c r="J22" s="2026"/>
      <c r="K22" s="2026"/>
      <c r="L22" s="2026"/>
      <c r="M22" s="2026"/>
      <c r="N22" s="2026"/>
      <c r="O22" s="2026"/>
      <c r="P22" s="2026"/>
      <c r="Q22" s="2026"/>
      <c r="R22" s="2026"/>
      <c r="S22" s="2027"/>
      <c r="T22" s="85" t="s">
        <v>1596</v>
      </c>
      <c r="U22" s="51"/>
      <c r="V22" s="72"/>
      <c r="W22" s="51"/>
      <c r="X22" s="160" t="s">
        <v>1385</v>
      </c>
      <c r="Z22" s="45"/>
      <c r="AA22" s="46"/>
    </row>
    <row r="23" spans="1:27" ht="13.5" customHeight="1" x14ac:dyDescent="0.2">
      <c r="A23" s="2021" t="s">
        <v>2080</v>
      </c>
      <c r="B23" s="2022"/>
      <c r="C23" s="2022"/>
      <c r="D23" s="2022"/>
      <c r="E23" s="2022"/>
      <c r="F23" s="2022"/>
      <c r="G23" s="2022"/>
      <c r="H23" s="2023"/>
      <c r="T23" s="1961" t="s">
        <v>2093</v>
      </c>
      <c r="U23" s="1962"/>
      <c r="V23" s="1962"/>
      <c r="W23" s="1962"/>
      <c r="X23" s="1977">
        <v>43434</v>
      </c>
      <c r="Y23" s="1978"/>
      <c r="Z23" s="1978"/>
      <c r="AA23" s="1979"/>
    </row>
    <row r="24" spans="1:27" ht="14.1" customHeight="1" x14ac:dyDescent="0.2">
      <c r="A24" s="88" t="s">
        <v>698</v>
      </c>
      <c r="B24" s="49"/>
      <c r="C24" s="49"/>
      <c r="D24" s="49"/>
      <c r="E24" s="49"/>
      <c r="F24" s="49"/>
      <c r="G24" s="49"/>
      <c r="H24" s="61"/>
      <c r="J24" s="2063" t="str">
        <f>IF(B5="x",IF(AUDITCHECK!D29="AFR form Incomplete.","",IF(AUDITCHECK!D29="Deficit reduction plan is required.","School District must complete a deficit reduction plan in the 2018-2019 Budget",)),"")</f>
        <v/>
      </c>
      <c r="K24" s="2063"/>
      <c r="L24" s="2063"/>
      <c r="M24" s="2063"/>
      <c r="N24" s="2063"/>
      <c r="O24" s="2063"/>
      <c r="P24" s="2063"/>
      <c r="Q24" s="2063"/>
      <c r="R24" s="2063"/>
      <c r="S24" s="2064"/>
      <c r="T24" s="105" t="s">
        <v>552</v>
      </c>
      <c r="U24" s="106"/>
      <c r="V24" s="106"/>
      <c r="W24" s="106"/>
      <c r="X24" s="107"/>
      <c r="Y24" s="107"/>
      <c r="Z24" s="107"/>
      <c r="AA24" s="108"/>
    </row>
    <row r="25" spans="1:27" ht="14.1" customHeight="1" x14ac:dyDescent="0.2">
      <c r="A25" s="1998">
        <v>60706</v>
      </c>
      <c r="B25" s="1999"/>
      <c r="C25" s="1999"/>
      <c r="D25" s="1999"/>
      <c r="E25" s="1999"/>
      <c r="F25" s="1999"/>
      <c r="G25" s="1999"/>
      <c r="H25" s="2000"/>
      <c r="I25" s="113"/>
      <c r="J25" s="2065"/>
      <c r="K25" s="2065"/>
      <c r="L25" s="2065"/>
      <c r="M25" s="2065"/>
      <c r="N25" s="2065"/>
      <c r="O25" s="2065"/>
      <c r="P25" s="2065"/>
      <c r="Q25" s="2065"/>
      <c r="R25" s="2065"/>
      <c r="S25" s="2066"/>
      <c r="T25" s="1958" t="s">
        <v>2092</v>
      </c>
      <c r="U25" s="1959"/>
      <c r="V25" s="1959"/>
      <c r="W25" s="1959"/>
      <c r="X25" s="1959"/>
      <c r="Y25" s="1959"/>
      <c r="Z25" s="1959"/>
      <c r="AA25" s="1960"/>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6" t="s">
        <v>1591</v>
      </c>
      <c r="J27" s="2029"/>
      <c r="K27" s="2029"/>
      <c r="L27" s="2029"/>
      <c r="M27" s="2029"/>
      <c r="N27" s="2029"/>
      <c r="O27" s="2029"/>
      <c r="P27" s="2029"/>
      <c r="Q27" s="2029"/>
      <c r="R27" s="2029"/>
      <c r="S27" s="2030"/>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2081</v>
      </c>
      <c r="F29" s="141" t="s">
        <v>1383</v>
      </c>
      <c r="G29" s="114"/>
      <c r="I29" s="54"/>
      <c r="J29" s="102"/>
      <c r="K29" s="28" t="s">
        <v>597</v>
      </c>
      <c r="L29" s="148" t="s">
        <v>2081</v>
      </c>
      <c r="M29" s="40" t="s">
        <v>101</v>
      </c>
      <c r="N29" s="32" t="s">
        <v>1604</v>
      </c>
      <c r="O29" s="32"/>
      <c r="P29" s="32"/>
      <c r="Q29" s="32"/>
      <c r="R29" s="32"/>
      <c r="S29" s="123"/>
      <c r="T29" s="6"/>
      <c r="U29" s="6"/>
      <c r="V29" s="6"/>
      <c r="W29" s="6"/>
      <c r="X29" s="6"/>
      <c r="Y29" s="6"/>
      <c r="Z29" s="6"/>
      <c r="AA29" s="132"/>
    </row>
    <row r="30" spans="1:27" ht="13.5" customHeight="1" x14ac:dyDescent="0.2">
      <c r="A30" s="153"/>
      <c r="B30" s="136" t="s">
        <v>2081</v>
      </c>
      <c r="C30" s="124" t="s">
        <v>1226</v>
      </c>
      <c r="D30" s="28"/>
      <c r="E30" s="28"/>
      <c r="F30" s="140"/>
      <c r="G30" s="114"/>
      <c r="H30" s="114"/>
      <c r="I30" s="54"/>
      <c r="J30" s="102"/>
      <c r="K30" s="28" t="s">
        <v>597</v>
      </c>
      <c r="L30" s="148" t="s">
        <v>2081</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2081</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2"/>
      <c r="Q35" s="1999"/>
      <c r="R35" s="1999"/>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61" t="s">
        <v>2082</v>
      </c>
      <c r="B38" s="2031"/>
      <c r="C38" s="2031"/>
      <c r="D38" s="2031"/>
      <c r="E38" s="2031"/>
      <c r="F38" s="1999"/>
      <c r="G38" s="1999"/>
      <c r="H38" s="2000"/>
      <c r="I38" s="2050"/>
      <c r="J38" s="1970"/>
      <c r="K38" s="1970"/>
      <c r="L38" s="1970"/>
      <c r="M38" s="1970"/>
      <c r="N38" s="1970"/>
      <c r="O38" s="1970"/>
      <c r="P38" s="1971"/>
      <c r="Q38" s="1971"/>
      <c r="R38" s="1971"/>
      <c r="S38" s="1972"/>
      <c r="T38" s="1969"/>
      <c r="U38" s="1970"/>
      <c r="V38" s="1970"/>
      <c r="W38" s="1970"/>
      <c r="X38" s="1971"/>
      <c r="Y38" s="1971"/>
      <c r="Z38" s="1971"/>
      <c r="AA38" s="1972"/>
    </row>
    <row r="39" spans="1:27" ht="12" customHeight="1" x14ac:dyDescent="0.2">
      <c r="A39" s="2054" t="s">
        <v>552</v>
      </c>
      <c r="B39" s="2055"/>
      <c r="C39" s="72"/>
      <c r="D39" s="69"/>
      <c r="E39" s="69"/>
      <c r="F39" s="79"/>
      <c r="G39" s="69"/>
      <c r="H39" s="56"/>
      <c r="I39" s="2054" t="s">
        <v>552</v>
      </c>
      <c r="J39" s="2055"/>
      <c r="K39" s="2055"/>
      <c r="L39" s="2055"/>
      <c r="M39" s="2055"/>
      <c r="N39" s="67"/>
      <c r="O39" s="72"/>
      <c r="P39" s="72"/>
      <c r="Q39" s="78"/>
      <c r="R39" s="72"/>
      <c r="S39" s="56"/>
      <c r="T39" s="72" t="s">
        <v>552</v>
      </c>
      <c r="U39" s="51"/>
      <c r="V39" s="72"/>
      <c r="W39" s="50"/>
      <c r="X39" s="78"/>
      <c r="Y39" s="45"/>
      <c r="Z39" s="45"/>
      <c r="AA39" s="46"/>
    </row>
    <row r="40" spans="1:27" ht="13.5" customHeight="1" x14ac:dyDescent="0.2">
      <c r="A40" s="2057" t="s">
        <v>2084</v>
      </c>
      <c r="B40" s="2058"/>
      <c r="C40" s="2059"/>
      <c r="D40" s="2059"/>
      <c r="E40" s="2059"/>
      <c r="F40" s="2060"/>
      <c r="G40" s="2060"/>
      <c r="H40" s="2061"/>
      <c r="I40" s="1973"/>
      <c r="J40" s="1975"/>
      <c r="K40" s="1975"/>
      <c r="L40" s="1975"/>
      <c r="M40" s="1975"/>
      <c r="N40" s="1975"/>
      <c r="O40" s="1975"/>
      <c r="P40" s="1975"/>
      <c r="Q40" s="1975"/>
      <c r="R40" s="1975"/>
      <c r="S40" s="1976"/>
      <c r="T40" s="1973"/>
      <c r="U40" s="1974"/>
      <c r="V40" s="1975"/>
      <c r="W40" s="1975"/>
      <c r="X40" s="1975"/>
      <c r="Y40" s="1975"/>
      <c r="Z40" s="1975"/>
      <c r="AA40" s="1976"/>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7" t="s">
        <v>2083</v>
      </c>
      <c r="B42" s="2048"/>
      <c r="C42" s="2049"/>
      <c r="D42" s="2062"/>
      <c r="E42" s="2048"/>
      <c r="F42" s="2048"/>
      <c r="G42" s="2048"/>
      <c r="H42" s="2049"/>
      <c r="I42" s="1968"/>
      <c r="J42" s="1964"/>
      <c r="K42" s="1964"/>
      <c r="L42" s="1964"/>
      <c r="M42" s="1964"/>
      <c r="N42" s="1964"/>
      <c r="O42" s="1965"/>
      <c r="P42" s="1963"/>
      <c r="Q42" s="1964"/>
      <c r="R42" s="1964"/>
      <c r="S42" s="1965"/>
      <c r="T42" s="1968"/>
      <c r="U42" s="1964"/>
      <c r="V42" s="1964"/>
      <c r="W42" s="1965"/>
      <c r="X42" s="1963"/>
      <c r="Y42" s="1964"/>
      <c r="Z42" s="1964"/>
      <c r="AA42" s="1965"/>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1"/>
      <c r="B44" s="2052"/>
      <c r="C44" s="2052"/>
      <c r="D44" s="2052"/>
      <c r="E44" s="2052"/>
      <c r="F44" s="2052"/>
      <c r="G44" s="2052"/>
      <c r="H44" s="2053"/>
      <c r="I44" s="2043"/>
      <c r="J44" s="2045"/>
      <c r="K44" s="2045"/>
      <c r="L44" s="2045"/>
      <c r="M44" s="2045"/>
      <c r="N44" s="2045"/>
      <c r="O44" s="2045"/>
      <c r="P44" s="2045"/>
      <c r="Q44" s="2045"/>
      <c r="R44" s="2045"/>
      <c r="S44" s="2046"/>
      <c r="T44" s="2043"/>
      <c r="U44" s="2044"/>
      <c r="V44" s="2044"/>
      <c r="W44" s="2044"/>
      <c r="X44" s="2044"/>
      <c r="Y44" s="2044"/>
      <c r="Z44" s="2045"/>
      <c r="AA44" s="2046"/>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topLeftCell="A2" colorId="8" zoomScale="110" zoomScaleNormal="110" workbookViewId="0">
      <selection activeCell="E12" sqref="E12"/>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6" t="s">
        <v>106</v>
      </c>
    </row>
    <row r="2" spans="1:6" ht="39.75" customHeight="1" x14ac:dyDescent="0.2">
      <c r="A2" s="2200" t="s">
        <v>1905</v>
      </c>
      <c r="B2" s="1550" t="s">
        <v>2037</v>
      </c>
      <c r="C2" s="715" t="s">
        <v>1910</v>
      </c>
      <c r="D2" s="715" t="s">
        <v>1911</v>
      </c>
      <c r="E2" s="715" t="s">
        <v>1912</v>
      </c>
      <c r="F2" s="715" t="s">
        <v>1913</v>
      </c>
    </row>
    <row r="3" spans="1:6" ht="12" customHeight="1" x14ac:dyDescent="0.2">
      <c r="A3" s="2201"/>
      <c r="B3" s="1547"/>
      <c r="C3" s="1548"/>
      <c r="D3" s="1549" t="s">
        <v>274</v>
      </c>
      <c r="E3" s="1548"/>
      <c r="F3" s="1549" t="s">
        <v>275</v>
      </c>
    </row>
    <row r="4" spans="1:6" ht="13.7" customHeight="1" x14ac:dyDescent="0.2">
      <c r="A4" s="716" t="s">
        <v>1217</v>
      </c>
      <c r="B4" s="1771">
        <f>'Revenues 9-14'!C5</f>
        <v>4310808</v>
      </c>
      <c r="C4" s="1546">
        <v>2426176</v>
      </c>
      <c r="D4" s="1774">
        <f>B4-C4</f>
        <v>1884632</v>
      </c>
      <c r="E4" s="1546">
        <v>4682065</v>
      </c>
      <c r="F4" s="1774">
        <f>E4-C4</f>
        <v>2255889</v>
      </c>
    </row>
    <row r="5" spans="1:6" ht="13.7" customHeight="1" x14ac:dyDescent="0.2">
      <c r="A5" s="716" t="s">
        <v>925</v>
      </c>
      <c r="B5" s="1772">
        <f>'Revenues 9-14'!D5</f>
        <v>672422</v>
      </c>
      <c r="C5" s="585">
        <v>363248</v>
      </c>
      <c r="D5" s="1775">
        <f t="shared" ref="D5:D18" si="0">B5-C5</f>
        <v>309174</v>
      </c>
      <c r="E5" s="585">
        <v>701000</v>
      </c>
      <c r="F5" s="1775">
        <f>E5-C5</f>
        <v>337752</v>
      </c>
    </row>
    <row r="6" spans="1:6" ht="13.7" customHeight="1" x14ac:dyDescent="0.2">
      <c r="A6" s="716" t="s">
        <v>431</v>
      </c>
      <c r="B6" s="1772">
        <f>'Revenues 9-14'!E5</f>
        <v>154150</v>
      </c>
      <c r="C6" s="585">
        <v>83282</v>
      </c>
      <c r="D6" s="1775">
        <f t="shared" si="0"/>
        <v>70868</v>
      </c>
      <c r="E6" s="585">
        <v>160718</v>
      </c>
      <c r="F6" s="1775">
        <f t="shared" ref="F6:F18" si="1">E6-C6</f>
        <v>77436</v>
      </c>
    </row>
    <row r="7" spans="1:6" ht="13.7" customHeight="1" x14ac:dyDescent="0.2">
      <c r="A7" s="716" t="s">
        <v>157</v>
      </c>
      <c r="B7" s="1772">
        <f>'Revenues 9-14'!F5</f>
        <v>57689</v>
      </c>
      <c r="C7" s="585">
        <v>27356</v>
      </c>
      <c r="D7" s="1775">
        <f t="shared" si="0"/>
        <v>30333</v>
      </c>
      <c r="E7" s="585">
        <v>52791</v>
      </c>
      <c r="F7" s="1775">
        <f t="shared" si="1"/>
        <v>25435</v>
      </c>
    </row>
    <row r="8" spans="1:6" ht="13.7" customHeight="1" x14ac:dyDescent="0.2">
      <c r="A8" s="716" t="s">
        <v>1241</v>
      </c>
      <c r="B8" s="1772">
        <f>'Revenues 9-14'!G5</f>
        <v>121178</v>
      </c>
      <c r="C8" s="585">
        <v>37307</v>
      </c>
      <c r="D8" s="1775">
        <f t="shared" si="0"/>
        <v>83871</v>
      </c>
      <c r="E8" s="585">
        <v>71996</v>
      </c>
      <c r="F8" s="1775">
        <f t="shared" si="1"/>
        <v>34689</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22527</v>
      </c>
      <c r="C10" s="585">
        <v>3105</v>
      </c>
      <c r="D10" s="1775">
        <f t="shared" si="0"/>
        <v>19422</v>
      </c>
      <c r="E10" s="585">
        <v>5992</v>
      </c>
      <c r="F10" s="1775">
        <f t="shared" si="1"/>
        <v>2887</v>
      </c>
    </row>
    <row r="11" spans="1:6" x14ac:dyDescent="0.2">
      <c r="A11" s="716" t="s">
        <v>429</v>
      </c>
      <c r="B11" s="1772">
        <f>'Revenues 9-14'!J5</f>
        <v>65141</v>
      </c>
      <c r="C11" s="585">
        <v>19903</v>
      </c>
      <c r="D11" s="1775">
        <f t="shared" si="0"/>
        <v>45238</v>
      </c>
      <c r="E11" s="585">
        <v>38409</v>
      </c>
      <c r="F11" s="1775">
        <f t="shared" si="1"/>
        <v>18506</v>
      </c>
    </row>
    <row r="12" spans="1:6" ht="13.7" customHeight="1" x14ac:dyDescent="0.2">
      <c r="A12" s="716" t="s">
        <v>159</v>
      </c>
      <c r="B12" s="1772">
        <f>'Revenues 9-14'!K5</f>
        <v>441</v>
      </c>
      <c r="C12" s="585"/>
      <c r="D12" s="1775">
        <f t="shared" si="0"/>
        <v>441</v>
      </c>
      <c r="E12" s="585"/>
      <c r="F12" s="1775">
        <f t="shared" si="1"/>
        <v>0</v>
      </c>
    </row>
    <row r="13" spans="1:6" ht="13.7" customHeight="1" x14ac:dyDescent="0.2">
      <c r="A13" s="716" t="s">
        <v>993</v>
      </c>
      <c r="B13" s="1772">
        <f>SUM('Revenues 9-14'!C6:D6)</f>
        <v>0</v>
      </c>
      <c r="C13" s="585"/>
      <c r="D13" s="1775">
        <f t="shared" si="0"/>
        <v>0</v>
      </c>
      <c r="E13" s="585"/>
      <c r="F13" s="1775">
        <f t="shared" si="1"/>
        <v>0</v>
      </c>
    </row>
    <row r="14" spans="1:6" ht="13.7" customHeight="1" x14ac:dyDescent="0.2">
      <c r="A14" s="716" t="s">
        <v>430</v>
      </c>
      <c r="B14" s="1772">
        <f>SUM('Revenues 9-14'!C7:D7,'Revenues 9-14'!F7:H7)</f>
        <v>48242</v>
      </c>
      <c r="C14" s="585">
        <v>19903</v>
      </c>
      <c r="D14" s="1775">
        <f t="shared" si="0"/>
        <v>28339</v>
      </c>
      <c r="E14" s="585">
        <v>38410</v>
      </c>
      <c r="F14" s="1775">
        <f t="shared" si="1"/>
        <v>18507</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79166</v>
      </c>
      <c r="C16" s="585">
        <v>24871</v>
      </c>
      <c r="D16" s="1775">
        <f t="shared" si="0"/>
        <v>54295</v>
      </c>
      <c r="E16" s="585">
        <v>47997</v>
      </c>
      <c r="F16" s="1775">
        <f t="shared" si="1"/>
        <v>23126</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5531764</v>
      </c>
      <c r="C19" s="1773">
        <f>SUM(C4:C18)</f>
        <v>3005151</v>
      </c>
      <c r="D19" s="1773">
        <f>SUM(D4:D18)</f>
        <v>2526613</v>
      </c>
      <c r="E19" s="1773">
        <f>SUM(E4:E18)</f>
        <v>5799378</v>
      </c>
      <c r="F19" s="1773">
        <f>SUM(F4:F18)</f>
        <v>2794227</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B25" colorId="8" zoomScale="110" zoomScaleNormal="110" workbookViewId="0">
      <selection activeCell="E33" sqref="E33"/>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6" t="s">
        <v>650</v>
      </c>
      <c r="B1" s="2207"/>
      <c r="C1" s="722"/>
    </row>
    <row r="2" spans="1:7" ht="33.75" x14ac:dyDescent="0.2">
      <c r="A2" s="2215" t="s">
        <v>1905</v>
      </c>
      <c r="B2" s="2216"/>
      <c r="C2" s="1907" t="s">
        <v>2038</v>
      </c>
      <c r="D2" s="724" t="s">
        <v>2045</v>
      </c>
      <c r="E2" s="724" t="s">
        <v>2046</v>
      </c>
      <c r="F2" s="1907" t="s">
        <v>2039</v>
      </c>
    </row>
    <row r="3" spans="1:7" ht="15.75" customHeight="1" x14ac:dyDescent="0.2">
      <c r="A3" s="2219" t="s">
        <v>1176</v>
      </c>
      <c r="B3" s="2220"/>
      <c r="C3" s="2208"/>
      <c r="D3" s="2209"/>
      <c r="E3" s="2209"/>
      <c r="F3" s="2210"/>
    </row>
    <row r="4" spans="1:7" ht="12.75" customHeight="1" thickBot="1" x14ac:dyDescent="0.25">
      <c r="A4" s="2217" t="s">
        <v>651</v>
      </c>
      <c r="B4" s="2218"/>
      <c r="C4" s="581"/>
      <c r="D4" s="581"/>
      <c r="E4" s="581"/>
      <c r="F4" s="1777">
        <f>SUM(C4+D4)-E4</f>
        <v>0</v>
      </c>
    </row>
    <row r="5" spans="1:7" ht="15.75" customHeight="1" thickTop="1" x14ac:dyDescent="0.2">
      <c r="A5" s="2202" t="s">
        <v>1172</v>
      </c>
      <c r="B5" s="2203"/>
      <c r="C5" s="2211"/>
      <c r="D5" s="2212"/>
      <c r="E5" s="2212"/>
      <c r="F5" s="2213"/>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4" t="s">
        <v>652</v>
      </c>
      <c r="B15" s="2205"/>
      <c r="C15" s="1777">
        <f>SUM(C6:C14)</f>
        <v>0</v>
      </c>
      <c r="D15" s="1777">
        <f>SUM(D6:D14)</f>
        <v>0</v>
      </c>
      <c r="E15" s="1777">
        <f>SUM(E6:E14)</f>
        <v>0</v>
      </c>
      <c r="F15" s="1777">
        <f>SUM(F6:F14)</f>
        <v>0</v>
      </c>
      <c r="G15" s="552"/>
    </row>
    <row r="16" spans="1:7" s="202" customFormat="1" ht="15.75" customHeight="1" thickTop="1" x14ac:dyDescent="0.2">
      <c r="A16" s="2214" t="s">
        <v>1173</v>
      </c>
      <c r="B16" s="2203"/>
      <c r="C16" s="2211"/>
      <c r="D16" s="2212"/>
      <c r="E16" s="2212"/>
      <c r="F16" s="2213"/>
    </row>
    <row r="17" spans="1:11" ht="12.75" customHeight="1" thickBot="1" x14ac:dyDescent="0.25">
      <c r="A17" s="2227" t="s">
        <v>66</v>
      </c>
      <c r="B17" s="2228"/>
      <c r="C17" s="727"/>
      <c r="D17" s="585"/>
      <c r="E17" s="727"/>
      <c r="F17" s="1777">
        <f>SUM(C17+D17)-E17</f>
        <v>0</v>
      </c>
    </row>
    <row r="18" spans="1:11" ht="12.75" customHeight="1" thickTop="1" thickBot="1" x14ac:dyDescent="0.25">
      <c r="A18" s="2227" t="s">
        <v>6</v>
      </c>
      <c r="B18" s="2228"/>
      <c r="C18" s="727"/>
      <c r="D18" s="585"/>
      <c r="E18" s="727"/>
      <c r="F18" s="1777">
        <f>SUM(C18+D18)-E18</f>
        <v>0</v>
      </c>
    </row>
    <row r="19" spans="1:11" ht="12.75" customHeight="1" thickTop="1" thickBot="1" x14ac:dyDescent="0.25">
      <c r="A19" s="2227" t="s">
        <v>406</v>
      </c>
      <c r="B19" s="2228"/>
      <c r="C19" s="727"/>
      <c r="D19" s="585"/>
      <c r="E19" s="727"/>
      <c r="F19" s="1777">
        <f>SUM(C19+D19)-E19</f>
        <v>0</v>
      </c>
    </row>
    <row r="20" spans="1:11" ht="12.75" customHeight="1" thickTop="1" thickBot="1" x14ac:dyDescent="0.25">
      <c r="A20" s="2227" t="s">
        <v>468</v>
      </c>
      <c r="B20" s="2228"/>
      <c r="C20" s="727"/>
      <c r="D20" s="585"/>
      <c r="E20" s="727"/>
      <c r="F20" s="1777">
        <f>SUM(C20+D20)-E20</f>
        <v>0</v>
      </c>
    </row>
    <row r="21" spans="1:11" ht="14.25" thickTop="1" thickBot="1" x14ac:dyDescent="0.25">
      <c r="A21" s="2204" t="s">
        <v>653</v>
      </c>
      <c r="B21" s="2205"/>
      <c r="C21" s="1777">
        <f>SUM(C17:C20)</f>
        <v>0</v>
      </c>
      <c r="D21" s="1777">
        <f>SUM(D17:D20)</f>
        <v>0</v>
      </c>
      <c r="E21" s="1777">
        <f>SUM(E17:E20)</f>
        <v>0</v>
      </c>
      <c r="F21" s="1777">
        <f>SUM(F17:F20)</f>
        <v>0</v>
      </c>
      <c r="G21" s="552"/>
    </row>
    <row r="22" spans="1:11" ht="15.75" customHeight="1" thickTop="1" x14ac:dyDescent="0.2">
      <c r="A22" s="2229" t="s">
        <v>1174</v>
      </c>
      <c r="B22" s="2203"/>
      <c r="C22" s="2211"/>
      <c r="D22" s="2212"/>
      <c r="E22" s="2212"/>
      <c r="F22" s="2213"/>
    </row>
    <row r="23" spans="1:11" ht="13.5" thickBot="1" x14ac:dyDescent="0.25">
      <c r="A23" s="2217" t="s">
        <v>654</v>
      </c>
      <c r="B23" s="2218"/>
      <c r="C23" s="581"/>
      <c r="D23" s="581"/>
      <c r="E23" s="581"/>
      <c r="F23" s="1777">
        <f>SUM(C23+D23)-E23</f>
        <v>0</v>
      </c>
      <c r="G23" s="552"/>
    </row>
    <row r="24" spans="1:11" ht="15.75" customHeight="1" thickTop="1" x14ac:dyDescent="0.2">
      <c r="A24" s="2229" t="s">
        <v>1175</v>
      </c>
      <c r="B24" s="2203"/>
      <c r="C24" s="2211"/>
      <c r="D24" s="2212"/>
      <c r="E24" s="2212"/>
      <c r="F24" s="2213"/>
    </row>
    <row r="25" spans="1:11" ht="13.5" thickBot="1" x14ac:dyDescent="0.25">
      <c r="A25" s="2217" t="s">
        <v>655</v>
      </c>
      <c r="B25" s="2218"/>
      <c r="C25" s="581"/>
      <c r="D25" s="581"/>
      <c r="E25" s="581"/>
      <c r="F25" s="1777">
        <f>SUM(C25+D25)-E25</f>
        <v>0</v>
      </c>
      <c r="G25" s="552"/>
    </row>
    <row r="26" spans="1:11" ht="15.75" customHeight="1" thickTop="1" x14ac:dyDescent="0.2">
      <c r="A26" s="2202" t="s">
        <v>678</v>
      </c>
      <c r="B26" s="2203"/>
      <c r="C26" s="728"/>
      <c r="D26" s="728"/>
      <c r="E26" s="728"/>
      <c r="F26" s="729"/>
    </row>
    <row r="27" spans="1:11" ht="13.5" thickBot="1" x14ac:dyDescent="0.25">
      <c r="A27" s="2204" t="s">
        <v>1130</v>
      </c>
      <c r="B27" s="2205"/>
      <c r="C27" s="585"/>
      <c r="D27" s="585"/>
      <c r="E27" s="585"/>
      <c r="F27" s="1777">
        <f>SUM(C27+D27)-E27</f>
        <v>0</v>
      </c>
      <c r="G27" s="552"/>
    </row>
    <row r="28" spans="1:11" ht="7.5" customHeight="1" thickTop="1" x14ac:dyDescent="0.2">
      <c r="A28" s="594"/>
    </row>
    <row r="29" spans="1:11" ht="23.25" customHeight="1" x14ac:dyDescent="0.2">
      <c r="A29" s="2230" t="s">
        <v>603</v>
      </c>
      <c r="B29" s="2207"/>
      <c r="C29" s="730"/>
      <c r="D29" s="730"/>
      <c r="E29" s="730"/>
      <c r="F29" s="730"/>
      <c r="G29" s="730"/>
      <c r="H29" s="730"/>
      <c r="I29" s="730"/>
      <c r="J29" s="730"/>
    </row>
    <row r="30" spans="1:11" ht="33.75" x14ac:dyDescent="0.2">
      <c r="A30" s="1551" t="s">
        <v>1131</v>
      </c>
      <c r="B30" s="731" t="s">
        <v>1186</v>
      </c>
      <c r="C30" s="1908" t="s">
        <v>604</v>
      </c>
      <c r="D30" s="1908" t="s">
        <v>1772</v>
      </c>
      <c r="E30" s="1908" t="s">
        <v>2040</v>
      </c>
      <c r="F30" s="1908" t="s">
        <v>2041</v>
      </c>
      <c r="G30" s="1908" t="s">
        <v>2044</v>
      </c>
      <c r="H30" s="1908" t="s">
        <v>2042</v>
      </c>
      <c r="I30" s="1908" t="s">
        <v>2043</v>
      </c>
      <c r="J30" s="1909" t="s">
        <v>2</v>
      </c>
      <c r="K30" s="732"/>
    </row>
    <row r="31" spans="1:11" ht="12" customHeight="1" x14ac:dyDescent="0.2">
      <c r="A31" s="733" t="s">
        <v>2094</v>
      </c>
      <c r="B31" s="734">
        <v>38384</v>
      </c>
      <c r="C31" s="735">
        <v>1415000</v>
      </c>
      <c r="D31" s="736">
        <v>7</v>
      </c>
      <c r="E31" s="735">
        <v>80000</v>
      </c>
      <c r="F31" s="735"/>
      <c r="G31" s="735"/>
      <c r="H31" s="735">
        <v>80000</v>
      </c>
      <c r="I31" s="1778">
        <f>((E31+F31)-H31)+G31</f>
        <v>0</v>
      </c>
      <c r="J31" s="735"/>
      <c r="K31" s="737"/>
    </row>
    <row r="32" spans="1:11" ht="12" customHeight="1" x14ac:dyDescent="0.2">
      <c r="A32" s="733" t="s">
        <v>2095</v>
      </c>
      <c r="B32" s="734">
        <v>40246</v>
      </c>
      <c r="C32" s="735">
        <v>221844</v>
      </c>
      <c r="D32" s="736">
        <v>7</v>
      </c>
      <c r="E32" s="735">
        <v>176652</v>
      </c>
      <c r="F32" s="735"/>
      <c r="G32" s="735"/>
      <c r="H32" s="735"/>
      <c r="I32" s="1778">
        <f>((E32+F32)-H32)+G32</f>
        <v>176652</v>
      </c>
      <c r="J32" s="735">
        <v>107148</v>
      </c>
      <c r="K32" s="737"/>
    </row>
    <row r="33" spans="1:11" ht="12" customHeight="1" x14ac:dyDescent="0.2">
      <c r="A33" s="733" t="s">
        <v>2096</v>
      </c>
      <c r="B33" s="734">
        <v>42712</v>
      </c>
      <c r="C33" s="735">
        <v>790000</v>
      </c>
      <c r="D33" s="736">
        <v>3</v>
      </c>
      <c r="E33" s="735">
        <v>790000</v>
      </c>
      <c r="F33" s="735"/>
      <c r="G33" s="735"/>
      <c r="H33" s="735"/>
      <c r="I33" s="1778">
        <f t="shared" ref="I33:I48" si="1">((E33+F33)-H33)+G33</f>
        <v>790000</v>
      </c>
      <c r="J33" s="735">
        <v>790000</v>
      </c>
      <c r="K33" s="737"/>
    </row>
    <row r="34" spans="1:11" ht="12" customHeight="1" x14ac:dyDescent="0.2">
      <c r="A34" s="733" t="s">
        <v>2097</v>
      </c>
      <c r="B34" s="734">
        <v>42712</v>
      </c>
      <c r="C34" s="735">
        <v>780000</v>
      </c>
      <c r="D34" s="736">
        <v>3</v>
      </c>
      <c r="E34" s="735">
        <v>780000</v>
      </c>
      <c r="F34" s="735"/>
      <c r="G34" s="735"/>
      <c r="H34" s="735"/>
      <c r="I34" s="1778">
        <f t="shared" si="1"/>
        <v>780000</v>
      </c>
      <c r="J34" s="735">
        <v>780000</v>
      </c>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3206844</v>
      </c>
      <c r="D49" s="746"/>
      <c r="E49" s="1778">
        <f t="shared" ref="E49:J49" si="2">SUM(E31:E48)</f>
        <v>1826652</v>
      </c>
      <c r="F49" s="1778">
        <f t="shared" si="2"/>
        <v>0</v>
      </c>
      <c r="G49" s="1778">
        <f t="shared" si="2"/>
        <v>0</v>
      </c>
      <c r="H49" s="1778">
        <f t="shared" si="2"/>
        <v>80000</v>
      </c>
      <c r="I49" s="1778">
        <f t="shared" si="2"/>
        <v>1746652</v>
      </c>
      <c r="J49" s="1778">
        <f t="shared" si="2"/>
        <v>1677148</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21" t="s">
        <v>605</v>
      </c>
      <c r="C52" s="2222"/>
      <c r="D52" s="2222"/>
      <c r="E52" s="750" t="s">
        <v>900</v>
      </c>
      <c r="F52" s="2223"/>
      <c r="G52" s="2224"/>
      <c r="H52" s="737"/>
      <c r="I52" s="737"/>
      <c r="J52" s="747"/>
    </row>
    <row r="53" spans="1:11" ht="11.25" customHeight="1" x14ac:dyDescent="0.2">
      <c r="A53" s="751" t="s">
        <v>969</v>
      </c>
      <c r="B53" s="752" t="s">
        <v>1008</v>
      </c>
      <c r="C53" s="747"/>
      <c r="D53" s="738"/>
      <c r="E53" s="750" t="s">
        <v>518</v>
      </c>
      <c r="F53" s="2225"/>
      <c r="G53" s="2226"/>
      <c r="H53" s="737"/>
      <c r="I53" s="737"/>
      <c r="J53" s="747"/>
    </row>
    <row r="54" spans="1:11" ht="11.25" customHeight="1" x14ac:dyDescent="0.2">
      <c r="A54" s="753" t="s">
        <v>970</v>
      </c>
      <c r="B54" s="748" t="s">
        <v>1009</v>
      </c>
      <c r="C54" s="747"/>
      <c r="D54" s="738"/>
      <c r="E54" s="750" t="s">
        <v>519</v>
      </c>
      <c r="F54" s="2225"/>
      <c r="G54" s="2226"/>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H7" sqref="H7"/>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5" t="s">
        <v>911</v>
      </c>
      <c r="B1" s="2256"/>
      <c r="C1" s="2256"/>
      <c r="D1" s="2256"/>
      <c r="E1" s="2256"/>
      <c r="F1" s="2256"/>
      <c r="G1" s="2257"/>
      <c r="H1" s="1552"/>
      <c r="I1" s="761"/>
      <c r="J1" s="433"/>
    </row>
    <row r="2" spans="1:11" ht="26.25" x14ac:dyDescent="0.2">
      <c r="A2" s="2234" t="s">
        <v>1776</v>
      </c>
      <c r="B2" s="2235"/>
      <c r="C2" s="2235"/>
      <c r="D2" s="2235"/>
      <c r="E2" s="2236"/>
      <c r="F2" s="762" t="s">
        <v>960</v>
      </c>
      <c r="G2" s="763" t="s">
        <v>1773</v>
      </c>
      <c r="H2" s="763" t="s">
        <v>430</v>
      </c>
      <c r="I2" s="763" t="s">
        <v>1220</v>
      </c>
      <c r="J2" s="763" t="s">
        <v>1919</v>
      </c>
      <c r="K2" s="763" t="s">
        <v>140</v>
      </c>
    </row>
    <row r="3" spans="1:11" x14ac:dyDescent="0.2">
      <c r="A3" s="2237" t="s">
        <v>1698</v>
      </c>
      <c r="B3" s="2238"/>
      <c r="C3" s="2238"/>
      <c r="D3" s="2238"/>
      <c r="E3" s="2239"/>
      <c r="F3" s="764"/>
      <c r="G3" s="765"/>
      <c r="H3" s="765"/>
      <c r="I3" s="765"/>
      <c r="J3" s="766"/>
      <c r="K3" s="766"/>
    </row>
    <row r="4" spans="1:11" x14ac:dyDescent="0.2">
      <c r="A4" s="2240" t="s">
        <v>387</v>
      </c>
      <c r="B4" s="2241"/>
      <c r="C4" s="2241"/>
      <c r="D4" s="2241"/>
      <c r="E4" s="2222"/>
      <c r="F4" s="767"/>
      <c r="G4" s="768"/>
      <c r="H4" s="769"/>
      <c r="I4" s="768"/>
      <c r="J4" s="770"/>
      <c r="K4" s="770"/>
    </row>
    <row r="5" spans="1:11" x14ac:dyDescent="0.2">
      <c r="A5" s="2258" t="s">
        <v>1129</v>
      </c>
      <c r="B5" s="2231"/>
      <c r="C5" s="2231"/>
      <c r="D5" s="2231"/>
      <c r="E5" s="2259"/>
      <c r="F5" s="771" t="s">
        <v>903</v>
      </c>
      <c r="G5" s="772"/>
      <c r="H5" s="765">
        <v>48242</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58" t="s">
        <v>1920</v>
      </c>
      <c r="B10" s="2231"/>
      <c r="C10" s="2231"/>
      <c r="D10" s="2231"/>
      <c r="E10" s="2260"/>
      <c r="F10" s="784" t="s">
        <v>917</v>
      </c>
      <c r="G10" s="783"/>
      <c r="H10" s="785"/>
      <c r="I10" s="765"/>
      <c r="J10" s="766"/>
      <c r="K10" s="766"/>
    </row>
    <row r="11" spans="1:11" x14ac:dyDescent="0.2">
      <c r="A11" s="2258" t="s">
        <v>162</v>
      </c>
      <c r="B11" s="2231"/>
      <c r="C11" s="2231"/>
      <c r="D11" s="2231"/>
      <c r="E11" s="2259"/>
      <c r="F11" s="771" t="s">
        <v>907</v>
      </c>
      <c r="G11" s="772"/>
      <c r="H11" s="765"/>
      <c r="I11" s="765"/>
      <c r="J11" s="766"/>
      <c r="K11" s="774"/>
    </row>
    <row r="12" spans="1:11" ht="13.5" thickBot="1" x14ac:dyDescent="0.25">
      <c r="A12" s="2248" t="s">
        <v>961</v>
      </c>
      <c r="B12" s="2249"/>
      <c r="C12" s="2249"/>
      <c r="D12" s="2249"/>
      <c r="E12" s="2250"/>
      <c r="F12" s="1779"/>
      <c r="G12" s="1780">
        <f>SUM(G5:G11)</f>
        <v>0</v>
      </c>
      <c r="H12" s="1780">
        <f>SUM(H5:H11)</f>
        <v>48242</v>
      </c>
      <c r="I12" s="1780">
        <f>SUM(I5:I11)</f>
        <v>0</v>
      </c>
      <c r="J12" s="1780">
        <f>SUM(J5:J11)</f>
        <v>0</v>
      </c>
      <c r="K12" s="1780">
        <f>SUM(K5:K11)</f>
        <v>0</v>
      </c>
    </row>
    <row r="13" spans="1:11" ht="13.5" thickTop="1" x14ac:dyDescent="0.2">
      <c r="A13" s="2242" t="s">
        <v>388</v>
      </c>
      <c r="B13" s="2243"/>
      <c r="C13" s="2243"/>
      <c r="D13" s="2243"/>
      <c r="E13" s="2244"/>
      <c r="F13" s="786"/>
      <c r="G13" s="787"/>
      <c r="H13" s="788"/>
      <c r="I13" s="789"/>
      <c r="J13" s="789"/>
      <c r="K13" s="789"/>
    </row>
    <row r="14" spans="1:11" x14ac:dyDescent="0.2">
      <c r="A14" s="2264" t="s">
        <v>476</v>
      </c>
      <c r="B14" s="2264"/>
      <c r="C14" s="2264"/>
      <c r="D14" s="2264"/>
      <c r="E14" s="2265"/>
      <c r="F14" s="790" t="s">
        <v>909</v>
      </c>
      <c r="G14" s="783"/>
      <c r="H14" s="765"/>
      <c r="I14" s="772"/>
      <c r="J14" s="774"/>
      <c r="K14" s="766"/>
    </row>
    <row r="15" spans="1:11" x14ac:dyDescent="0.2">
      <c r="A15" s="2231" t="s">
        <v>4</v>
      </c>
      <c r="B15" s="2231"/>
      <c r="C15" s="2231"/>
      <c r="D15" s="2231"/>
      <c r="E15" s="2259"/>
      <c r="F15" s="790" t="s">
        <v>910</v>
      </c>
      <c r="G15" s="772"/>
      <c r="H15" s="765"/>
      <c r="I15" s="765"/>
      <c r="J15" s="766"/>
      <c r="K15" s="766"/>
    </row>
    <row r="16" spans="1:11" x14ac:dyDescent="0.2">
      <c r="A16" s="2231" t="s">
        <v>316</v>
      </c>
      <c r="B16" s="2231"/>
      <c r="C16" s="2231"/>
      <c r="D16" s="2231"/>
      <c r="E16" s="2259"/>
      <c r="F16" s="790" t="s">
        <v>980</v>
      </c>
      <c r="G16" s="773"/>
      <c r="H16" s="768"/>
      <c r="I16" s="768"/>
      <c r="J16" s="770"/>
      <c r="K16" s="770"/>
    </row>
    <row r="17" spans="1:11" x14ac:dyDescent="0.2">
      <c r="A17" s="2253" t="s">
        <v>992</v>
      </c>
      <c r="B17" s="2253"/>
      <c r="C17" s="2253"/>
      <c r="D17" s="2253"/>
      <c r="E17" s="2254"/>
      <c r="F17" s="791"/>
      <c r="G17" s="792"/>
      <c r="H17" s="793"/>
      <c r="I17" s="793"/>
      <c r="J17" s="794"/>
      <c r="K17" s="795"/>
    </row>
    <row r="18" spans="1:11" x14ac:dyDescent="0.2">
      <c r="A18" s="2245" t="s">
        <v>386</v>
      </c>
      <c r="B18" s="2246"/>
      <c r="C18" s="2246"/>
      <c r="D18" s="2246"/>
      <c r="E18" s="2247"/>
      <c r="F18" s="790" t="s">
        <v>989</v>
      </c>
      <c r="G18" s="783"/>
      <c r="H18" s="783"/>
      <c r="I18" s="783"/>
      <c r="J18" s="766"/>
      <c r="K18" s="796"/>
    </row>
    <row r="19" spans="1:11" ht="21.75" customHeight="1" x14ac:dyDescent="0.2">
      <c r="A19" s="2266" t="s">
        <v>1916</v>
      </c>
      <c r="B19" s="2266"/>
      <c r="C19" s="2266"/>
      <c r="D19" s="2266"/>
      <c r="E19" s="2267"/>
      <c r="F19" s="790" t="s">
        <v>990</v>
      </c>
      <c r="G19" s="783"/>
      <c r="H19" s="783"/>
      <c r="I19" s="783"/>
      <c r="J19" s="766"/>
      <c r="K19" s="796"/>
    </row>
    <row r="20" spans="1:11" x14ac:dyDescent="0.2">
      <c r="A20" s="2245" t="s">
        <v>1921</v>
      </c>
      <c r="B20" s="2246"/>
      <c r="C20" s="2246"/>
      <c r="D20" s="2246"/>
      <c r="E20" s="2247"/>
      <c r="F20" s="790" t="s">
        <v>991</v>
      </c>
      <c r="G20" s="783"/>
      <c r="H20" s="783"/>
      <c r="I20" s="783"/>
      <c r="J20" s="766"/>
      <c r="K20" s="796"/>
    </row>
    <row r="21" spans="1:11" ht="13.5" thickBot="1" x14ac:dyDescent="0.25">
      <c r="A21" s="2251" t="s">
        <v>659</v>
      </c>
      <c r="B21" s="2251"/>
      <c r="C21" s="2251"/>
      <c r="D21" s="2251"/>
      <c r="E21" s="2251"/>
      <c r="F21" s="1781"/>
      <c r="G21" s="793"/>
      <c r="H21" s="797"/>
      <c r="I21" s="797"/>
      <c r="J21" s="1782">
        <f>SUM(J18:J20)</f>
        <v>0</v>
      </c>
      <c r="K21" s="794"/>
    </row>
    <row r="22" spans="1:11" ht="13.5" thickTop="1" x14ac:dyDescent="0.2">
      <c r="A22" s="2231" t="s">
        <v>1922</v>
      </c>
      <c r="B22" s="2231"/>
      <c r="C22" s="2231"/>
      <c r="D22" s="2231"/>
      <c r="E22" s="2259"/>
      <c r="F22" s="790" t="s">
        <v>917</v>
      </c>
      <c r="G22" s="783"/>
      <c r="H22" s="765"/>
      <c r="I22" s="765"/>
      <c r="J22" s="798"/>
      <c r="K22" s="766"/>
    </row>
    <row r="23" spans="1:11" ht="13.5" thickBot="1" x14ac:dyDescent="0.25">
      <c r="A23" s="2252" t="s">
        <v>962</v>
      </c>
      <c r="B23" s="2251"/>
      <c r="C23" s="2251"/>
      <c r="D23" s="2251"/>
      <c r="E23" s="2251"/>
      <c r="F23" s="1783"/>
      <c r="G23" s="1780">
        <f>SUM(G14:G16,G21,G22)</f>
        <v>0</v>
      </c>
      <c r="H23" s="1780">
        <f>SUM(H14:H16,H21,H22)</f>
        <v>0</v>
      </c>
      <c r="I23" s="1780">
        <f>SUM(I14:I16,I21,I22)</f>
        <v>0</v>
      </c>
      <c r="J23" s="1780">
        <f>SUM(J14:J16,J21,J22)</f>
        <v>0</v>
      </c>
      <c r="K23" s="1780">
        <f>SUM(K14:K16,K21,K22)</f>
        <v>0</v>
      </c>
    </row>
    <row r="24" spans="1:11" ht="14.25" thickTop="1" thickBot="1" x14ac:dyDescent="0.25">
      <c r="A24" s="2252" t="s">
        <v>2026</v>
      </c>
      <c r="B24" s="2251"/>
      <c r="C24" s="2251"/>
      <c r="D24" s="2251"/>
      <c r="E24" s="2251"/>
      <c r="F24" s="1784"/>
      <c r="G24" s="1785">
        <f>SUM(G3,G12)-G23</f>
        <v>0</v>
      </c>
      <c r="H24" s="1785">
        <f>SUM(H3,H12)-H23</f>
        <v>48242</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48242</v>
      </c>
      <c r="I26" s="1780">
        <f>I24-I25</f>
        <v>0</v>
      </c>
      <c r="J26" s="1780">
        <f>J24-J25</f>
        <v>0</v>
      </c>
      <c r="K26" s="1780">
        <f>K24-K25</f>
        <v>0</v>
      </c>
    </row>
    <row r="27" spans="1:11" ht="5.25" customHeight="1" thickTop="1" x14ac:dyDescent="0.2">
      <c r="I27" s="202"/>
      <c r="J27" s="202"/>
    </row>
    <row r="28" spans="1:11" ht="29.25" customHeight="1" x14ac:dyDescent="0.2">
      <c r="A28" s="1903" t="s">
        <v>2036</v>
      </c>
      <c r="B28" s="1904"/>
      <c r="C28" s="1904"/>
      <c r="D28" s="1904"/>
      <c r="E28" s="1905"/>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1"/>
      <c r="I31" s="2262"/>
      <c r="J31" s="2262"/>
      <c r="K31" s="2262"/>
    </row>
    <row r="32" spans="1:11" x14ac:dyDescent="0.2">
      <c r="A32" s="810"/>
      <c r="B32" s="237"/>
      <c r="C32" s="237"/>
      <c r="D32" s="237"/>
      <c r="E32" s="806"/>
      <c r="F32" s="812" t="s">
        <v>561</v>
      </c>
      <c r="G32" s="765"/>
      <c r="H32" s="2263"/>
      <c r="I32" s="2262"/>
      <c r="J32" s="2262"/>
      <c r="K32" s="2262"/>
    </row>
    <row r="33" spans="1:11" ht="1.5" customHeight="1" x14ac:dyDescent="0.2">
      <c r="A33" s="813" t="s">
        <v>1231</v>
      </c>
      <c r="B33" s="364"/>
      <c r="C33" s="364"/>
      <c r="D33" s="364"/>
      <c r="E33" s="364"/>
      <c r="F33" s="364"/>
      <c r="G33" s="814"/>
      <c r="H33" s="2263"/>
      <c r="I33" s="2262"/>
      <c r="J33" s="2262"/>
      <c r="K33" s="2262"/>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1" t="s">
        <v>562</v>
      </c>
      <c r="B41" s="2232"/>
      <c r="C41" s="2232"/>
      <c r="D41" s="2232"/>
      <c r="E41" s="2232"/>
      <c r="F41" s="2233"/>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topLeftCell="A2" colorId="8" zoomScale="110" zoomScaleNormal="110" workbookViewId="0">
      <selection activeCell="D13" sqref="D13"/>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0" t="s">
        <v>2035</v>
      </c>
      <c r="B1" s="2271"/>
      <c r="C1" s="2272"/>
      <c r="D1" s="827"/>
      <c r="E1" s="828"/>
      <c r="F1" s="828"/>
      <c r="G1" s="829"/>
      <c r="H1" s="830"/>
      <c r="I1" s="831"/>
      <c r="J1" s="2268"/>
      <c r="K1" s="2269"/>
      <c r="L1" s="2269"/>
    </row>
    <row r="2" spans="1:14" ht="69.75" customHeight="1" x14ac:dyDescent="0.2">
      <c r="A2" s="832" t="s">
        <v>1777</v>
      </c>
      <c r="B2" s="833" t="s">
        <v>396</v>
      </c>
      <c r="C2" s="834" t="s">
        <v>2030</v>
      </c>
      <c r="D2" s="834" t="s">
        <v>2027</v>
      </c>
      <c r="E2" s="834" t="s">
        <v>2028</v>
      </c>
      <c r="F2" s="834" t="s">
        <v>2029</v>
      </c>
      <c r="G2" s="834" t="s">
        <v>626</v>
      </c>
      <c r="H2" s="834" t="s">
        <v>2031</v>
      </c>
      <c r="I2" s="834" t="s">
        <v>2032</v>
      </c>
      <c r="J2" s="834" t="s">
        <v>2047</v>
      </c>
      <c r="K2" s="834" t="s">
        <v>2033</v>
      </c>
      <c r="L2" s="834" t="s">
        <v>2034</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49573</v>
      </c>
      <c r="D5" s="842"/>
      <c r="E5" s="842"/>
      <c r="F5" s="1782">
        <f>(C5+D5)-E5</f>
        <v>49573</v>
      </c>
      <c r="G5" s="838"/>
      <c r="H5" s="843"/>
      <c r="I5" s="843"/>
      <c r="J5" s="843"/>
      <c r="K5" s="794"/>
      <c r="L5" s="1791">
        <f>F5-K5</f>
        <v>49573</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7941805</v>
      </c>
      <c r="D8" s="845"/>
      <c r="E8" s="845"/>
      <c r="F8" s="1782">
        <f>(C8+D8)-E8</f>
        <v>7941805</v>
      </c>
      <c r="G8" s="844">
        <v>50</v>
      </c>
      <c r="H8" s="766"/>
      <c r="I8" s="766"/>
      <c r="J8" s="766"/>
      <c r="K8" s="1791">
        <f>(H8+I8)-J8</f>
        <v>0</v>
      </c>
      <c r="L8" s="1791">
        <f>F8-K8</f>
        <v>7941805</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1466544</v>
      </c>
      <c r="D10" s="847">
        <v>48115</v>
      </c>
      <c r="E10" s="847">
        <v>331390</v>
      </c>
      <c r="F10" s="1786">
        <f>(C10+D10)-E10</f>
        <v>1183269</v>
      </c>
      <c r="G10" s="844">
        <v>20</v>
      </c>
      <c r="H10" s="848"/>
      <c r="I10" s="848"/>
      <c r="J10" s="848"/>
      <c r="K10" s="1791">
        <f>(H10+I10)-J10</f>
        <v>0</v>
      </c>
      <c r="L10" s="1791">
        <f>F10-K10</f>
        <v>1183269</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1835357</v>
      </c>
      <c r="D12" s="845">
        <v>76822</v>
      </c>
      <c r="E12" s="845">
        <v>1432642</v>
      </c>
      <c r="F12" s="1782">
        <f>(C12+D12)-E12</f>
        <v>479537</v>
      </c>
      <c r="G12" s="844">
        <v>10</v>
      </c>
      <c r="H12" s="766"/>
      <c r="I12" s="766"/>
      <c r="J12" s="766"/>
      <c r="K12" s="1791">
        <f>(H12+I12)-J12</f>
        <v>0</v>
      </c>
      <c r="L12" s="1791">
        <f>F12-K12</f>
        <v>479537</v>
      </c>
    </row>
    <row r="13" spans="1:14" ht="14.25" thickTop="1" thickBot="1" x14ac:dyDescent="0.25">
      <c r="A13" s="849" t="s">
        <v>1184</v>
      </c>
      <c r="B13" s="841">
        <v>252</v>
      </c>
      <c r="C13" s="845">
        <v>5702</v>
      </c>
      <c r="D13" s="845"/>
      <c r="E13" s="845">
        <v>5702</v>
      </c>
      <c r="F13" s="1782">
        <f>(C13+D13)-E13</f>
        <v>0</v>
      </c>
      <c r="G13" s="844">
        <v>5</v>
      </c>
      <c r="H13" s="766"/>
      <c r="I13" s="766"/>
      <c r="J13" s="766"/>
      <c r="K13" s="1791">
        <f>(H13+I13)-J13</f>
        <v>0</v>
      </c>
      <c r="L13" s="1791">
        <f>F13-K13</f>
        <v>0</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11298981</v>
      </c>
      <c r="D16" s="1782">
        <f>SUM(D3,D5:D6,D8:D10,D12:D15)</f>
        <v>124937</v>
      </c>
      <c r="E16" s="1782">
        <f>SUM(E3,E5:E6,E8:E10,E12:E15)</f>
        <v>1769734</v>
      </c>
      <c r="F16" s="1782">
        <f>SUM(F3,F5:F6,F8:F10,F12:F15)</f>
        <v>9654184</v>
      </c>
      <c r="G16" s="844"/>
      <c r="H16" s="1782">
        <f>SUM(H3,H6,H8:H10,H12:H14,)</f>
        <v>0</v>
      </c>
      <c r="I16" s="1782">
        <f>SUM(I3,I6,I8:I10,I12:I14,)</f>
        <v>0</v>
      </c>
      <c r="J16" s="1782">
        <f>SUM(J3,J6,J8:J10,J12:J14,)</f>
        <v>0</v>
      </c>
      <c r="K16" s="1782">
        <f>(H16+I16)-J16</f>
        <v>0</v>
      </c>
      <c r="L16" s="1782">
        <f>F16-K16</f>
        <v>9654184</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98896</v>
      </c>
      <c r="G17" s="838">
        <v>10</v>
      </c>
      <c r="H17" s="770"/>
      <c r="I17" s="1791">
        <f>F17/G17</f>
        <v>9889.6</v>
      </c>
      <c r="J17" s="770"/>
      <c r="K17" s="796"/>
      <c r="L17" s="796"/>
    </row>
    <row r="18" spans="1:12" ht="14.25" thickTop="1" thickBot="1" x14ac:dyDescent="0.25">
      <c r="A18" s="1789" t="s">
        <v>706</v>
      </c>
      <c r="B18" s="1790"/>
      <c r="C18" s="772"/>
      <c r="D18" s="772"/>
      <c r="E18" s="772"/>
      <c r="F18" s="851"/>
      <c r="G18" s="852"/>
      <c r="H18" s="774"/>
      <c r="I18" s="1782">
        <f>SUM(I16,I17)</f>
        <v>9889.6</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4" activePane="bottomLeft" state="frozen"/>
      <selection activeCell="A47" sqref="A47"/>
      <selection pane="bottomLeft" activeCell="F79" sqref="F79"/>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6" t="s">
        <v>1699</v>
      </c>
      <c r="B1" s="2277"/>
      <c r="C1" s="2277"/>
      <c r="D1" s="2277"/>
      <c r="E1" s="2277"/>
      <c r="F1" s="2278"/>
      <c r="G1" s="856"/>
    </row>
    <row r="2" spans="1:7" ht="15" customHeight="1" thickBot="1" x14ac:dyDescent="0.25">
      <c r="A2" s="2279" t="s">
        <v>498</v>
      </c>
      <c r="B2" s="2280"/>
      <c r="C2" s="2280"/>
      <c r="D2" s="2280"/>
      <c r="E2" s="2280"/>
      <c r="F2" s="2281"/>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2"/>
      <c r="B5" s="2283"/>
      <c r="C5" s="2283"/>
      <c r="D5" s="2283"/>
      <c r="E5" s="2283"/>
      <c r="F5" s="2283"/>
    </row>
    <row r="6" spans="1:7" ht="13.5" customHeight="1" thickBot="1" x14ac:dyDescent="0.25">
      <c r="A6" s="2273" t="s">
        <v>1166</v>
      </c>
      <c r="B6" s="2274"/>
      <c r="C6" s="2274"/>
      <c r="D6" s="2274"/>
      <c r="E6" s="2274"/>
      <c r="F6" s="2275"/>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2">
        <f>'Expenditures 15-22'!K114</f>
        <v>6253138</v>
      </c>
      <c r="G8" s="866"/>
    </row>
    <row r="9" spans="1:7" x14ac:dyDescent="0.2">
      <c r="A9" s="870" t="s">
        <v>480</v>
      </c>
      <c r="B9" s="871" t="s">
        <v>1989</v>
      </c>
      <c r="C9" s="872"/>
      <c r="D9" s="870" t="s">
        <v>522</v>
      </c>
      <c r="E9" s="869"/>
      <c r="F9" s="1933">
        <f>'Expenditures 15-22'!K151</f>
        <v>741372</v>
      </c>
      <c r="G9" s="873"/>
    </row>
    <row r="10" spans="1:7" x14ac:dyDescent="0.2">
      <c r="A10" s="870" t="s">
        <v>520</v>
      </c>
      <c r="B10" s="871" t="s">
        <v>1990</v>
      </c>
      <c r="C10" s="872"/>
      <c r="D10" s="870" t="s">
        <v>522</v>
      </c>
      <c r="E10" s="869"/>
      <c r="F10" s="1933">
        <f>'Expenditures 15-22'!K174</f>
        <v>150545</v>
      </c>
      <c r="G10" s="873"/>
    </row>
    <row r="11" spans="1:7" x14ac:dyDescent="0.2">
      <c r="A11" s="870" t="s">
        <v>481</v>
      </c>
      <c r="B11" s="871" t="s">
        <v>1991</v>
      </c>
      <c r="C11" s="872"/>
      <c r="D11" s="870" t="s">
        <v>522</v>
      </c>
      <c r="E11" s="869"/>
      <c r="F11" s="1933">
        <f>'Expenditures 15-22'!K210</f>
        <v>121934</v>
      </c>
      <c r="G11" s="873"/>
    </row>
    <row r="12" spans="1:7" x14ac:dyDescent="0.2">
      <c r="A12" s="870" t="s">
        <v>482</v>
      </c>
      <c r="B12" s="871" t="s">
        <v>1992</v>
      </c>
      <c r="C12" s="872"/>
      <c r="D12" s="870" t="s">
        <v>522</v>
      </c>
      <c r="E12" s="869"/>
      <c r="F12" s="1933">
        <f>'Expenditures 15-22'!K295</f>
        <v>260737</v>
      </c>
      <c r="G12" s="873"/>
    </row>
    <row r="13" spans="1:7" x14ac:dyDescent="0.2">
      <c r="A13" s="870" t="s">
        <v>108</v>
      </c>
      <c r="B13" s="871" t="s">
        <v>1993</v>
      </c>
      <c r="C13" s="872"/>
      <c r="D13" s="870" t="s">
        <v>522</v>
      </c>
      <c r="E13" s="869"/>
      <c r="F13" s="1933">
        <f>'Expenditures 15-22'!K342</f>
        <v>74937</v>
      </c>
      <c r="G13" s="874"/>
    </row>
    <row r="14" spans="1:7" ht="12" customHeight="1" thickBot="1" x14ac:dyDescent="0.25">
      <c r="A14" s="1792"/>
      <c r="B14" s="1793"/>
      <c r="C14" s="1794"/>
      <c r="D14" s="1795" t="s">
        <v>522</v>
      </c>
      <c r="E14" s="1796" t="s">
        <v>1015</v>
      </c>
      <c r="F14" s="1797">
        <f>SUM(F8:F13)</f>
        <v>7602663</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4">
        <f>'Revenues 9-14'!F43</f>
        <v>0</v>
      </c>
      <c r="G18" s="866"/>
    </row>
    <row r="19" spans="1:7" x14ac:dyDescent="0.2">
      <c r="A19" s="870" t="s">
        <v>481</v>
      </c>
      <c r="B19" s="871" t="s">
        <v>1069</v>
      </c>
      <c r="C19" s="878">
        <f>'Revenues 9-14'!B47</f>
        <v>1421</v>
      </c>
      <c r="D19" s="879" t="str">
        <f>'Revenues 9-14'!A47</f>
        <v>Summer Sch - Transp. Fees from Pupils or Parents (In State)</v>
      </c>
      <c r="E19" s="880"/>
      <c r="F19" s="1935">
        <f>'Revenues 9-14'!F47</f>
        <v>0</v>
      </c>
      <c r="G19" s="866"/>
    </row>
    <row r="20" spans="1:7" x14ac:dyDescent="0.2">
      <c r="A20" s="870" t="s">
        <v>481</v>
      </c>
      <c r="B20" s="871" t="s">
        <v>1070</v>
      </c>
      <c r="C20" s="876">
        <f>'Revenues 9-14'!B48</f>
        <v>1422</v>
      </c>
      <c r="D20" s="877" t="str">
        <f>'Revenues 9-14'!A48</f>
        <v>Summer Sch - Transp. Fees from Other Districts (In State)</v>
      </c>
      <c r="E20" s="869"/>
      <c r="F20" s="1936">
        <f>'Revenues 9-14'!F48</f>
        <v>0</v>
      </c>
      <c r="G20" s="866"/>
    </row>
    <row r="21" spans="1:7" x14ac:dyDescent="0.2">
      <c r="A21" s="870" t="s">
        <v>481</v>
      </c>
      <c r="B21" s="871" t="s">
        <v>1071</v>
      </c>
      <c r="C21" s="878">
        <f>'Revenues 9-14'!B49</f>
        <v>1423</v>
      </c>
      <c r="D21" s="877" t="str">
        <f>'Revenues 9-14'!A49</f>
        <v>Summer Sch - Transp. Fees from Other Sources (In State)</v>
      </c>
      <c r="E21" s="869"/>
      <c r="F21" s="1937">
        <f>'Revenues 9-14'!F49</f>
        <v>0</v>
      </c>
      <c r="G21" s="866"/>
    </row>
    <row r="22" spans="1:7" x14ac:dyDescent="0.2">
      <c r="A22" s="870" t="s">
        <v>481</v>
      </c>
      <c r="B22" s="871" t="s">
        <v>1072</v>
      </c>
      <c r="C22" s="878">
        <f>'Revenues 9-14'!B50</f>
        <v>1424</v>
      </c>
      <c r="D22" s="877" t="str">
        <f>'Revenues 9-14'!A50</f>
        <v>Summer Sch - Transp. Fees from Other Sources (Out of State)</v>
      </c>
      <c r="E22" s="869"/>
      <c r="F22" s="1937">
        <f>'Revenues 9-14'!F50</f>
        <v>0</v>
      </c>
      <c r="G22" s="866"/>
    </row>
    <row r="23" spans="1:7" x14ac:dyDescent="0.2">
      <c r="A23" s="870" t="s">
        <v>481</v>
      </c>
      <c r="B23" s="871" t="s">
        <v>1073</v>
      </c>
      <c r="C23" s="876">
        <f>'Revenues 9-14'!B52</f>
        <v>1432</v>
      </c>
      <c r="D23" s="877" t="str">
        <f>'Revenues 9-14'!A52</f>
        <v>CTE - Transp Fees from Other Districts (In State)</v>
      </c>
      <c r="E23" s="869"/>
      <c r="F23" s="1937">
        <f>'Revenues 9-14'!F52</f>
        <v>0</v>
      </c>
      <c r="G23" s="866"/>
    </row>
    <row r="24" spans="1:7" x14ac:dyDescent="0.2">
      <c r="A24" s="870" t="s">
        <v>481</v>
      </c>
      <c r="B24" s="871" t="s">
        <v>1074</v>
      </c>
      <c r="C24" s="876">
        <f>'Revenues 9-14'!B56</f>
        <v>1442</v>
      </c>
      <c r="D24" s="877" t="str">
        <f>'Revenues 9-14'!A56</f>
        <v>Special Ed - Transp Fees from Other Districts (In State)</v>
      </c>
      <c r="E24" s="869"/>
      <c r="F24" s="1937">
        <f>'Revenues 9-14'!F56</f>
        <v>0</v>
      </c>
      <c r="G24" s="866"/>
    </row>
    <row r="25" spans="1:7" x14ac:dyDescent="0.2">
      <c r="A25" s="870" t="s">
        <v>481</v>
      </c>
      <c r="B25" s="871" t="s">
        <v>1075</v>
      </c>
      <c r="C25" s="876">
        <f>'Revenues 9-14'!B59</f>
        <v>1451</v>
      </c>
      <c r="D25" s="877" t="str">
        <f>'Revenues 9-14'!A59</f>
        <v>Adult - Transp Fees from Pupils or Parents (In State)</v>
      </c>
      <c r="E25" s="869"/>
      <c r="F25" s="1937">
        <f>'Revenues 9-14'!F59</f>
        <v>0</v>
      </c>
      <c r="G25" s="866"/>
    </row>
    <row r="26" spans="1:7" x14ac:dyDescent="0.2">
      <c r="A26" s="870" t="s">
        <v>481</v>
      </c>
      <c r="B26" s="871" t="s">
        <v>1076</v>
      </c>
      <c r="C26" s="876">
        <f>'Revenues 9-14'!B60</f>
        <v>1452</v>
      </c>
      <c r="D26" s="877" t="str">
        <f>'Revenues 9-14'!A60</f>
        <v>Adult - Transp Fees from Other Districts (In State)</v>
      </c>
      <c r="E26" s="869"/>
      <c r="F26" s="1937">
        <f>'Revenues 9-14'!F60</f>
        <v>0</v>
      </c>
      <c r="G26" s="866"/>
    </row>
    <row r="27" spans="1:7" x14ac:dyDescent="0.2">
      <c r="A27" s="870" t="s">
        <v>481</v>
      </c>
      <c r="B27" s="871" t="s">
        <v>1077</v>
      </c>
      <c r="C27" s="876">
        <f>'Revenues 9-14'!B61</f>
        <v>1453</v>
      </c>
      <c r="D27" s="877" t="str">
        <f>'Revenues 9-14'!A61</f>
        <v>Adult - Transp Fees from Other Sources (In State)</v>
      </c>
      <c r="E27" s="869"/>
      <c r="F27" s="1937">
        <f>'Revenues 9-14'!F61</f>
        <v>0</v>
      </c>
      <c r="G27" s="866"/>
    </row>
    <row r="28" spans="1:7" x14ac:dyDescent="0.2">
      <c r="A28" s="870" t="s">
        <v>481</v>
      </c>
      <c r="B28" s="871" t="s">
        <v>1078</v>
      </c>
      <c r="C28" s="876">
        <f>'Revenues 9-14'!B62</f>
        <v>1454</v>
      </c>
      <c r="D28" s="877" t="str">
        <f>'Revenues 9-14'!A62</f>
        <v>Adult - Transp Fees from Other Sources (Out of State)</v>
      </c>
      <c r="E28" s="869"/>
      <c r="F28" s="1937">
        <f>'Revenues 9-14'!F62</f>
        <v>0</v>
      </c>
      <c r="G28" s="866"/>
    </row>
    <row r="29" spans="1:7" x14ac:dyDescent="0.2">
      <c r="A29" s="870" t="s">
        <v>1159</v>
      </c>
      <c r="B29" s="871" t="s">
        <v>1683</v>
      </c>
      <c r="C29" s="881">
        <f>'Revenues 9-14'!B148</f>
        <v>3410</v>
      </c>
      <c r="D29" s="882" t="str">
        <f>'Revenues 9-14'!A148</f>
        <v>Adult Ed (from ICCB)</v>
      </c>
      <c r="E29" s="869"/>
      <c r="F29" s="1937">
        <f>SUM('Revenues 9-14'!D148,F149)</f>
        <v>0</v>
      </c>
      <c r="G29" s="866"/>
    </row>
    <row r="30" spans="1:7" x14ac:dyDescent="0.2">
      <c r="A30" s="870" t="s">
        <v>1159</v>
      </c>
      <c r="B30" s="871" t="s">
        <v>861</v>
      </c>
      <c r="C30" s="881">
        <f>'Revenues 9-14'!B149</f>
        <v>3499</v>
      </c>
      <c r="D30" s="882" t="str">
        <f>'Revenues 9-14'!A149</f>
        <v>Adult Ed - Other (Describe &amp; Itemize)</v>
      </c>
      <c r="E30" s="869"/>
      <c r="F30" s="1938">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7">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7">
        <f>SUM('Revenues 9-14'!D219,'Revenues 9-14'!F219)</f>
        <v>0</v>
      </c>
      <c r="G32" s="866"/>
    </row>
    <row r="33" spans="1:7" x14ac:dyDescent="0.2">
      <c r="A33" s="870" t="s">
        <v>480</v>
      </c>
      <c r="B33" s="871" t="s">
        <v>801</v>
      </c>
      <c r="C33" s="876">
        <f>'Revenues 9-14'!B229</f>
        <v>4810</v>
      </c>
      <c r="D33" s="884" t="str">
        <f>'Revenues 9-14'!A229</f>
        <v>Federal - Adult Education</v>
      </c>
      <c r="E33" s="869"/>
      <c r="F33" s="1937">
        <f>'Revenues 9-14'!D229</f>
        <v>0</v>
      </c>
      <c r="G33" s="866"/>
    </row>
    <row r="34" spans="1:7" x14ac:dyDescent="0.2">
      <c r="A34" s="870" t="s">
        <v>479</v>
      </c>
      <c r="B34" s="870" t="s">
        <v>1545</v>
      </c>
      <c r="C34" s="887" t="str">
        <f>'Expenditures 15-22'!B7</f>
        <v>1125</v>
      </c>
      <c r="D34" s="888" t="str">
        <f>'Expenditures 15-22'!A7</f>
        <v>Pre-K Programs</v>
      </c>
      <c r="E34" s="869"/>
      <c r="F34" s="1937">
        <f>'Expenditures 15-22'!K7-SUM('Expenditures 15-22'!G7,'Expenditures 15-22'!I7)</f>
        <v>223306</v>
      </c>
      <c r="G34" s="866"/>
    </row>
    <row r="35" spans="1:7" x14ac:dyDescent="0.2">
      <c r="A35" s="870" t="s">
        <v>479</v>
      </c>
      <c r="B35" s="870" t="s">
        <v>1546</v>
      </c>
      <c r="C35" s="887" t="str">
        <f>'Expenditures 15-22'!B9</f>
        <v>1225</v>
      </c>
      <c r="D35" s="888" t="str">
        <f>'Expenditures 15-22'!A9</f>
        <v>Special Education Programs Pre-K</v>
      </c>
      <c r="E35" s="869"/>
      <c r="F35" s="1937">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7">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7">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7">
        <f>'Expenditures 15-22'!K15-SUM('Expenditures 15-22'!G15,'Expenditures 15-22'!I15)</f>
        <v>7680</v>
      </c>
      <c r="G38" s="866"/>
    </row>
    <row r="39" spans="1:7" x14ac:dyDescent="0.2">
      <c r="A39" s="870" t="s">
        <v>479</v>
      </c>
      <c r="B39" s="870" t="s">
        <v>119</v>
      </c>
      <c r="C39" s="887" t="str">
        <f>'Expenditures 15-22'!B20</f>
        <v>1910</v>
      </c>
      <c r="D39" s="889" t="str">
        <f>'Expenditures 15-22'!A20</f>
        <v>Pre-K Programs - Private Tuition</v>
      </c>
      <c r="E39" s="869"/>
      <c r="F39" s="1937">
        <f>'Expenditures 15-22'!K20</f>
        <v>0</v>
      </c>
      <c r="G39" s="866"/>
    </row>
    <row r="40" spans="1:7" x14ac:dyDescent="0.2">
      <c r="A40" s="870" t="s">
        <v>479</v>
      </c>
      <c r="B40" s="870" t="s">
        <v>120</v>
      </c>
      <c r="C40" s="887" t="str">
        <f>'Expenditures 15-22'!B21</f>
        <v>1911</v>
      </c>
      <c r="D40" s="889" t="str">
        <f>'Expenditures 15-22'!A21</f>
        <v>Regular K-12 Programs - Private Tuition</v>
      </c>
      <c r="E40" s="869"/>
      <c r="F40" s="1937">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7">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7">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7">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7">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7">
        <f>'Expenditures 15-22'!K26</f>
        <v>0</v>
      </c>
      <c r="G45" s="866"/>
    </row>
    <row r="46" spans="1:7" x14ac:dyDescent="0.2">
      <c r="A46" s="870" t="s">
        <v>479</v>
      </c>
      <c r="B46" s="870" t="s">
        <v>126</v>
      </c>
      <c r="C46" s="887" t="str">
        <f>'Expenditures 15-22'!B27</f>
        <v>1917</v>
      </c>
      <c r="D46" s="889" t="str">
        <f>'Expenditures 15-22'!A27</f>
        <v>CTE Programs - Private Tuition</v>
      </c>
      <c r="E46" s="869"/>
      <c r="F46" s="1937">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7">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7">
        <f>'Expenditures 15-22'!K29</f>
        <v>0</v>
      </c>
      <c r="G48" s="866"/>
    </row>
    <row r="49" spans="1:7" x14ac:dyDescent="0.2">
      <c r="A49" s="870" t="s">
        <v>479</v>
      </c>
      <c r="B49" s="870" t="s">
        <v>129</v>
      </c>
      <c r="C49" s="887" t="str">
        <f>'Expenditures 15-22'!B30</f>
        <v>1920</v>
      </c>
      <c r="D49" s="889" t="str">
        <f>'Expenditures 15-22'!A30</f>
        <v>Gifted Programs - Private Tuition</v>
      </c>
      <c r="E49" s="869"/>
      <c r="F49" s="1937">
        <f>'Expenditures 15-22'!K30</f>
        <v>0</v>
      </c>
      <c r="G49" s="866"/>
    </row>
    <row r="50" spans="1:7" x14ac:dyDescent="0.2">
      <c r="A50" s="870" t="s">
        <v>479</v>
      </c>
      <c r="B50" s="870" t="s">
        <v>130</v>
      </c>
      <c r="C50" s="887" t="str">
        <f>'Expenditures 15-22'!B31</f>
        <v>1921</v>
      </c>
      <c r="D50" s="889" t="str">
        <f>'Expenditures 15-22'!A31</f>
        <v>Bilingual Programs - Private Tuition</v>
      </c>
      <c r="E50" s="869"/>
      <c r="F50" s="1937">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7">
        <f>'Expenditures 15-22'!K32</f>
        <v>0</v>
      </c>
      <c r="G51" s="866"/>
    </row>
    <row r="52" spans="1:7" x14ac:dyDescent="0.2">
      <c r="A52" s="870" t="s">
        <v>479</v>
      </c>
      <c r="B52" s="870" t="s">
        <v>1550</v>
      </c>
      <c r="C52" s="890" t="str">
        <f>'Expenditures 15-22'!B75</f>
        <v>3000</v>
      </c>
      <c r="D52" s="889" t="s">
        <v>469</v>
      </c>
      <c r="E52" s="869"/>
      <c r="F52" s="1937">
        <f>'Expenditures 15-22'!K75-SUM('Expenditures 15-22'!G75,'Expenditures 15-22'!I75)</f>
        <v>0</v>
      </c>
      <c r="G52" s="866"/>
    </row>
    <row r="53" spans="1:7" x14ac:dyDescent="0.2">
      <c r="A53" s="870" t="s">
        <v>479</v>
      </c>
      <c r="B53" s="870" t="s">
        <v>1551</v>
      </c>
      <c r="C53" s="890">
        <f>'Expenditures 15-22'!B102</f>
        <v>4000</v>
      </c>
      <c r="D53" s="889" t="str">
        <f>'Expenditures 15-22'!A102</f>
        <v>Total Payments to Other Govt Units</v>
      </c>
      <c r="E53" s="869"/>
      <c r="F53" s="1937">
        <f>'Expenditures 15-22'!K102</f>
        <v>267517</v>
      </c>
      <c r="G53" s="866"/>
    </row>
    <row r="54" spans="1:7" x14ac:dyDescent="0.2">
      <c r="A54" s="870" t="s">
        <v>479</v>
      </c>
      <c r="B54" s="870" t="s">
        <v>1552</v>
      </c>
      <c r="C54" s="890" t="s">
        <v>1039</v>
      </c>
      <c r="D54" s="886" t="s">
        <v>1157</v>
      </c>
      <c r="E54" s="869"/>
      <c r="F54" s="1937">
        <f>'Expenditures 15-22'!G114</f>
        <v>0</v>
      </c>
      <c r="G54" s="866"/>
    </row>
    <row r="55" spans="1:7" x14ac:dyDescent="0.2">
      <c r="A55" s="870" t="s">
        <v>479</v>
      </c>
      <c r="B55" s="870" t="s">
        <v>1553</v>
      </c>
      <c r="C55" s="890" t="s">
        <v>1039</v>
      </c>
      <c r="D55" s="886" t="s">
        <v>309</v>
      </c>
      <c r="E55" s="869"/>
      <c r="F55" s="1937">
        <f>'Expenditures 15-22'!I114</f>
        <v>77797</v>
      </c>
      <c r="G55" s="866"/>
    </row>
    <row r="56" spans="1:7" x14ac:dyDescent="0.2">
      <c r="A56" s="870" t="s">
        <v>480</v>
      </c>
      <c r="B56" s="870" t="s">
        <v>1554</v>
      </c>
      <c r="C56" s="887" t="str">
        <f>'Expenditures 15-22'!B130</f>
        <v>3000</v>
      </c>
      <c r="D56" s="893" t="s">
        <v>469</v>
      </c>
      <c r="E56" s="869"/>
      <c r="F56" s="1937">
        <f>'Expenditures 15-22'!K130-SUM('Expenditures 15-22'!G130+'Expenditures 15-22'!I130)</f>
        <v>0</v>
      </c>
      <c r="G56" s="866"/>
    </row>
    <row r="57" spans="1:7" x14ac:dyDescent="0.2">
      <c r="A57" s="870" t="s">
        <v>480</v>
      </c>
      <c r="B57" s="870" t="s">
        <v>1994</v>
      </c>
      <c r="C57" s="890">
        <f>'Expenditures 15-22'!B139</f>
        <v>4000</v>
      </c>
      <c r="D57" s="888" t="str">
        <f>'Expenditures 15-22'!A139</f>
        <v>Total Payments to Other Govt Units</v>
      </c>
      <c r="E57" s="869"/>
      <c r="F57" s="1937">
        <f>'Expenditures 15-22'!K139</f>
        <v>0</v>
      </c>
      <c r="G57" s="866"/>
    </row>
    <row r="58" spans="1:7" x14ac:dyDescent="0.2">
      <c r="A58" s="870" t="s">
        <v>480</v>
      </c>
      <c r="B58" s="870" t="s">
        <v>1995</v>
      </c>
      <c r="C58" s="887" t="s">
        <v>1039</v>
      </c>
      <c r="D58" s="886" t="s">
        <v>1157</v>
      </c>
      <c r="E58" s="869"/>
      <c r="F58" s="1939">
        <f>'Expenditures 15-22'!G151</f>
        <v>98564</v>
      </c>
      <c r="G58" s="866"/>
    </row>
    <row r="59" spans="1:7" x14ac:dyDescent="0.2">
      <c r="A59" s="894" t="s">
        <v>480</v>
      </c>
      <c r="B59" s="857" t="s">
        <v>1996</v>
      </c>
      <c r="C59" s="895" t="s">
        <v>1039</v>
      </c>
      <c r="D59" s="857" t="s">
        <v>309</v>
      </c>
      <c r="F59" s="1940">
        <f>'Expenditures 15-22'!I151</f>
        <v>21099</v>
      </c>
      <c r="G59" s="866"/>
    </row>
    <row r="60" spans="1:7" x14ac:dyDescent="0.2">
      <c r="A60" s="894" t="s">
        <v>520</v>
      </c>
      <c r="B60" s="857" t="s">
        <v>1997</v>
      </c>
      <c r="C60" s="895">
        <v>4000</v>
      </c>
      <c r="D60" s="857" t="s">
        <v>330</v>
      </c>
      <c r="F60" s="1938">
        <f>'Expenditures 15-22'!K160</f>
        <v>0</v>
      </c>
      <c r="G60" s="866"/>
    </row>
    <row r="61" spans="1:7" x14ac:dyDescent="0.2">
      <c r="A61" s="896" t="s">
        <v>520</v>
      </c>
      <c r="B61" s="896" t="s">
        <v>1998</v>
      </c>
      <c r="C61" s="897" t="str">
        <f>'Expenditures 15-22'!B170</f>
        <v>5300</v>
      </c>
      <c r="D61" s="898" t="s">
        <v>329</v>
      </c>
      <c r="E61" s="880"/>
      <c r="F61" s="1937">
        <f>'Expenditures 15-22'!K170</f>
        <v>80000</v>
      </c>
      <c r="G61" s="866"/>
    </row>
    <row r="62" spans="1:7" x14ac:dyDescent="0.2">
      <c r="A62" s="870" t="s">
        <v>481</v>
      </c>
      <c r="B62" s="870" t="s">
        <v>1999</v>
      </c>
      <c r="C62" s="887">
        <f>'Expenditures 15-22'!B185</f>
        <v>3000</v>
      </c>
      <c r="D62" s="877" t="s">
        <v>469</v>
      </c>
      <c r="E62" s="869"/>
      <c r="F62" s="1937">
        <f>'Expenditures 15-22'!K185-SUM('Expenditures 15-22'!G185,'Expenditures 15-22'!I185)</f>
        <v>0</v>
      </c>
      <c r="G62" s="866"/>
    </row>
    <row r="63" spans="1:7" x14ac:dyDescent="0.2">
      <c r="A63" s="870" t="s">
        <v>481</v>
      </c>
      <c r="B63" s="870" t="s">
        <v>2000</v>
      </c>
      <c r="C63" s="887" t="str">
        <f>'Expenditures 15-22'!B196</f>
        <v>4000</v>
      </c>
      <c r="D63" s="888" t="str">
        <f>'Expenditures 15-22'!A196</f>
        <v>Total Payments to Other Govt Units</v>
      </c>
      <c r="E63" s="869"/>
      <c r="F63" s="1937">
        <f>'Expenditures 15-22'!K196</f>
        <v>0</v>
      </c>
      <c r="G63" s="866"/>
    </row>
    <row r="64" spans="1:7" x14ac:dyDescent="0.2">
      <c r="A64" s="896" t="s">
        <v>481</v>
      </c>
      <c r="B64" s="896" t="s">
        <v>2001</v>
      </c>
      <c r="C64" s="897" t="str">
        <f>'Expenditures 15-22'!B206</f>
        <v>5300</v>
      </c>
      <c r="D64" s="893" t="s">
        <v>329</v>
      </c>
      <c r="E64" s="869"/>
      <c r="F64" s="1937">
        <f>'Expenditures 15-22'!K206</f>
        <v>0</v>
      </c>
      <c r="G64" s="866"/>
    </row>
    <row r="65" spans="1:8" x14ac:dyDescent="0.2">
      <c r="A65" s="870" t="s">
        <v>481</v>
      </c>
      <c r="B65" s="870" t="s">
        <v>2002</v>
      </c>
      <c r="C65" s="887" t="s">
        <v>1039</v>
      </c>
      <c r="D65" s="886" t="s">
        <v>1157</v>
      </c>
      <c r="E65" s="869"/>
      <c r="F65" s="1937">
        <f>'Expenditures 15-22'!G210</f>
        <v>0</v>
      </c>
      <c r="G65" s="866"/>
    </row>
    <row r="66" spans="1:8" x14ac:dyDescent="0.2">
      <c r="A66" s="870" t="s">
        <v>481</v>
      </c>
      <c r="B66" s="870" t="s">
        <v>2003</v>
      </c>
      <c r="C66" s="887" t="s">
        <v>1039</v>
      </c>
      <c r="D66" s="886" t="s">
        <v>309</v>
      </c>
      <c r="E66" s="869"/>
      <c r="F66" s="1937">
        <f>'Expenditures 15-22'!I210</f>
        <v>0</v>
      </c>
      <c r="G66" s="866"/>
    </row>
    <row r="67" spans="1:8" x14ac:dyDescent="0.2">
      <c r="A67" s="870" t="s">
        <v>482</v>
      </c>
      <c r="B67" s="870" t="s">
        <v>2004</v>
      </c>
      <c r="C67" s="887" t="str">
        <f>'Expenditures 15-22'!B216</f>
        <v>1125</v>
      </c>
      <c r="D67" s="893" t="str">
        <f>'Expenditures 15-22'!A216</f>
        <v>Pre-K Programs</v>
      </c>
      <c r="E67" s="869"/>
      <c r="F67" s="1937">
        <f>'Expenditures 15-22'!K216</f>
        <v>9999</v>
      </c>
      <c r="G67" s="866"/>
    </row>
    <row r="68" spans="1:8" x14ac:dyDescent="0.2">
      <c r="A68" s="870" t="s">
        <v>482</v>
      </c>
      <c r="B68" s="870" t="s">
        <v>1555</v>
      </c>
      <c r="C68" s="887" t="str">
        <f>'Expenditures 15-22'!B218</f>
        <v>1225</v>
      </c>
      <c r="D68" s="893" t="str">
        <f>'Expenditures 15-22'!A218</f>
        <v>Special Education Programs - Pre-K</v>
      </c>
      <c r="E68" s="869"/>
      <c r="F68" s="1937">
        <f>'Expenditures 15-22'!K218</f>
        <v>0</v>
      </c>
      <c r="G68" s="866"/>
    </row>
    <row r="69" spans="1:8" x14ac:dyDescent="0.2">
      <c r="A69" s="870" t="s">
        <v>482</v>
      </c>
      <c r="B69" s="870" t="s">
        <v>2005</v>
      </c>
      <c r="C69" s="887" t="str">
        <f>'Expenditures 15-22'!B220</f>
        <v>1275</v>
      </c>
      <c r="D69" s="893" t="str">
        <f>'Expenditures 15-22'!A220</f>
        <v>Remedial and Supplemental Programs - Pre-K</v>
      </c>
      <c r="E69" s="869"/>
      <c r="F69" s="1937">
        <f>'Expenditures 15-22'!K220</f>
        <v>0</v>
      </c>
      <c r="G69" s="866"/>
    </row>
    <row r="70" spans="1:8" x14ac:dyDescent="0.2">
      <c r="A70" s="870" t="s">
        <v>482</v>
      </c>
      <c r="B70" s="870" t="s">
        <v>2006</v>
      </c>
      <c r="C70" s="887">
        <f>'Expenditures 15-22'!B221</f>
        <v>1300</v>
      </c>
      <c r="D70" s="888" t="str">
        <f>'Expenditures 15-22'!A221</f>
        <v>Adult/Continuing Education Programs</v>
      </c>
      <c r="E70" s="869"/>
      <c r="F70" s="1937">
        <f>'Expenditures 15-22'!K221</f>
        <v>0</v>
      </c>
      <c r="G70" s="866"/>
    </row>
    <row r="71" spans="1:8" x14ac:dyDescent="0.2">
      <c r="A71" s="870" t="s">
        <v>482</v>
      </c>
      <c r="B71" s="870" t="s">
        <v>2007</v>
      </c>
      <c r="C71" s="887">
        <f>'Expenditures 15-22'!B224</f>
        <v>1600</v>
      </c>
      <c r="D71" s="888" t="str">
        <f>'Expenditures 15-22'!A224</f>
        <v>Summer School Programs</v>
      </c>
      <c r="E71" s="869"/>
      <c r="F71" s="1937">
        <f>'Expenditures 15-22'!K224</f>
        <v>194</v>
      </c>
      <c r="G71" s="866"/>
    </row>
    <row r="72" spans="1:8" x14ac:dyDescent="0.2">
      <c r="A72" s="870" t="s">
        <v>482</v>
      </c>
      <c r="B72" s="870" t="s">
        <v>2008</v>
      </c>
      <c r="C72" s="887">
        <f>'Expenditures 15-22'!B280</f>
        <v>3000</v>
      </c>
      <c r="D72" s="877" t="s">
        <v>469</v>
      </c>
      <c r="E72" s="869"/>
      <c r="F72" s="1937">
        <f>'Expenditures 15-22'!K280</f>
        <v>0</v>
      </c>
      <c r="G72" s="866"/>
    </row>
    <row r="73" spans="1:8" x14ac:dyDescent="0.2">
      <c r="A73" s="870" t="s">
        <v>482</v>
      </c>
      <c r="B73" s="870" t="s">
        <v>2009</v>
      </c>
      <c r="C73" s="887" t="str">
        <f>'Expenditures 15-22'!B285</f>
        <v>4000</v>
      </c>
      <c r="D73" s="888" t="str">
        <f>'Expenditures 15-22'!A285</f>
        <v>Total Payments to Other Govt Units</v>
      </c>
      <c r="E73" s="869"/>
      <c r="F73" s="1937">
        <f>'Expenditures 15-22'!K285</f>
        <v>0</v>
      </c>
      <c r="G73" s="866"/>
    </row>
    <row r="74" spans="1:8" x14ac:dyDescent="0.2">
      <c r="A74" s="870" t="s">
        <v>456</v>
      </c>
      <c r="B74" s="870" t="s">
        <v>2010</v>
      </c>
      <c r="C74" s="887" t="s">
        <v>915</v>
      </c>
      <c r="D74" s="888" t="s">
        <v>1567</v>
      </c>
      <c r="E74" s="869"/>
      <c r="F74" s="1941">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2011</v>
      </c>
      <c r="E76" s="1796" t="s">
        <v>1015</v>
      </c>
      <c r="F76" s="1800">
        <f>SUM(F18:F74)</f>
        <v>786156</v>
      </c>
      <c r="G76" s="866"/>
    </row>
    <row r="77" spans="1:8" s="894" customFormat="1" ht="12" customHeight="1" thickTop="1" thickBot="1" x14ac:dyDescent="0.25">
      <c r="A77" s="1801"/>
      <c r="B77" s="1798"/>
      <c r="C77" s="1794"/>
      <c r="D77" s="1799" t="s">
        <v>2012</v>
      </c>
      <c r="E77" s="1796"/>
      <c r="F77" s="1802">
        <f>(F14-F76)</f>
        <v>6816507</v>
      </c>
      <c r="G77" s="870"/>
    </row>
    <row r="78" spans="1:8" s="894" customFormat="1" ht="12" customHeight="1" thickTop="1" x14ac:dyDescent="0.2">
      <c r="A78" s="1803"/>
      <c r="B78" s="1798"/>
      <c r="C78" s="1794"/>
      <c r="D78" s="1799" t="s">
        <v>2059</v>
      </c>
      <c r="E78" s="1796"/>
      <c r="F78" s="899">
        <v>582.58000000000004</v>
      </c>
      <c r="G78" s="900"/>
      <c r="H78" s="870"/>
    </row>
    <row r="79" spans="1:8" s="894" customFormat="1" ht="12" customHeight="1" thickBot="1" x14ac:dyDescent="0.25">
      <c r="A79" s="1804"/>
      <c r="B79" s="1798"/>
      <c r="C79" s="1794"/>
      <c r="D79" s="1799" t="s">
        <v>2013</v>
      </c>
      <c r="E79" s="1796" t="s">
        <v>1015</v>
      </c>
      <c r="F79" s="1805">
        <f>IF(F78&gt;0,F77/F78," Complete Line 78")</f>
        <v>11700.550997287924</v>
      </c>
      <c r="G79" s="870"/>
    </row>
    <row r="80" spans="1:8" s="894" customFormat="1" ht="8.25" customHeight="1" thickTop="1" x14ac:dyDescent="0.2">
      <c r="A80" s="901"/>
      <c r="B80" s="870"/>
      <c r="C80" s="872"/>
      <c r="D80" s="902"/>
      <c r="E80" s="869"/>
      <c r="F80" s="903"/>
      <c r="G80" s="870"/>
    </row>
    <row r="81" spans="1:7" s="894" customFormat="1" ht="12" thickBot="1" x14ac:dyDescent="0.25">
      <c r="A81" s="2273" t="s">
        <v>1167</v>
      </c>
      <c r="B81" s="2274"/>
      <c r="C81" s="2274"/>
      <c r="D81" s="2274"/>
      <c r="E81" s="2274"/>
      <c r="F81" s="2275"/>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1">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37788</v>
      </c>
      <c r="G94" s="913"/>
    </row>
    <row r="95" spans="1:7" x14ac:dyDescent="0.2">
      <c r="A95" s="909" t="s">
        <v>142</v>
      </c>
      <c r="B95" s="909" t="s">
        <v>177</v>
      </c>
      <c r="C95" s="911">
        <v>1700</v>
      </c>
      <c r="D95" s="919" t="str">
        <f>'Revenues 9-14'!A82</f>
        <v>Total District/School Activity Income</v>
      </c>
      <c r="E95" s="907"/>
      <c r="F95" s="1811">
        <f>SUM('Revenues 9-14'!C82,'Revenues 9-14'!D82)</f>
        <v>72112</v>
      </c>
      <c r="G95" s="913"/>
    </row>
    <row r="96" spans="1:7" x14ac:dyDescent="0.2">
      <c r="A96" s="909" t="s">
        <v>479</v>
      </c>
      <c r="B96" s="909" t="s">
        <v>178</v>
      </c>
      <c r="C96" s="911">
        <f>'Revenues 9-14'!B84</f>
        <v>1811</v>
      </c>
      <c r="D96" s="912" t="str">
        <f>'Revenues 9-14'!A84</f>
        <v>Rentals - Regular Textbooks</v>
      </c>
      <c r="E96" s="907"/>
      <c r="F96" s="1811">
        <f>'Revenues 9-14'!C84</f>
        <v>102466</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79411</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0</v>
      </c>
      <c r="G106" s="913"/>
    </row>
    <row r="107" spans="1:7" x14ac:dyDescent="0.2">
      <c r="A107" s="922" t="s">
        <v>685</v>
      </c>
      <c r="B107" s="909" t="s">
        <v>843</v>
      </c>
      <c r="C107" s="921">
        <v>3300</v>
      </c>
      <c r="D107" s="912" t="str">
        <f>'Revenues 9-14'!A144</f>
        <v>Total Bilingual Ed</v>
      </c>
      <c r="E107" s="907"/>
      <c r="F107" s="1811">
        <f>SUM('Revenues 9-14'!C144,'Revenues 9-14'!G144)</f>
        <v>56281</v>
      </c>
      <c r="G107" s="913"/>
    </row>
    <row r="108" spans="1:7" x14ac:dyDescent="0.2">
      <c r="A108" s="909" t="s">
        <v>479</v>
      </c>
      <c r="B108" s="909" t="s">
        <v>844</v>
      </c>
      <c r="C108" s="921">
        <f>'Revenues 9-14'!B145</f>
        <v>3360</v>
      </c>
      <c r="D108" s="912" t="str">
        <f>'Revenues 9-14'!A145</f>
        <v>State Free Lunch &amp; Breakfast</v>
      </c>
      <c r="E108" s="907"/>
      <c r="F108" s="1811">
        <f>'Revenues 9-14'!C145</f>
        <v>1876</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0</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34780</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0">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1">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1">
        <f>SUM('Revenues 9-14'!C166:G166)</f>
        <v>0</v>
      </c>
      <c r="G122" s="913"/>
    </row>
    <row r="123" spans="1:7" x14ac:dyDescent="0.2">
      <c r="A123" s="924" t="s">
        <v>525</v>
      </c>
      <c r="B123" s="924" t="s">
        <v>853</v>
      </c>
      <c r="C123" s="925">
        <f>'Revenues 9-14'!B167</f>
        <v>3815</v>
      </c>
      <c r="D123" s="926" t="str">
        <f>'Revenues 9-14'!A167</f>
        <v>State Charter Schools</v>
      </c>
      <c r="E123" s="907"/>
      <c r="F123" s="1931">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122861</v>
      </c>
      <c r="G129" s="931"/>
    </row>
    <row r="130" spans="1:7" x14ac:dyDescent="0.2">
      <c r="A130" s="928" t="s">
        <v>689</v>
      </c>
      <c r="B130" s="928" t="s">
        <v>804</v>
      </c>
      <c r="C130" s="933">
        <v>4300</v>
      </c>
      <c r="D130" s="934" t="str">
        <f>'Revenues 9-14'!A211</f>
        <v>Total Title I</v>
      </c>
      <c r="E130" s="907"/>
      <c r="F130" s="1811">
        <f>SUM('Revenues 9-14'!C211,'Revenues 9-14'!D211,'Revenues 9-14'!F211,'Revenues 9-14'!G211)</f>
        <v>122554</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23392</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1">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30342</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1">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1">
        <f>SUM('Revenues 9-14'!C268,'Revenues 9-14'!D268,'Revenues 9-14'!F268,'Revenues 9-14'!G268)</f>
        <v>10414</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48989</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2" t="s">
        <v>5</v>
      </c>
      <c r="B175" s="1943" t="s">
        <v>2058</v>
      </c>
      <c r="C175" s="1944">
        <v>3100</v>
      </c>
      <c r="D175" s="1945" t="s">
        <v>2061</v>
      </c>
      <c r="E175" s="907"/>
      <c r="F175" s="1929"/>
      <c r="G175" s="928"/>
    </row>
    <row r="176" spans="1:7" x14ac:dyDescent="0.2">
      <c r="A176" s="1942" t="s">
        <v>685</v>
      </c>
      <c r="B176" s="1943" t="s">
        <v>2058</v>
      </c>
      <c r="C176" s="1944">
        <v>3300</v>
      </c>
      <c r="D176" s="1945" t="s">
        <v>2062</v>
      </c>
      <c r="E176" s="907"/>
      <c r="F176" s="1929"/>
      <c r="G176" s="928"/>
    </row>
    <row r="177" spans="1:7" ht="6" customHeight="1" x14ac:dyDescent="0.2">
      <c r="A177" s="928"/>
      <c r="B177" s="928"/>
      <c r="C177" s="950"/>
      <c r="D177" s="928"/>
      <c r="E177" s="907"/>
      <c r="F177" s="951"/>
      <c r="G177" s="948"/>
    </row>
    <row r="178" spans="1:7" x14ac:dyDescent="0.2">
      <c r="A178" s="1792"/>
      <c r="B178" s="1806"/>
      <c r="C178" s="1807"/>
      <c r="D178" s="1808" t="s">
        <v>2014</v>
      </c>
      <c r="E178" s="1809" t="s">
        <v>1015</v>
      </c>
      <c r="F178" s="1810">
        <f>SUM(F84:F136,F161:F176)</f>
        <v>743266</v>
      </c>
    </row>
    <row r="179" spans="1:7" ht="12" customHeight="1" x14ac:dyDescent="0.2">
      <c r="A179" s="1792"/>
      <c r="B179" s="1806"/>
      <c r="C179" s="1807"/>
      <c r="D179" s="1808" t="s">
        <v>2015</v>
      </c>
      <c r="E179" s="1809"/>
      <c r="F179" s="1811">
        <f>'PCTC-OEPP 27-28'!F77-F178</f>
        <v>6073241</v>
      </c>
    </row>
    <row r="180" spans="1:7" ht="12" customHeight="1" x14ac:dyDescent="0.2">
      <c r="A180" s="1792"/>
      <c r="B180" s="1806"/>
      <c r="C180" s="1807"/>
      <c r="D180" s="1808" t="s">
        <v>1924</v>
      </c>
      <c r="E180" s="1809"/>
      <c r="F180" s="1811">
        <f>'Cap Outlay Deprec 26'!I18</f>
        <v>9889.6</v>
      </c>
    </row>
    <row r="181" spans="1:7" ht="12" customHeight="1" x14ac:dyDescent="0.2">
      <c r="A181" s="1792"/>
      <c r="B181" s="1806"/>
      <c r="C181" s="1807"/>
      <c r="D181" s="1808" t="s">
        <v>2016</v>
      </c>
      <c r="E181" s="1809"/>
      <c r="F181" s="1811">
        <f>F179+F180</f>
        <v>6083130.5999999996</v>
      </c>
    </row>
    <row r="182" spans="1:7" ht="12" customHeight="1" x14ac:dyDescent="0.2">
      <c r="A182" s="1792"/>
      <c r="B182" s="1812"/>
      <c r="C182" s="1807"/>
      <c r="D182" s="1808" t="str">
        <f>D78</f>
        <v>9 Month ADA from District Average Daily Attendance/Prior General State Aid Inquiry 2017-2018</v>
      </c>
      <c r="E182" s="1809"/>
      <c r="F182" s="1813">
        <f>'PCTC-OEPP 27-28'!F78</f>
        <v>582.58000000000004</v>
      </c>
      <c r="G182" s="931"/>
    </row>
    <row r="183" spans="1:7" ht="12" customHeight="1" thickBot="1" x14ac:dyDescent="0.25">
      <c r="A183" s="1792"/>
      <c r="B183" s="1812"/>
      <c r="C183" s="1807"/>
      <c r="D183" s="1808" t="s">
        <v>2017</v>
      </c>
      <c r="E183" s="1809" t="s">
        <v>1626</v>
      </c>
      <c r="F183" s="1814">
        <f>F181/F182</f>
        <v>10441.708606543307</v>
      </c>
      <c r="G183" s="857">
        <v>6323</v>
      </c>
    </row>
    <row r="184" spans="1:7" ht="12" thickTop="1" x14ac:dyDescent="0.2">
      <c r="B184" s="931"/>
      <c r="C184" s="950"/>
      <c r="D184" s="931"/>
      <c r="E184" s="950"/>
      <c r="F184" s="931"/>
      <c r="G184" s="952">
        <v>6326</v>
      </c>
    </row>
    <row r="185" spans="1:7" ht="12.2" customHeight="1" x14ac:dyDescent="0.2">
      <c r="A185" s="931" t="s">
        <v>2060</v>
      </c>
      <c r="B185" s="931"/>
      <c r="C185" s="950"/>
      <c r="D185" s="931"/>
      <c r="E185" s="950"/>
      <c r="F185" s="931"/>
      <c r="G185" s="931"/>
    </row>
    <row r="186" spans="1:7" s="1946" customFormat="1" ht="12.2" customHeight="1" x14ac:dyDescent="0.2">
      <c r="A186" s="1946" t="s">
        <v>2065</v>
      </c>
      <c r="B186" s="1947"/>
      <c r="C186" s="1948"/>
      <c r="D186" s="1947"/>
      <c r="E186" s="1948"/>
      <c r="F186" s="1947"/>
      <c r="G186" s="1947"/>
    </row>
    <row r="187" spans="1:7" s="1946" customFormat="1" ht="12.2" customHeight="1" x14ac:dyDescent="0.2">
      <c r="A187" s="1949" t="s">
        <v>2066</v>
      </c>
      <c r="C187" s="1948"/>
      <c r="D187" s="1947"/>
      <c r="E187" s="1948"/>
      <c r="F187" s="1947"/>
      <c r="G187" s="1947"/>
    </row>
    <row r="188" spans="1:7" ht="12" customHeight="1" x14ac:dyDescent="0.2">
      <c r="C188" s="950"/>
      <c r="D188" s="931"/>
      <c r="E188" s="950"/>
      <c r="F188" s="931"/>
      <c r="G188" s="931"/>
    </row>
    <row r="189" spans="1:7" x14ac:dyDescent="0.2">
      <c r="A189" s="1950" t="s">
        <v>2064</v>
      </c>
      <c r="B189" s="1951" t="s">
        <v>2063</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31" activePane="bottomLeft" state="frozen"/>
      <selection pane="bottomLeft" activeCell="B26" sqref="B26"/>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7" t="s">
        <v>1925</v>
      </c>
      <c r="B4" s="2288"/>
      <c r="C4" s="2288"/>
      <c r="D4" s="2288"/>
      <c r="E4" s="2288"/>
      <c r="F4" s="2288"/>
      <c r="G4" s="2289"/>
    </row>
    <row r="5" spans="1:7" x14ac:dyDescent="0.25">
      <c r="A5" s="2290"/>
      <c r="B5" s="2291"/>
      <c r="C5" s="2291"/>
      <c r="D5" s="2291"/>
      <c r="E5" s="2291"/>
      <c r="F5" s="2291"/>
      <c r="G5" s="2292"/>
    </row>
    <row r="6" spans="1:7" ht="18.75" x14ac:dyDescent="0.25">
      <c r="A6" s="1556" t="s">
        <v>1926</v>
      </c>
      <c r="B6" s="1557"/>
      <c r="C6" s="1557"/>
      <c r="D6" s="1557"/>
      <c r="E6" s="1557"/>
      <c r="F6" s="1557"/>
      <c r="G6" s="1558"/>
    </row>
    <row r="7" spans="1:7" ht="30.75" customHeight="1" x14ac:dyDescent="0.25">
      <c r="A7" s="2293" t="s">
        <v>2075</v>
      </c>
      <c r="B7" s="2294"/>
      <c r="C7" s="2294"/>
      <c r="D7" s="2294"/>
      <c r="E7" s="2294"/>
      <c r="F7" s="2294"/>
      <c r="G7" s="2295"/>
    </row>
    <row r="8" spans="1:7" ht="15.75" customHeight="1" x14ac:dyDescent="0.25">
      <c r="A8" s="2296" t="s">
        <v>2024</v>
      </c>
      <c r="B8" s="2297"/>
      <c r="C8" s="2297"/>
      <c r="D8" s="2297"/>
      <c r="E8" s="2297"/>
      <c r="F8" s="2297"/>
      <c r="G8" s="2298"/>
    </row>
    <row r="9" spans="1:7" ht="35.25" customHeight="1" x14ac:dyDescent="0.25">
      <c r="A9" s="2293" t="s">
        <v>2023</v>
      </c>
      <c r="B9" s="2294"/>
      <c r="C9" s="2294"/>
      <c r="D9" s="2294"/>
      <c r="E9" s="2294"/>
      <c r="F9" s="2294"/>
      <c r="G9" s="2295"/>
    </row>
    <row r="10" spans="1:7" ht="15" customHeight="1" x14ac:dyDescent="0.25">
      <c r="A10" s="1559" t="s">
        <v>1927</v>
      </c>
      <c r="B10" s="1560"/>
      <c r="C10" s="1560"/>
      <c r="D10" s="1560"/>
      <c r="E10" s="1560"/>
      <c r="F10" s="1560"/>
      <c r="G10" s="1561"/>
    </row>
    <row r="11" spans="1:7" ht="17.25" customHeight="1" x14ac:dyDescent="0.25">
      <c r="A11" s="2293" t="s">
        <v>1941</v>
      </c>
      <c r="B11" s="2294"/>
      <c r="C11" s="2294"/>
      <c r="D11" s="2294"/>
      <c r="E11" s="2294"/>
      <c r="F11" s="2294"/>
      <c r="G11" s="2295"/>
    </row>
    <row r="12" spans="1:7" ht="15" customHeight="1" x14ac:dyDescent="0.25">
      <c r="A12" s="1559" t="s">
        <v>1932</v>
      </c>
      <c r="B12" s="1560"/>
      <c r="C12" s="1560"/>
      <c r="D12" s="1560"/>
      <c r="E12" s="1560"/>
      <c r="F12" s="1560"/>
      <c r="G12" s="1561"/>
    </row>
    <row r="13" spans="1:7" ht="32.25" customHeight="1" x14ac:dyDescent="0.25">
      <c r="A13" s="2284" t="s">
        <v>1933</v>
      </c>
      <c r="B13" s="2285"/>
      <c r="C13" s="2285"/>
      <c r="D13" s="2285"/>
      <c r="E13" s="2285"/>
      <c r="F13" s="2285"/>
      <c r="G13" s="2286"/>
    </row>
    <row r="14" spans="1:7" x14ac:dyDescent="0.25">
      <c r="A14" s="1683" t="s">
        <v>1942</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1943</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7" t="s">
        <v>2146</v>
      </c>
      <c r="B17" s="1954" t="s">
        <v>2102</v>
      </c>
      <c r="C17" s="1955" t="s">
        <v>2108</v>
      </c>
      <c r="D17" s="1867">
        <v>6839.62</v>
      </c>
      <c r="E17" s="1562">
        <f t="shared" ref="E17:E141" si="1">IF(D17&lt;=25000,D17,IF(D17&gt;25000,25000,0))</f>
        <v>6839.62</v>
      </c>
      <c r="F17" s="1815">
        <f t="shared" si="0"/>
        <v>0</v>
      </c>
      <c r="G17" s="1816">
        <f>IF(F17=0,0,D17-F17)</f>
        <v>0</v>
      </c>
      <c r="H17" s="1669"/>
    </row>
    <row r="18" spans="1:8" x14ac:dyDescent="0.25">
      <c r="A18" s="1957" t="s">
        <v>2147</v>
      </c>
      <c r="B18" s="1954" t="s">
        <v>2103</v>
      </c>
      <c r="C18" s="1955" t="s">
        <v>2109</v>
      </c>
      <c r="D18" s="1867">
        <v>10355</v>
      </c>
      <c r="E18" s="1562">
        <f t="shared" ref="E18:E140" si="2">IF(D18&lt;=25000,D18,IF(D18&gt;25000,25000,0))</f>
        <v>10355</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957" t="s">
        <v>2146</v>
      </c>
      <c r="B19" s="1954" t="s">
        <v>2104</v>
      </c>
      <c r="C19" s="1955" t="s">
        <v>2110</v>
      </c>
      <c r="D19" s="1867">
        <v>2278</v>
      </c>
      <c r="E19" s="1562">
        <f t="shared" si="2"/>
        <v>2278</v>
      </c>
      <c r="F19" s="1815">
        <f t="shared" si="3"/>
        <v>0</v>
      </c>
      <c r="G19" s="1816">
        <f t="shared" si="4"/>
        <v>0</v>
      </c>
    </row>
    <row r="20" spans="1:8" x14ac:dyDescent="0.25">
      <c r="A20" s="1957" t="s">
        <v>2149</v>
      </c>
      <c r="B20" s="1954" t="s">
        <v>2105</v>
      </c>
      <c r="C20" s="1955" t="s">
        <v>2111</v>
      </c>
      <c r="D20" s="1867">
        <v>12061</v>
      </c>
      <c r="E20" s="1562">
        <f t="shared" si="2"/>
        <v>12061</v>
      </c>
      <c r="F20" s="1815">
        <f t="shared" si="3"/>
        <v>0</v>
      </c>
      <c r="G20" s="1816">
        <f t="shared" si="4"/>
        <v>0</v>
      </c>
    </row>
    <row r="21" spans="1:8" x14ac:dyDescent="0.25">
      <c r="A21" s="1957" t="s">
        <v>2146</v>
      </c>
      <c r="B21" s="1954" t="s">
        <v>2106</v>
      </c>
      <c r="C21" s="1955" t="s">
        <v>2112</v>
      </c>
      <c r="D21" s="1867">
        <v>2535</v>
      </c>
      <c r="E21" s="1562">
        <f t="shared" si="2"/>
        <v>2535</v>
      </c>
      <c r="F21" s="1815">
        <f t="shared" si="3"/>
        <v>0</v>
      </c>
      <c r="G21" s="1816">
        <f t="shared" si="4"/>
        <v>0</v>
      </c>
    </row>
    <row r="22" spans="1:8" x14ac:dyDescent="0.25">
      <c r="A22" s="1957" t="s">
        <v>2150</v>
      </c>
      <c r="B22" s="1954" t="s">
        <v>2107</v>
      </c>
      <c r="C22" s="1955" t="s">
        <v>2113</v>
      </c>
      <c r="D22" s="1867">
        <v>4262</v>
      </c>
      <c r="E22" s="1562">
        <f t="shared" si="2"/>
        <v>4262</v>
      </c>
      <c r="F22" s="1815">
        <f t="shared" si="3"/>
        <v>0</v>
      </c>
      <c r="G22" s="1816">
        <f t="shared" si="4"/>
        <v>0</v>
      </c>
    </row>
    <row r="23" spans="1:8" x14ac:dyDescent="0.25">
      <c r="A23" s="1957" t="s">
        <v>2150</v>
      </c>
      <c r="B23" s="1954" t="s">
        <v>2114</v>
      </c>
      <c r="C23" s="1955" t="s">
        <v>2118</v>
      </c>
      <c r="D23" s="1867">
        <v>18210</v>
      </c>
      <c r="E23" s="1562">
        <f t="shared" si="2"/>
        <v>18210</v>
      </c>
      <c r="F23" s="1815">
        <f t="shared" si="3"/>
        <v>0</v>
      </c>
      <c r="G23" s="1816">
        <f t="shared" si="4"/>
        <v>0</v>
      </c>
    </row>
    <row r="24" spans="1:8" x14ac:dyDescent="0.25">
      <c r="A24" s="1957" t="s">
        <v>2151</v>
      </c>
      <c r="B24" s="1954" t="s">
        <v>2115</v>
      </c>
      <c r="C24" s="1955" t="s">
        <v>2119</v>
      </c>
      <c r="D24" s="1867">
        <v>827</v>
      </c>
      <c r="E24" s="1562">
        <f t="shared" si="2"/>
        <v>827</v>
      </c>
      <c r="F24" s="1815">
        <f t="shared" si="3"/>
        <v>0</v>
      </c>
      <c r="G24" s="1816">
        <f t="shared" si="4"/>
        <v>0</v>
      </c>
    </row>
    <row r="25" spans="1:8" x14ac:dyDescent="0.25">
      <c r="A25" s="1957" t="s">
        <v>2146</v>
      </c>
      <c r="B25" s="1954" t="s">
        <v>2106</v>
      </c>
      <c r="C25" s="1955" t="s">
        <v>2120</v>
      </c>
      <c r="D25" s="1867">
        <v>3639</v>
      </c>
      <c r="E25" s="1562">
        <f t="shared" si="2"/>
        <v>3639</v>
      </c>
      <c r="F25" s="1815">
        <f t="shared" si="3"/>
        <v>0</v>
      </c>
      <c r="G25" s="1816">
        <f t="shared" si="4"/>
        <v>0</v>
      </c>
    </row>
    <row r="26" spans="1:8" x14ac:dyDescent="0.25">
      <c r="A26" s="1957" t="s">
        <v>2150</v>
      </c>
      <c r="B26" s="1954" t="s">
        <v>2159</v>
      </c>
      <c r="C26" s="1955" t="s">
        <v>2121</v>
      </c>
      <c r="D26" s="1867">
        <v>131848</v>
      </c>
      <c r="E26" s="1562">
        <f t="shared" si="2"/>
        <v>25000</v>
      </c>
      <c r="F26" s="1815">
        <f t="shared" si="3"/>
        <v>25000</v>
      </c>
      <c r="G26" s="1816">
        <f t="shared" si="4"/>
        <v>106848</v>
      </c>
    </row>
    <row r="27" spans="1:8" x14ac:dyDescent="0.25">
      <c r="A27" s="1957" t="s">
        <v>2146</v>
      </c>
      <c r="B27" s="1954" t="s">
        <v>2106</v>
      </c>
      <c r="C27" s="1955" t="s">
        <v>2122</v>
      </c>
      <c r="D27" s="1867">
        <v>950</v>
      </c>
      <c r="E27" s="1562">
        <f t="shared" si="2"/>
        <v>950</v>
      </c>
      <c r="F27" s="1815">
        <f t="shared" si="3"/>
        <v>0</v>
      </c>
      <c r="G27" s="1816">
        <f t="shared" si="4"/>
        <v>0</v>
      </c>
    </row>
    <row r="28" spans="1:8" x14ac:dyDescent="0.25">
      <c r="A28" s="1957" t="s">
        <v>2146</v>
      </c>
      <c r="B28" s="1954" t="s">
        <v>2106</v>
      </c>
      <c r="C28" s="1955" t="s">
        <v>2123</v>
      </c>
      <c r="D28" s="1867">
        <v>6311</v>
      </c>
      <c r="E28" s="1562">
        <f t="shared" si="2"/>
        <v>6311</v>
      </c>
      <c r="F28" s="1815">
        <f t="shared" si="3"/>
        <v>0</v>
      </c>
      <c r="G28" s="1816">
        <f t="shared" si="4"/>
        <v>0</v>
      </c>
    </row>
    <row r="29" spans="1:8" x14ac:dyDescent="0.25">
      <c r="A29" s="1957" t="s">
        <v>2148</v>
      </c>
      <c r="B29" s="1954" t="s">
        <v>2106</v>
      </c>
      <c r="C29" s="1955" t="s">
        <v>2124</v>
      </c>
      <c r="D29" s="1867">
        <v>8801</v>
      </c>
      <c r="E29" s="1562">
        <f t="shared" si="2"/>
        <v>8801</v>
      </c>
      <c r="F29" s="1815">
        <f t="shared" si="3"/>
        <v>0</v>
      </c>
      <c r="G29" s="1816">
        <f t="shared" si="4"/>
        <v>0</v>
      </c>
    </row>
    <row r="30" spans="1:8" x14ac:dyDescent="0.25">
      <c r="A30" s="1957" t="s">
        <v>2150</v>
      </c>
      <c r="B30" s="1954" t="s">
        <v>2116</v>
      </c>
      <c r="C30" s="1955" t="s">
        <v>2125</v>
      </c>
      <c r="D30" s="1867">
        <v>3138</v>
      </c>
      <c r="E30" s="1562">
        <f t="shared" si="2"/>
        <v>3138</v>
      </c>
      <c r="F30" s="1815">
        <f t="shared" si="3"/>
        <v>0</v>
      </c>
      <c r="G30" s="1816">
        <f t="shared" si="4"/>
        <v>0</v>
      </c>
    </row>
    <row r="31" spans="1:8" x14ac:dyDescent="0.25">
      <c r="A31" s="1957" t="s">
        <v>2150</v>
      </c>
      <c r="B31" s="1954" t="s">
        <v>2117</v>
      </c>
      <c r="C31" s="1955" t="s">
        <v>2126</v>
      </c>
      <c r="D31" s="1867">
        <v>10750</v>
      </c>
      <c r="E31" s="1562">
        <f t="shared" si="2"/>
        <v>10750</v>
      </c>
      <c r="F31" s="1815">
        <f t="shared" si="3"/>
        <v>0</v>
      </c>
      <c r="G31" s="1816">
        <f t="shared" si="4"/>
        <v>0</v>
      </c>
    </row>
    <row r="32" spans="1:8" x14ac:dyDescent="0.25">
      <c r="A32" s="1957" t="s">
        <v>2152</v>
      </c>
      <c r="B32" s="1954" t="s">
        <v>2127</v>
      </c>
      <c r="C32" s="1955" t="s">
        <v>2128</v>
      </c>
      <c r="D32" s="1867">
        <v>655286.38</v>
      </c>
      <c r="E32" s="1562">
        <f t="shared" si="2"/>
        <v>25000</v>
      </c>
      <c r="F32" s="1815">
        <f t="shared" si="3"/>
        <v>0</v>
      </c>
      <c r="G32" s="1816">
        <f t="shared" si="4"/>
        <v>0</v>
      </c>
    </row>
    <row r="33" spans="1:7" x14ac:dyDescent="0.25">
      <c r="A33" s="1957" t="s">
        <v>2153</v>
      </c>
      <c r="B33" s="1954" t="s">
        <v>2160</v>
      </c>
      <c r="C33" s="1955" t="s">
        <v>2134</v>
      </c>
      <c r="D33" s="1867">
        <v>97049</v>
      </c>
      <c r="E33" s="1562">
        <f t="shared" si="2"/>
        <v>25000</v>
      </c>
      <c r="F33" s="1815">
        <f t="shared" si="3"/>
        <v>0</v>
      </c>
      <c r="G33" s="1816">
        <f t="shared" si="4"/>
        <v>0</v>
      </c>
    </row>
    <row r="34" spans="1:7" x14ac:dyDescent="0.25">
      <c r="A34" s="1957" t="s">
        <v>2154</v>
      </c>
      <c r="B34" s="1954" t="s">
        <v>2129</v>
      </c>
      <c r="C34" s="1955" t="s">
        <v>2135</v>
      </c>
      <c r="D34" s="1867">
        <v>4497.95</v>
      </c>
      <c r="E34" s="1562">
        <f t="shared" si="2"/>
        <v>4497.95</v>
      </c>
      <c r="F34" s="1815">
        <f t="shared" si="3"/>
        <v>0</v>
      </c>
      <c r="G34" s="1816">
        <f t="shared" si="4"/>
        <v>0</v>
      </c>
    </row>
    <row r="35" spans="1:7" x14ac:dyDescent="0.25">
      <c r="A35" s="1957" t="s">
        <v>2153</v>
      </c>
      <c r="B35" s="1954" t="s">
        <v>2160</v>
      </c>
      <c r="C35" s="1955" t="s">
        <v>2136</v>
      </c>
      <c r="D35" s="1867">
        <v>49081</v>
      </c>
      <c r="E35" s="1562">
        <f t="shared" si="2"/>
        <v>25000</v>
      </c>
      <c r="F35" s="1815">
        <f t="shared" si="3"/>
        <v>0</v>
      </c>
      <c r="G35" s="1816">
        <f t="shared" si="4"/>
        <v>0</v>
      </c>
    </row>
    <row r="36" spans="1:7" x14ac:dyDescent="0.25">
      <c r="A36" s="1957" t="s">
        <v>2149</v>
      </c>
      <c r="B36" s="1954" t="s">
        <v>2161</v>
      </c>
      <c r="C36" s="1955" t="s">
        <v>2137</v>
      </c>
      <c r="D36" s="1867">
        <v>55845</v>
      </c>
      <c r="E36" s="1562">
        <f t="shared" si="2"/>
        <v>25000</v>
      </c>
      <c r="F36" s="1815">
        <f t="shared" si="3"/>
        <v>25000</v>
      </c>
      <c r="G36" s="1816">
        <f t="shared" si="4"/>
        <v>30845</v>
      </c>
    </row>
    <row r="37" spans="1:7" x14ac:dyDescent="0.25">
      <c r="A37" s="1957" t="s">
        <v>2146</v>
      </c>
      <c r="B37" s="1954" t="s">
        <v>2106</v>
      </c>
      <c r="C37" s="1955" t="s">
        <v>2138</v>
      </c>
      <c r="D37" s="1867">
        <v>1521</v>
      </c>
      <c r="E37" s="1562">
        <f t="shared" si="2"/>
        <v>1521</v>
      </c>
      <c r="F37" s="1815">
        <f t="shared" si="3"/>
        <v>0</v>
      </c>
      <c r="G37" s="1816">
        <f t="shared" si="4"/>
        <v>0</v>
      </c>
    </row>
    <row r="38" spans="1:7" x14ac:dyDescent="0.25">
      <c r="A38" s="1957" t="s">
        <v>2151</v>
      </c>
      <c r="B38" s="1956" t="s">
        <v>2130</v>
      </c>
      <c r="C38" s="1955" t="s">
        <v>2139</v>
      </c>
      <c r="D38" s="1867">
        <v>771</v>
      </c>
      <c r="E38" s="1562">
        <f t="shared" si="2"/>
        <v>771</v>
      </c>
      <c r="F38" s="1815">
        <f t="shared" si="3"/>
        <v>0</v>
      </c>
      <c r="G38" s="1816">
        <f t="shared" si="4"/>
        <v>0</v>
      </c>
    </row>
    <row r="39" spans="1:7" x14ac:dyDescent="0.25">
      <c r="A39" s="1957" t="s">
        <v>2151</v>
      </c>
      <c r="B39" s="1956" t="s">
        <v>2131</v>
      </c>
      <c r="C39" s="1955" t="s">
        <v>2140</v>
      </c>
      <c r="D39" s="1867">
        <v>510</v>
      </c>
      <c r="E39" s="1562">
        <f t="shared" si="2"/>
        <v>510</v>
      </c>
      <c r="F39" s="1815">
        <f t="shared" si="3"/>
        <v>0</v>
      </c>
      <c r="G39" s="1816">
        <f t="shared" si="4"/>
        <v>0</v>
      </c>
    </row>
    <row r="40" spans="1:7" x14ac:dyDescent="0.25">
      <c r="A40" s="1957" t="s">
        <v>2155</v>
      </c>
      <c r="B40" s="1956" t="s">
        <v>2132</v>
      </c>
      <c r="C40" s="1955" t="s">
        <v>2141</v>
      </c>
      <c r="D40" s="1867">
        <v>5767</v>
      </c>
      <c r="E40" s="1562">
        <f t="shared" si="2"/>
        <v>5767</v>
      </c>
      <c r="F40" s="1815">
        <f t="shared" si="3"/>
        <v>0</v>
      </c>
      <c r="G40" s="1816">
        <f t="shared" si="4"/>
        <v>0</v>
      </c>
    </row>
    <row r="41" spans="1:7" x14ac:dyDescent="0.25">
      <c r="A41" s="1957" t="s">
        <v>2156</v>
      </c>
      <c r="B41" s="1956" t="s">
        <v>2162</v>
      </c>
      <c r="C41" s="1955" t="s">
        <v>2142</v>
      </c>
      <c r="D41" s="1867">
        <v>26546</v>
      </c>
      <c r="E41" s="1562">
        <f t="shared" si="2"/>
        <v>25000</v>
      </c>
      <c r="F41" s="1815">
        <f t="shared" si="3"/>
        <v>25000</v>
      </c>
      <c r="G41" s="1816">
        <f t="shared" si="4"/>
        <v>1546</v>
      </c>
    </row>
    <row r="42" spans="1:7" x14ac:dyDescent="0.25">
      <c r="A42" s="1957" t="s">
        <v>2156</v>
      </c>
      <c r="B42" s="1956" t="s">
        <v>2162</v>
      </c>
      <c r="C42" s="1955" t="s">
        <v>2143</v>
      </c>
      <c r="D42" s="1867">
        <v>41247</v>
      </c>
      <c r="E42" s="1562">
        <f t="shared" si="2"/>
        <v>25000</v>
      </c>
      <c r="F42" s="1815">
        <f t="shared" si="3"/>
        <v>25000</v>
      </c>
      <c r="G42" s="1816">
        <f t="shared" si="4"/>
        <v>16247</v>
      </c>
    </row>
    <row r="43" spans="1:7" x14ac:dyDescent="0.25">
      <c r="A43" s="1957" t="s">
        <v>2156</v>
      </c>
      <c r="B43" s="1956" t="s">
        <v>2133</v>
      </c>
      <c r="C43" s="1955" t="s">
        <v>2144</v>
      </c>
      <c r="D43" s="1867">
        <v>7144</v>
      </c>
      <c r="E43" s="1562">
        <f t="shared" si="2"/>
        <v>7144</v>
      </c>
      <c r="F43" s="1815">
        <f t="shared" si="3"/>
        <v>0</v>
      </c>
      <c r="G43" s="1816">
        <f t="shared" si="4"/>
        <v>0</v>
      </c>
    </row>
    <row r="44" spans="1:7" x14ac:dyDescent="0.25">
      <c r="A44" s="1957" t="s">
        <v>2146</v>
      </c>
      <c r="B44" s="1956" t="s">
        <v>2106</v>
      </c>
      <c r="C44" s="1955" t="s">
        <v>2145</v>
      </c>
      <c r="D44" s="1867">
        <v>2452</v>
      </c>
      <c r="E44" s="1562">
        <f t="shared" si="2"/>
        <v>2452</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1170521.95</v>
      </c>
      <c r="E141" s="1563">
        <f t="shared" si="1"/>
        <v>25000</v>
      </c>
      <c r="F141" s="1817">
        <f>SUM(F17:F140)</f>
        <v>100000</v>
      </c>
      <c r="G141" s="1818">
        <f>SUM(G17:G140)</f>
        <v>155486</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23" colorId="8" zoomScale="110" zoomScaleNormal="110" workbookViewId="0">
      <selection activeCell="E12" sqref="E1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9" t="s">
        <v>1778</v>
      </c>
      <c r="B5" s="2300"/>
      <c r="C5" s="2300"/>
      <c r="D5" s="2300"/>
      <c r="E5" s="2300"/>
      <c r="F5" s="2300"/>
      <c r="G5" s="2301"/>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2076</v>
      </c>
      <c r="B10" s="972"/>
      <c r="C10" s="977"/>
      <c r="D10" s="973"/>
      <c r="E10" s="974"/>
      <c r="F10" s="975"/>
      <c r="G10" s="976"/>
      <c r="H10" s="162"/>
      <c r="I10" s="162"/>
    </row>
    <row r="11" spans="1:9" s="669" customFormat="1" ht="22.5" customHeight="1" x14ac:dyDescent="0.2">
      <c r="A11" s="2304" t="s">
        <v>1945</v>
      </c>
      <c r="B11" s="2305"/>
      <c r="C11" s="2305"/>
      <c r="D11" s="2306"/>
      <c r="E11" s="978">
        <v>12961</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4659711</v>
      </c>
      <c r="F19" s="1822"/>
      <c r="G19" s="1824">
        <f>'Expenditures 15-22'!K33-SUM('Expenditures 15-22'!G33,'Expenditures 15-22'!I33)+'Expenditures 15-22'!D229</f>
        <v>4659711</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343105</v>
      </c>
      <c r="F21" s="1825"/>
      <c r="G21" s="1828">
        <f>'Expenditures 15-22'!K42-SUM('Expenditures 15-22'!G42,'Expenditures 15-22'!I42)+'Expenditures 15-22'!K120-SUM('Expenditures 15-22'!G120,'Expenditures 15-22'!I120)+'Expenditures 15-22'!K180-SUM('Expenditures 15-22'!G180,'Expenditures 15-22'!I180)+'Expenditures 15-22'!D238</f>
        <v>343105</v>
      </c>
      <c r="H21" s="988"/>
      <c r="I21" s="162"/>
    </row>
    <row r="22" spans="1:9" s="669" customFormat="1" ht="12" customHeight="1" x14ac:dyDescent="0.2">
      <c r="A22" s="995" t="s">
        <v>585</v>
      </c>
      <c r="B22" s="996"/>
      <c r="C22" s="994">
        <v>2200</v>
      </c>
      <c r="D22" s="1825"/>
      <c r="E22" s="1827">
        <f>'Expenditures 15-22'!K47-SUM('Expenditures 15-22'!G47,'Expenditures 15-22'!I47)+'Expenditures 15-22'!D243</f>
        <v>85422</v>
      </c>
      <c r="F22" s="1825"/>
      <c r="G22" s="1828">
        <f>'Expenditures 15-22'!K47-SUM('Expenditures 15-22'!G47,'Expenditures 15-22'!I47)+'Expenditures 15-22'!D243</f>
        <v>85422</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412123</v>
      </c>
      <c r="F23" s="1825"/>
      <c r="G23" s="1827">
        <f>'Expenditures 15-22'!K53-SUM('Expenditures 15-22'!G53,'Expenditures 15-22'!I53)+'Expenditures 15-22'!D257+'Expenditures 15-22'!K330-SUM('Expenditures 15-22'!G330,'Expenditures 15-22'!I330)</f>
        <v>412123</v>
      </c>
      <c r="H23" s="988"/>
      <c r="I23" s="162"/>
    </row>
    <row r="24" spans="1:9" s="669" customFormat="1" ht="12" customHeight="1" x14ac:dyDescent="0.2">
      <c r="A24" s="995" t="s">
        <v>587</v>
      </c>
      <c r="B24" s="996"/>
      <c r="C24" s="994">
        <v>2400</v>
      </c>
      <c r="D24" s="1825"/>
      <c r="E24" s="1827">
        <f>'Expenditures 15-22'!K57-SUM('Expenditures 15-22'!G57,'Expenditures 15-22'!I57)+'Expenditures 15-22'!D261</f>
        <v>323683</v>
      </c>
      <c r="F24" s="1825"/>
      <c r="G24" s="1828">
        <f>'Expenditures 15-22'!K57-SUM('Expenditures 15-22'!G57,'Expenditures 15-22'!I57)+'Expenditures 15-22'!D261</f>
        <v>323683</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107959</v>
      </c>
      <c r="E27" s="1827">
        <f>E8</f>
        <v>0</v>
      </c>
      <c r="F27" s="1827">
        <f>'Expenditures 15-22'!K60-SUM('Expenditures 15-22'!G60,'Expenditures 15-22'!I60)+'Expenditures 15-22'!D264-E8</f>
        <v>107959</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694194</v>
      </c>
      <c r="F28" s="1829">
        <f>'Expenditures 15-22'!K61-SUM('Expenditures 15-22'!G61,'Expenditures 15-22'!I61)+'Expenditures 15-22'!K124-SUM('Expenditures 15-22'!G124,'Expenditures 15-22'!I124)+'Expenditures 15-22'!D266-E9</f>
        <v>694194</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130015</v>
      </c>
      <c r="F29" s="1825"/>
      <c r="G29" s="1828">
        <f>'Expenditures 15-22'!K62-SUM('Expenditures 15-22'!G62,'Expenditures 15-22'!I62)+'Expenditures 15-22'!K125-SUM('Expenditures 15-22'!G125,'Expenditures 15-22'!I125)+'Expenditures 15-22'!K182-SUM('Expenditures 15-22'!G182,'Expenditures 15-22'!I182)+'Expenditures 15-22'!D267</f>
        <v>130015</v>
      </c>
      <c r="H29" s="986"/>
    </row>
    <row r="30" spans="1:9" ht="12" customHeight="1" x14ac:dyDescent="0.2">
      <c r="A30" s="995" t="s">
        <v>102</v>
      </c>
      <c r="B30" s="998"/>
      <c r="C30" s="994">
        <v>2560</v>
      </c>
      <c r="D30" s="1825"/>
      <c r="E30" s="1827">
        <f>'Expenditures 15-22'!K63-SUM('Expenditures 15-22'!G63,'Expenditures 15-22'!I63)+'Expenditures 15-22'!D268-E10</f>
        <v>184849</v>
      </c>
      <c r="F30" s="1825"/>
      <c r="G30" s="1827">
        <f>'Expenditures 15-22'!K63-SUM('Expenditures 15-22'!G63,'Expenditures 15-22'!I63)+'Expenditures 15-22'!D268-E10</f>
        <v>184849</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18210</v>
      </c>
      <c r="F34" s="1825"/>
      <c r="G34" s="1827">
        <f>'Expenditures 15-22'!K68-SUM('Expenditures 15-22'!G68,'Expenditures 15-22'!I68)+'Expenditures 15-22'!D273</f>
        <v>18210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27870</v>
      </c>
      <c r="E37" s="1827">
        <f>E14</f>
        <v>0</v>
      </c>
      <c r="F37" s="1827">
        <f>'Expenditures 15-22'!K71-SUM('Expenditures 15-22'!G71,'Expenditures 15-22'!I71)+'Expenditures 15-22'!D276-E14</f>
        <v>27870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0</v>
      </c>
      <c r="F39" s="1825"/>
      <c r="G39" s="182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1" t="s">
        <v>1930</v>
      </c>
      <c r="B40" s="992"/>
      <c r="C40" s="994"/>
      <c r="D40" s="1825"/>
      <c r="E40" s="1829">
        <f>-'Contracts Paid in CY 29'!G141</f>
        <v>-155486</v>
      </c>
      <c r="F40" s="1825"/>
      <c r="G40" s="1829">
        <f>-'Contracts Paid in CY 29'!G141</f>
        <v>-155486</v>
      </c>
    </row>
    <row r="41" spans="1:7" ht="12" customHeight="1" x14ac:dyDescent="0.2">
      <c r="A41" s="999" t="s">
        <v>158</v>
      </c>
      <c r="B41" s="1000"/>
      <c r="C41" s="1001"/>
      <c r="D41" s="1829">
        <f>SUM(D19:D39)</f>
        <v>135829</v>
      </c>
      <c r="E41" s="1829">
        <f>SUM(E19:E40)</f>
        <v>6695826</v>
      </c>
      <c r="F41" s="1829">
        <f>SUM(F19:F39)</f>
        <v>830023</v>
      </c>
      <c r="G41" s="1829">
        <f>SUM(G19:G40)</f>
        <v>6001632</v>
      </c>
    </row>
    <row r="42" spans="1:7" x14ac:dyDescent="0.2">
      <c r="A42" s="988"/>
      <c r="B42" s="162"/>
      <c r="C42" s="1002"/>
      <c r="D42" s="2302" t="s">
        <v>543</v>
      </c>
      <c r="E42" s="2303"/>
      <c r="F42" s="1003" t="s">
        <v>544</v>
      </c>
      <c r="G42" s="1004"/>
    </row>
    <row r="43" spans="1:7" ht="12" customHeight="1" x14ac:dyDescent="0.2">
      <c r="A43" s="988"/>
      <c r="B43" s="162"/>
      <c r="C43" s="1002"/>
      <c r="D43" s="1830" t="s">
        <v>493</v>
      </c>
      <c r="E43" s="1831">
        <f>D41</f>
        <v>135829</v>
      </c>
      <c r="F43" s="1830" t="s">
        <v>495</v>
      </c>
      <c r="G43" s="1831">
        <f>F41</f>
        <v>830023</v>
      </c>
    </row>
    <row r="44" spans="1:7" ht="12" customHeight="1" x14ac:dyDescent="0.2">
      <c r="A44" s="988"/>
      <c r="B44" s="162"/>
      <c r="C44" s="1002"/>
      <c r="D44" s="1830" t="s">
        <v>494</v>
      </c>
      <c r="E44" s="1831">
        <f>E41</f>
        <v>6695826</v>
      </c>
      <c r="F44" s="1830" t="s">
        <v>494</v>
      </c>
      <c r="G44" s="1831">
        <f>G41</f>
        <v>6001632</v>
      </c>
    </row>
    <row r="45" spans="1:7" ht="12" customHeight="1" x14ac:dyDescent="0.2">
      <c r="A45" s="988"/>
      <c r="B45" s="162"/>
      <c r="C45" s="162"/>
      <c r="D45" s="1832" t="s">
        <v>1063</v>
      </c>
      <c r="E45" s="1833">
        <f>(E43/E44)</f>
        <v>2.0285622714807702E-2</v>
      </c>
      <c r="F45" s="1832" t="s">
        <v>1063</v>
      </c>
      <c r="G45" s="1833">
        <f>(G43/G44)</f>
        <v>0.13829954918928719</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47" sqref="A47"/>
      <selection pane="bottomLeft" activeCell="A5" sqref="A5:F5"/>
    </sheetView>
  </sheetViews>
  <sheetFormatPr defaultColWidth="9.140625" defaultRowHeight="12.75" x14ac:dyDescent="0.2"/>
  <cols>
    <col min="1" max="1" width="54.5703125" style="1899" customWidth="1"/>
    <col min="2" max="2" width="4.140625" style="1899" customWidth="1"/>
    <col min="3" max="4" width="9.85546875" style="1870" customWidth="1"/>
    <col min="5" max="5" width="12.5703125" style="1900" customWidth="1"/>
    <col min="6" max="6" width="67.5703125" style="1870" customWidth="1"/>
    <col min="7" max="7" width="9.140625" style="1870" customWidth="1"/>
    <col min="8" max="8" width="5.5703125" style="1901" bestFit="1" customWidth="1"/>
    <col min="9" max="10" width="2" style="1901" bestFit="1" customWidth="1"/>
    <col min="11" max="11" width="9" style="1901" customWidth="1"/>
    <col min="12" max="16384" width="9.140625" style="1870"/>
  </cols>
  <sheetData>
    <row r="1" spans="1:10" x14ac:dyDescent="0.2">
      <c r="A1" s="2310" t="s">
        <v>1446</v>
      </c>
      <c r="B1" s="2310"/>
      <c r="C1" s="2310"/>
      <c r="D1" s="2310"/>
      <c r="E1" s="2310"/>
      <c r="F1" s="2310"/>
    </row>
    <row r="2" spans="1:10" x14ac:dyDescent="0.2">
      <c r="A2" s="1910" t="s">
        <v>2048</v>
      </c>
      <c r="B2" s="1871"/>
      <c r="C2" s="1910"/>
      <c r="D2" s="1871"/>
      <c r="E2" s="1871"/>
      <c r="F2" s="1872"/>
    </row>
    <row r="3" spans="1:10" x14ac:dyDescent="0.2">
      <c r="A3" s="1910" t="s">
        <v>1700</v>
      </c>
      <c r="B3" s="1871"/>
      <c r="C3" s="1910"/>
      <c r="D3" s="1871"/>
      <c r="E3" s="1871"/>
      <c r="F3" s="1872"/>
    </row>
    <row r="4" spans="1:10" ht="3.75" customHeight="1" x14ac:dyDescent="0.2">
      <c r="A4" s="1871"/>
      <c r="B4" s="1871"/>
      <c r="C4" s="1871"/>
      <c r="D4" s="1871"/>
      <c r="E4" s="1871"/>
      <c r="F4" s="1872"/>
    </row>
    <row r="5" spans="1:10" ht="15" x14ac:dyDescent="0.25">
      <c r="A5" s="2311" t="s">
        <v>1627</v>
      </c>
      <c r="B5" s="2312"/>
      <c r="C5" s="2313"/>
      <c r="D5" s="2313"/>
      <c r="E5" s="2313"/>
      <c r="F5" s="2313"/>
    </row>
    <row r="6" spans="1:10" ht="12" customHeight="1" x14ac:dyDescent="0.25">
      <c r="A6" s="1873"/>
      <c r="B6" s="1874"/>
      <c r="C6" s="2314" t="str">
        <f>COVER!A17</f>
        <v>Union Ridge SD 86</v>
      </c>
      <c r="D6" s="2314"/>
      <c r="E6" s="2314"/>
      <c r="F6" s="1875"/>
    </row>
    <row r="7" spans="1:10" ht="11.25" customHeight="1" thickBot="1" x14ac:dyDescent="0.3">
      <c r="A7" s="1873"/>
      <c r="B7" s="1874"/>
      <c r="C7" s="2315">
        <f>COVER!A13</f>
        <v>6016086002</v>
      </c>
      <c r="D7" s="2315"/>
      <c r="E7" s="2315"/>
      <c r="F7" s="1875"/>
    </row>
    <row r="8" spans="1:10" ht="25.5" customHeight="1" thickBot="1" x14ac:dyDescent="0.25">
      <c r="A8" s="1916" t="s">
        <v>2025</v>
      </c>
      <c r="B8" s="1876"/>
      <c r="C8" s="1912" t="s">
        <v>1780</v>
      </c>
      <c r="D8" s="1911" t="s">
        <v>1781</v>
      </c>
      <c r="E8" s="1913" t="s">
        <v>1447</v>
      </c>
      <c r="F8" s="1911" t="s">
        <v>1782</v>
      </c>
      <c r="H8" s="1877" t="b">
        <v>0</v>
      </c>
    </row>
    <row r="9" spans="1:10" ht="15.75" customHeight="1" x14ac:dyDescent="0.2">
      <c r="A9" s="1878" t="s">
        <v>1623</v>
      </c>
      <c r="B9" s="1879"/>
      <c r="C9" s="1880"/>
      <c r="D9" s="1880"/>
      <c r="E9" s="1881"/>
      <c r="F9" s="1882"/>
    </row>
    <row r="10" spans="1:10" ht="27.75" customHeight="1" x14ac:dyDescent="0.2">
      <c r="A10" s="1883" t="s">
        <v>1779</v>
      </c>
      <c r="B10" s="1884"/>
      <c r="C10" s="1885"/>
      <c r="D10" s="1885"/>
      <c r="E10" s="1914" t="s">
        <v>1448</v>
      </c>
      <c r="F10" s="1915" t="s">
        <v>1449</v>
      </c>
    </row>
    <row r="11" spans="1:10" ht="12" customHeight="1" x14ac:dyDescent="0.2">
      <c r="A11" s="1886" t="s">
        <v>1450</v>
      </c>
      <c r="B11" s="1887"/>
      <c r="C11" s="1888"/>
      <c r="D11" s="1888"/>
      <c r="E11" s="1889"/>
      <c r="F11" s="1890"/>
      <c r="H11" s="1901">
        <f>IF(C11="X",5,0)</f>
        <v>0</v>
      </c>
      <c r="I11" s="1901">
        <f>IF(D11="X",5,0)</f>
        <v>0</v>
      </c>
      <c r="J11" s="1901">
        <f>IF(E11="X",5,0)</f>
        <v>0</v>
      </c>
    </row>
    <row r="12" spans="1:10" ht="12" customHeight="1" x14ac:dyDescent="0.2">
      <c r="A12" s="1886" t="s">
        <v>1451</v>
      </c>
      <c r="B12" s="1887"/>
      <c r="C12" s="1888"/>
      <c r="D12" s="1888"/>
      <c r="E12" s="1891"/>
      <c r="F12" s="1890"/>
      <c r="H12" s="1901">
        <f t="shared" ref="H12:H33" si="0">IF(C12="X",5,0)</f>
        <v>0</v>
      </c>
      <c r="I12" s="1901">
        <f t="shared" ref="I12:I33" si="1">IF(D12="X",5,0)</f>
        <v>0</v>
      </c>
      <c r="J12" s="1901">
        <f t="shared" ref="J12:J33" si="2">IF(E12="X",5,0)</f>
        <v>0</v>
      </c>
    </row>
    <row r="13" spans="1:10" ht="12" customHeight="1" x14ac:dyDescent="0.2">
      <c r="A13" s="1886" t="s">
        <v>1452</v>
      </c>
      <c r="B13" s="1887"/>
      <c r="C13" s="1888"/>
      <c r="D13" s="1888"/>
      <c r="E13" s="1891"/>
      <c r="F13" s="1890"/>
      <c r="H13" s="1901">
        <f t="shared" si="0"/>
        <v>0</v>
      </c>
      <c r="I13" s="1901">
        <f t="shared" si="1"/>
        <v>0</v>
      </c>
      <c r="J13" s="1901">
        <f t="shared" si="2"/>
        <v>0</v>
      </c>
    </row>
    <row r="14" spans="1:10" ht="12" customHeight="1" x14ac:dyDescent="0.2">
      <c r="A14" s="1886" t="s">
        <v>1453</v>
      </c>
      <c r="B14" s="1887"/>
      <c r="C14" s="1888"/>
      <c r="D14" s="1888"/>
      <c r="E14" s="1891"/>
      <c r="F14" s="1890"/>
      <c r="H14" s="1901">
        <f t="shared" si="0"/>
        <v>0</v>
      </c>
      <c r="I14" s="1901">
        <f t="shared" si="1"/>
        <v>0</v>
      </c>
      <c r="J14" s="1901">
        <f t="shared" si="2"/>
        <v>0</v>
      </c>
    </row>
    <row r="15" spans="1:10" ht="12" customHeight="1" x14ac:dyDescent="0.2">
      <c r="A15" s="1886" t="s">
        <v>1454</v>
      </c>
      <c r="B15" s="1887"/>
      <c r="C15" s="1888"/>
      <c r="D15" s="1888"/>
      <c r="E15" s="1891"/>
      <c r="F15" s="1890"/>
      <c r="H15" s="1901">
        <f t="shared" si="0"/>
        <v>0</v>
      </c>
      <c r="I15" s="1901">
        <f t="shared" si="1"/>
        <v>0</v>
      </c>
      <c r="J15" s="1901">
        <f t="shared" si="2"/>
        <v>0</v>
      </c>
    </row>
    <row r="16" spans="1:10" ht="12" customHeight="1" x14ac:dyDescent="0.2">
      <c r="A16" s="1886" t="s">
        <v>1455</v>
      </c>
      <c r="B16" s="1887"/>
      <c r="C16" s="1888"/>
      <c r="D16" s="1888"/>
      <c r="E16" s="1891"/>
      <c r="F16" s="1890"/>
      <c r="H16" s="1901">
        <f t="shared" si="0"/>
        <v>0</v>
      </c>
      <c r="I16" s="1901">
        <f t="shared" si="1"/>
        <v>0</v>
      </c>
      <c r="J16" s="1901">
        <f t="shared" si="2"/>
        <v>0</v>
      </c>
    </row>
    <row r="17" spans="1:12" ht="12" customHeight="1" x14ac:dyDescent="0.2">
      <c r="A17" s="1886" t="s">
        <v>1456</v>
      </c>
      <c r="B17" s="1887"/>
      <c r="C17" s="1888"/>
      <c r="D17" s="1888"/>
      <c r="E17" s="1891"/>
      <c r="F17" s="1890"/>
      <c r="H17" s="1901">
        <f t="shared" si="0"/>
        <v>0</v>
      </c>
      <c r="I17" s="1901">
        <f t="shared" si="1"/>
        <v>0</v>
      </c>
      <c r="J17" s="1901">
        <f t="shared" si="2"/>
        <v>0</v>
      </c>
    </row>
    <row r="18" spans="1:12" ht="12" customHeight="1" x14ac:dyDescent="0.2">
      <c r="A18" s="1886" t="s">
        <v>1457</v>
      </c>
      <c r="B18" s="1887"/>
      <c r="C18" s="1888"/>
      <c r="D18" s="1888"/>
      <c r="E18" s="1891"/>
      <c r="F18" s="1890"/>
      <c r="H18" s="1901">
        <f t="shared" si="0"/>
        <v>0</v>
      </c>
      <c r="I18" s="1901">
        <f t="shared" si="1"/>
        <v>0</v>
      </c>
      <c r="J18" s="1901">
        <f t="shared" si="2"/>
        <v>0</v>
      </c>
    </row>
    <row r="19" spans="1:12" ht="12" customHeight="1" x14ac:dyDescent="0.2">
      <c r="A19" s="1886" t="s">
        <v>1608</v>
      </c>
      <c r="B19" s="1887"/>
      <c r="C19" s="1888" t="s">
        <v>2081</v>
      </c>
      <c r="D19" s="1888" t="s">
        <v>2081</v>
      </c>
      <c r="E19" s="1891"/>
      <c r="F19" s="1890" t="s">
        <v>2098</v>
      </c>
      <c r="H19" s="1901">
        <f t="shared" si="0"/>
        <v>5</v>
      </c>
      <c r="I19" s="1901">
        <f t="shared" si="1"/>
        <v>5</v>
      </c>
      <c r="J19" s="1901">
        <f t="shared" si="2"/>
        <v>0</v>
      </c>
    </row>
    <row r="20" spans="1:12" ht="12" customHeight="1" x14ac:dyDescent="0.2">
      <c r="A20" s="1886" t="s">
        <v>1609</v>
      </c>
      <c r="B20" s="1887"/>
      <c r="C20" s="1888" t="s">
        <v>2081</v>
      </c>
      <c r="D20" s="1888" t="s">
        <v>2081</v>
      </c>
      <c r="E20" s="1891"/>
      <c r="F20" s="1890" t="s">
        <v>2099</v>
      </c>
      <c r="H20" s="1901">
        <f t="shared" si="0"/>
        <v>5</v>
      </c>
      <c r="I20" s="1901">
        <f t="shared" si="1"/>
        <v>5</v>
      </c>
      <c r="J20" s="1901">
        <f t="shared" si="2"/>
        <v>0</v>
      </c>
    </row>
    <row r="21" spans="1:12" ht="12" customHeight="1" x14ac:dyDescent="0.2">
      <c r="A21" s="1886" t="s">
        <v>1610</v>
      </c>
      <c r="B21" s="1887"/>
      <c r="C21" s="1888"/>
      <c r="D21" s="1888"/>
      <c r="E21" s="1891"/>
      <c r="F21" s="1890"/>
      <c r="H21" s="1901">
        <f t="shared" si="0"/>
        <v>0</v>
      </c>
      <c r="I21" s="1901">
        <f t="shared" si="1"/>
        <v>0</v>
      </c>
      <c r="J21" s="1901">
        <f t="shared" si="2"/>
        <v>0</v>
      </c>
    </row>
    <row r="22" spans="1:12" ht="12" customHeight="1" x14ac:dyDescent="0.2">
      <c r="A22" s="1886" t="s">
        <v>1611</v>
      </c>
      <c r="B22" s="1887"/>
      <c r="C22" s="1888"/>
      <c r="D22" s="1888"/>
      <c r="E22" s="1891"/>
      <c r="F22" s="1890"/>
      <c r="H22" s="1901">
        <f t="shared" si="0"/>
        <v>0</v>
      </c>
      <c r="I22" s="1901">
        <f t="shared" si="1"/>
        <v>0</v>
      </c>
      <c r="J22" s="1901">
        <f t="shared" si="2"/>
        <v>0</v>
      </c>
    </row>
    <row r="23" spans="1:12" ht="12" customHeight="1" x14ac:dyDescent="0.2">
      <c r="A23" s="1886" t="s">
        <v>1612</v>
      </c>
      <c r="B23" s="1887"/>
      <c r="C23" s="1888"/>
      <c r="D23" s="1888"/>
      <c r="E23" s="1891"/>
      <c r="F23" s="1890"/>
      <c r="H23" s="1901">
        <f t="shared" si="0"/>
        <v>0</v>
      </c>
      <c r="I23" s="1901">
        <f t="shared" si="1"/>
        <v>0</v>
      </c>
      <c r="J23" s="1901">
        <f t="shared" si="2"/>
        <v>0</v>
      </c>
    </row>
    <row r="24" spans="1:12" ht="12" customHeight="1" x14ac:dyDescent="0.2">
      <c r="A24" s="1886" t="s">
        <v>1613</v>
      </c>
      <c r="B24" s="1887"/>
      <c r="C24" s="1888" t="s">
        <v>2081</v>
      </c>
      <c r="D24" s="1888" t="s">
        <v>2081</v>
      </c>
      <c r="E24" s="1891"/>
      <c r="F24" s="1890" t="s">
        <v>2100</v>
      </c>
      <c r="H24" s="1901">
        <f t="shared" si="0"/>
        <v>5</v>
      </c>
      <c r="I24" s="1901">
        <f t="shared" si="1"/>
        <v>5</v>
      </c>
      <c r="J24" s="1901">
        <f t="shared" si="2"/>
        <v>0</v>
      </c>
    </row>
    <row r="25" spans="1:12" ht="12" customHeight="1" x14ac:dyDescent="0.2">
      <c r="A25" s="1886" t="s">
        <v>1614</v>
      </c>
      <c r="B25" s="1887"/>
      <c r="C25" s="1888" t="s">
        <v>2081</v>
      </c>
      <c r="D25" s="1888" t="s">
        <v>2081</v>
      </c>
      <c r="E25" s="1891"/>
      <c r="F25" s="1890" t="s">
        <v>2100</v>
      </c>
      <c r="H25" s="1901">
        <f t="shared" si="0"/>
        <v>5</v>
      </c>
      <c r="I25" s="1901">
        <f t="shared" si="1"/>
        <v>5</v>
      </c>
      <c r="J25" s="1901">
        <f t="shared" si="2"/>
        <v>0</v>
      </c>
    </row>
    <row r="26" spans="1:12" ht="12" customHeight="1" x14ac:dyDescent="0.2">
      <c r="A26" s="1886" t="s">
        <v>1615</v>
      </c>
      <c r="B26" s="1887"/>
      <c r="C26" s="1888" t="s">
        <v>2081</v>
      </c>
      <c r="D26" s="1888" t="s">
        <v>2081</v>
      </c>
      <c r="E26" s="1891"/>
      <c r="F26" s="1890" t="s">
        <v>2100</v>
      </c>
      <c r="H26" s="1901">
        <f t="shared" si="0"/>
        <v>5</v>
      </c>
      <c r="I26" s="1901">
        <f t="shared" si="1"/>
        <v>5</v>
      </c>
      <c r="J26" s="1901">
        <f t="shared" si="2"/>
        <v>0</v>
      </c>
    </row>
    <row r="27" spans="1:12" ht="18.75" x14ac:dyDescent="0.2">
      <c r="A27" s="1886" t="s">
        <v>1616</v>
      </c>
      <c r="B27" s="1887"/>
      <c r="C27" s="1888"/>
      <c r="D27" s="1888"/>
      <c r="E27" s="1891"/>
      <c r="F27" s="1890"/>
      <c r="H27" s="1901">
        <f t="shared" si="0"/>
        <v>0</v>
      </c>
      <c r="I27" s="1901">
        <f t="shared" si="1"/>
        <v>0</v>
      </c>
      <c r="J27" s="1901">
        <f t="shared" si="2"/>
        <v>0</v>
      </c>
    </row>
    <row r="28" spans="1:12" ht="12" customHeight="1" x14ac:dyDescent="0.2">
      <c r="A28" s="1886" t="s">
        <v>1617</v>
      </c>
      <c r="B28" s="1887"/>
      <c r="C28" s="1888" t="s">
        <v>2081</v>
      </c>
      <c r="D28" s="1888" t="s">
        <v>2081</v>
      </c>
      <c r="E28" s="1891"/>
      <c r="F28" s="1890" t="s">
        <v>2101</v>
      </c>
      <c r="H28" s="1901">
        <f t="shared" si="0"/>
        <v>5</v>
      </c>
      <c r="I28" s="1901">
        <f t="shared" si="1"/>
        <v>5</v>
      </c>
      <c r="J28" s="1901">
        <f t="shared" si="2"/>
        <v>0</v>
      </c>
    </row>
    <row r="29" spans="1:12" ht="12" customHeight="1" x14ac:dyDescent="0.2">
      <c r="A29" s="1886" t="s">
        <v>1618</v>
      </c>
      <c r="B29" s="1887"/>
      <c r="C29" s="1888"/>
      <c r="D29" s="1888"/>
      <c r="E29" s="1891"/>
      <c r="F29" s="1890"/>
      <c r="H29" s="1901">
        <f t="shared" si="0"/>
        <v>0</v>
      </c>
      <c r="I29" s="1901">
        <f t="shared" si="1"/>
        <v>0</v>
      </c>
      <c r="J29" s="1901">
        <f t="shared" si="2"/>
        <v>0</v>
      </c>
    </row>
    <row r="30" spans="1:12" ht="12" customHeight="1" x14ac:dyDescent="0.2">
      <c r="A30" s="1886" t="s">
        <v>1619</v>
      </c>
      <c r="B30" s="1887"/>
      <c r="C30" s="1888" t="s">
        <v>2081</v>
      </c>
      <c r="D30" s="1888" t="s">
        <v>2081</v>
      </c>
      <c r="E30" s="1891"/>
      <c r="F30" s="1890" t="s">
        <v>2100</v>
      </c>
      <c r="H30" s="1901">
        <f t="shared" si="0"/>
        <v>5</v>
      </c>
      <c r="I30" s="1901">
        <f t="shared" si="1"/>
        <v>5</v>
      </c>
      <c r="J30" s="1901">
        <f t="shared" si="2"/>
        <v>0</v>
      </c>
    </row>
    <row r="31" spans="1:12" ht="12" customHeight="1" x14ac:dyDescent="0.2">
      <c r="A31" s="1886" t="s">
        <v>1620</v>
      </c>
      <c r="B31" s="1887"/>
      <c r="C31" s="1888"/>
      <c r="D31" s="1888"/>
      <c r="E31" s="1891"/>
      <c r="F31" s="1890"/>
      <c r="H31" s="1901">
        <f t="shared" si="0"/>
        <v>0</v>
      </c>
      <c r="I31" s="1901">
        <f t="shared" si="1"/>
        <v>0</v>
      </c>
      <c r="J31" s="1901">
        <f t="shared" si="2"/>
        <v>0</v>
      </c>
      <c r="L31" s="1892"/>
    </row>
    <row r="32" spans="1:12" ht="12" customHeight="1" x14ac:dyDescent="0.2">
      <c r="A32" s="1886" t="s">
        <v>1621</v>
      </c>
      <c r="B32" s="1887"/>
      <c r="C32" s="1888"/>
      <c r="D32" s="1888"/>
      <c r="E32" s="1891"/>
      <c r="F32" s="1890"/>
      <c r="H32" s="1901">
        <f t="shared" si="0"/>
        <v>0</v>
      </c>
      <c r="I32" s="1901">
        <f t="shared" si="1"/>
        <v>0</v>
      </c>
      <c r="J32" s="1901">
        <f t="shared" si="2"/>
        <v>0</v>
      </c>
    </row>
    <row r="33" spans="1:11" ht="12" customHeight="1" x14ac:dyDescent="0.2">
      <c r="A33" s="1886" t="s">
        <v>1622</v>
      </c>
      <c r="B33" s="1887"/>
      <c r="C33" s="1888"/>
      <c r="D33" s="1888"/>
      <c r="E33" s="1891"/>
      <c r="F33" s="1890"/>
      <c r="H33" s="1901">
        <f t="shared" si="0"/>
        <v>0</v>
      </c>
      <c r="I33" s="1901">
        <f t="shared" si="1"/>
        <v>0</v>
      </c>
      <c r="J33" s="1901">
        <f t="shared" si="2"/>
        <v>0</v>
      </c>
    </row>
    <row r="34" spans="1:11" ht="12" customHeight="1" x14ac:dyDescent="0.25">
      <c r="A34" s="1893"/>
      <c r="B34" s="1893"/>
      <c r="C34" s="1893"/>
      <c r="D34" s="1893"/>
      <c r="E34" s="1893"/>
      <c r="F34" s="1893"/>
      <c r="H34" s="1901">
        <f>SUM(H11:H32)</f>
        <v>35</v>
      </c>
      <c r="I34" s="1901">
        <f>SUM(I11:I32)</f>
        <v>35</v>
      </c>
      <c r="J34" s="1901">
        <f>SUM(J11:J32)</f>
        <v>0</v>
      </c>
      <c r="K34" s="1901">
        <f>SUM(H34:J34)</f>
        <v>70</v>
      </c>
    </row>
    <row r="35" spans="1:11" ht="12" customHeight="1" x14ac:dyDescent="0.2">
      <c r="A35" s="1894" t="s">
        <v>1459</v>
      </c>
      <c r="B35" s="1895"/>
      <c r="C35" s="2316"/>
      <c r="D35" s="2316"/>
      <c r="E35" s="2316"/>
      <c r="F35" s="2317"/>
    </row>
    <row r="36" spans="1:11" ht="12" customHeight="1" x14ac:dyDescent="0.2">
      <c r="A36" s="2307"/>
      <c r="B36" s="2308"/>
      <c r="C36" s="2308"/>
      <c r="D36" s="2308"/>
      <c r="E36" s="2308"/>
      <c r="F36" s="2309"/>
    </row>
    <row r="37" spans="1:11" ht="12" customHeight="1" x14ac:dyDescent="0.2">
      <c r="A37" s="2307"/>
      <c r="B37" s="2308"/>
      <c r="C37" s="2308"/>
      <c r="D37" s="2308"/>
      <c r="E37" s="2308"/>
      <c r="F37" s="2309"/>
    </row>
    <row r="38" spans="1:11" ht="12" customHeight="1" x14ac:dyDescent="0.2">
      <c r="A38" s="2321"/>
      <c r="B38" s="2322"/>
      <c r="C38" s="2322"/>
      <c r="D38" s="2322"/>
      <c r="E38" s="2322"/>
      <c r="F38" s="2323"/>
    </row>
    <row r="39" spans="1:11" ht="4.5" hidden="1" customHeight="1" x14ac:dyDescent="0.2">
      <c r="A39" s="1896"/>
      <c r="B39" s="1896"/>
      <c r="C39" s="1896"/>
      <c r="D39" s="1896"/>
      <c r="E39" s="1896"/>
      <c r="F39" s="1896"/>
    </row>
    <row r="40" spans="1:11" s="1893" customFormat="1" ht="12" customHeight="1" x14ac:dyDescent="0.25">
      <c r="A40" s="1897" t="s">
        <v>1458</v>
      </c>
      <c r="B40" s="1898"/>
      <c r="C40" s="2324"/>
      <c r="D40" s="2324"/>
      <c r="E40" s="2324"/>
      <c r="F40" s="2325"/>
      <c r="H40" s="1902"/>
      <c r="I40" s="1902"/>
      <c r="J40" s="1902"/>
      <c r="K40" s="1902"/>
    </row>
    <row r="41" spans="1:11" s="1893" customFormat="1" ht="12" customHeight="1" x14ac:dyDescent="0.25">
      <c r="A41" s="2326"/>
      <c r="B41" s="2327"/>
      <c r="C41" s="2327"/>
      <c r="D41" s="2327"/>
      <c r="E41" s="2327"/>
      <c r="F41" s="2328"/>
      <c r="H41" s="1902"/>
      <c r="I41" s="1902"/>
      <c r="J41" s="1902"/>
      <c r="K41" s="1902"/>
    </row>
    <row r="42" spans="1:11" s="1893" customFormat="1" ht="12" customHeight="1" x14ac:dyDescent="0.25">
      <c r="A42" s="2326"/>
      <c r="B42" s="2327"/>
      <c r="C42" s="2327"/>
      <c r="D42" s="2327"/>
      <c r="E42" s="2327"/>
      <c r="F42" s="2328"/>
      <c r="H42" s="1902"/>
      <c r="I42" s="1902"/>
      <c r="J42" s="1902"/>
      <c r="K42" s="1902"/>
    </row>
    <row r="43" spans="1:11" s="1893" customFormat="1" ht="15" x14ac:dyDescent="0.25">
      <c r="A43" s="2318"/>
      <c r="B43" s="2319"/>
      <c r="C43" s="2319"/>
      <c r="D43" s="2319"/>
      <c r="E43" s="2319"/>
      <c r="F43" s="2320"/>
      <c r="H43" s="1902"/>
      <c r="I43" s="1902"/>
      <c r="J43" s="1902"/>
      <c r="K43" s="1902"/>
    </row>
    <row r="44" spans="1:11" s="1893" customFormat="1" ht="12" hidden="1" customHeight="1" x14ac:dyDescent="0.25">
      <c r="A44" s="2318"/>
      <c r="B44" s="2319"/>
      <c r="C44" s="2319"/>
      <c r="D44" s="2319"/>
      <c r="E44" s="2319"/>
      <c r="F44" s="2320"/>
      <c r="H44" s="1902"/>
      <c r="I44" s="1902"/>
      <c r="J44" s="1902"/>
      <c r="K44" s="1902"/>
    </row>
    <row r="45" spans="1:11" s="1893" customFormat="1" ht="12" customHeight="1" x14ac:dyDescent="0.25">
      <c r="H45" s="1902"/>
      <c r="I45" s="1902"/>
      <c r="J45" s="1902"/>
      <c r="K45" s="1902"/>
    </row>
    <row r="46" spans="1:11" s="1893" customFormat="1" ht="9.75" customHeight="1" x14ac:dyDescent="0.25">
      <c r="H46" s="1902"/>
      <c r="I46" s="1902"/>
      <c r="J46" s="1902"/>
      <c r="K46" s="1902"/>
    </row>
    <row r="47" spans="1:11" s="1893" customFormat="1" ht="13.5" customHeight="1" x14ac:dyDescent="0.25">
      <c r="H47" s="1902"/>
      <c r="I47" s="1902"/>
      <c r="J47" s="1902"/>
      <c r="K47" s="1902"/>
    </row>
    <row r="48" spans="1:11" s="1893" customFormat="1" ht="15" x14ac:dyDescent="0.25">
      <c r="H48" s="1902"/>
      <c r="I48" s="1902"/>
      <c r="J48" s="1902"/>
      <c r="K48" s="1902"/>
    </row>
    <row r="49" spans="1:11" s="1893" customFormat="1" ht="15" hidden="1" x14ac:dyDescent="0.25">
      <c r="A49" s="1893" t="b">
        <v>0</v>
      </c>
      <c r="H49" s="1902"/>
      <c r="I49" s="1902"/>
      <c r="J49" s="1902"/>
      <c r="K49" s="1902"/>
    </row>
    <row r="50" spans="1:11" s="1893" customFormat="1" ht="15" x14ac:dyDescent="0.25">
      <c r="H50" s="1902"/>
      <c r="I50" s="1902"/>
      <c r="J50" s="1902"/>
      <c r="K50" s="1902"/>
    </row>
    <row r="51" spans="1:11" s="1893" customFormat="1" ht="15" x14ac:dyDescent="0.25">
      <c r="H51" s="1902"/>
      <c r="I51" s="1902"/>
      <c r="J51" s="1902"/>
      <c r="K51" s="1902"/>
    </row>
    <row r="52" spans="1:11" s="1893" customFormat="1" ht="15" x14ac:dyDescent="0.25">
      <c r="H52" s="1902"/>
      <c r="I52" s="1902"/>
      <c r="J52" s="1902"/>
      <c r="K52" s="1902"/>
    </row>
    <row r="53" spans="1:11" s="1893" customFormat="1" ht="15" x14ac:dyDescent="0.25">
      <c r="H53" s="1902"/>
      <c r="I53" s="1902"/>
      <c r="J53" s="1902"/>
      <c r="K53" s="1902"/>
    </row>
    <row r="54" spans="1:11" s="1893" customFormat="1" ht="15" x14ac:dyDescent="0.25">
      <c r="H54" s="1902"/>
      <c r="I54" s="1902"/>
      <c r="J54" s="1902"/>
      <c r="K54" s="1902"/>
    </row>
    <row r="55" spans="1:11" s="1893" customFormat="1" ht="15" x14ac:dyDescent="0.25">
      <c r="H55" s="1902"/>
      <c r="I55" s="1902"/>
      <c r="J55" s="1902"/>
      <c r="K55" s="1902"/>
    </row>
    <row r="56" spans="1:11" s="1893" customFormat="1" ht="15" x14ac:dyDescent="0.25">
      <c r="H56" s="1902"/>
      <c r="I56" s="1902"/>
      <c r="J56" s="1902"/>
      <c r="K56" s="1902"/>
    </row>
    <row r="57" spans="1:11" s="1893" customFormat="1" ht="15" x14ac:dyDescent="0.25">
      <c r="H57" s="1902"/>
      <c r="I57" s="1902"/>
      <c r="J57" s="1902"/>
      <c r="K57" s="1902"/>
    </row>
    <row r="58" spans="1:11" s="1893" customFormat="1" ht="15" x14ac:dyDescent="0.25">
      <c r="H58" s="1902"/>
      <c r="I58" s="1902"/>
      <c r="J58" s="1902"/>
      <c r="K58" s="1902"/>
    </row>
    <row r="59" spans="1:11" s="1893" customFormat="1" ht="15" x14ac:dyDescent="0.25">
      <c r="H59" s="1902"/>
      <c r="I59" s="1902"/>
      <c r="J59" s="1902"/>
      <c r="K59" s="1902"/>
    </row>
    <row r="60" spans="1:11" s="1893" customFormat="1" ht="15" x14ac:dyDescent="0.25">
      <c r="H60" s="1902"/>
      <c r="I60" s="1902"/>
      <c r="J60" s="1902"/>
      <c r="K60" s="1902"/>
    </row>
    <row r="61" spans="1:11" s="1893" customFormat="1" ht="15" x14ac:dyDescent="0.25">
      <c r="H61" s="1902"/>
      <c r="I61" s="1902"/>
      <c r="J61" s="1902"/>
      <c r="K61" s="1902"/>
    </row>
    <row r="62" spans="1:11" s="1893" customFormat="1" ht="15" x14ac:dyDescent="0.25">
      <c r="H62" s="1902"/>
      <c r="I62" s="1902"/>
      <c r="J62" s="1902"/>
      <c r="K62" s="1902"/>
    </row>
    <row r="63" spans="1:11" s="1893" customFormat="1" ht="15" x14ac:dyDescent="0.25">
      <c r="H63" s="1902"/>
      <c r="I63" s="1902"/>
      <c r="J63" s="1902"/>
      <c r="K63" s="1902"/>
    </row>
    <row r="64" spans="1:11" s="1893" customFormat="1" ht="15" x14ac:dyDescent="0.25">
      <c r="H64" s="1902"/>
      <c r="I64" s="1902"/>
      <c r="J64" s="1902"/>
      <c r="K64" s="1902"/>
    </row>
    <row r="65" spans="8:11" s="1893" customFormat="1" ht="15" x14ac:dyDescent="0.25">
      <c r="H65" s="1902"/>
      <c r="I65" s="1902"/>
      <c r="J65" s="1902"/>
      <c r="K65" s="1902"/>
    </row>
    <row r="66" spans="8:11" s="1893" customFormat="1" ht="15" x14ac:dyDescent="0.25">
      <c r="H66" s="1902"/>
      <c r="I66" s="1902"/>
      <c r="J66" s="1902"/>
      <c r="K66" s="1902"/>
    </row>
    <row r="67" spans="8:11" s="1893" customFormat="1" ht="15" x14ac:dyDescent="0.25">
      <c r="H67" s="1902"/>
      <c r="I67" s="1902"/>
      <c r="J67" s="1902"/>
      <c r="K67" s="1902"/>
    </row>
    <row r="68" spans="8:11" s="1893" customFormat="1" ht="15" x14ac:dyDescent="0.25">
      <c r="H68" s="1902"/>
      <c r="I68" s="1902"/>
      <c r="J68" s="1902"/>
      <c r="K68" s="1902"/>
    </row>
    <row r="69" spans="8:11" s="1893" customFormat="1" ht="15" x14ac:dyDescent="0.25">
      <c r="H69" s="1902"/>
      <c r="I69" s="1902"/>
      <c r="J69" s="1902"/>
      <c r="K69" s="1902"/>
    </row>
    <row r="70" spans="8:11" s="1893" customFormat="1" ht="15" x14ac:dyDescent="0.25">
      <c r="H70" s="1902"/>
      <c r="I70" s="1902"/>
      <c r="J70" s="1902"/>
      <c r="K70" s="1902"/>
    </row>
    <row r="71" spans="8:11" s="1893" customFormat="1" ht="15" x14ac:dyDescent="0.25">
      <c r="H71" s="1902"/>
      <c r="I71" s="1902"/>
      <c r="J71" s="1902"/>
      <c r="K71" s="1902"/>
    </row>
    <row r="72" spans="8:11" s="1893" customFormat="1" ht="15" x14ac:dyDescent="0.25">
      <c r="H72" s="1902"/>
      <c r="I72" s="1902"/>
      <c r="J72" s="1902"/>
      <c r="K72" s="1902"/>
    </row>
    <row r="73" spans="8:11" s="1893" customFormat="1" ht="15" x14ac:dyDescent="0.25">
      <c r="H73" s="1902"/>
      <c r="I73" s="1902"/>
      <c r="J73" s="1902"/>
      <c r="K73" s="1902"/>
    </row>
    <row r="74" spans="8:11" s="1893" customFormat="1" ht="15" x14ac:dyDescent="0.25">
      <c r="H74" s="1902"/>
      <c r="I74" s="1902"/>
      <c r="J74" s="1902"/>
      <c r="K74" s="1902"/>
    </row>
    <row r="75" spans="8:11" s="1893" customFormat="1" ht="15" x14ac:dyDescent="0.25">
      <c r="H75" s="1902"/>
      <c r="I75" s="1902"/>
      <c r="J75" s="1902"/>
      <c r="K75" s="1902"/>
    </row>
    <row r="76" spans="8:11" s="1893" customFormat="1" ht="15" x14ac:dyDescent="0.25">
      <c r="H76" s="1902"/>
      <c r="I76" s="1902"/>
      <c r="J76" s="1902"/>
      <c r="K76" s="1902"/>
    </row>
    <row r="77" spans="8:11" s="1893" customFormat="1" ht="15" x14ac:dyDescent="0.25">
      <c r="H77" s="1902"/>
      <c r="I77" s="1902"/>
      <c r="J77" s="1902"/>
      <c r="K77" s="1902"/>
    </row>
    <row r="78" spans="8:11" s="1893" customFormat="1" ht="15" x14ac:dyDescent="0.25">
      <c r="H78" s="1902"/>
      <c r="I78" s="1902"/>
      <c r="J78" s="1902"/>
      <c r="K78" s="1902"/>
    </row>
    <row r="79" spans="8:11" s="1893" customFormat="1" ht="15" x14ac:dyDescent="0.25">
      <c r="H79" s="1902"/>
      <c r="I79" s="1902"/>
      <c r="J79" s="1902"/>
      <c r="K79" s="1902"/>
    </row>
    <row r="80" spans="8:11" s="1893" customFormat="1" ht="15" x14ac:dyDescent="0.25">
      <c r="H80" s="1902"/>
      <c r="I80" s="1902"/>
      <c r="J80" s="1902"/>
      <c r="K80" s="1902"/>
    </row>
    <row r="81" spans="8:11" s="1893" customFormat="1" ht="15" x14ac:dyDescent="0.25">
      <c r="H81" s="1902"/>
      <c r="I81" s="1902"/>
      <c r="J81" s="1902"/>
      <c r="K81" s="1902"/>
    </row>
    <row r="82" spans="8:11" s="1893" customFormat="1" ht="15" x14ac:dyDescent="0.25">
      <c r="H82" s="1902"/>
      <c r="I82" s="1902"/>
      <c r="J82" s="1902"/>
      <c r="K82" s="1902"/>
    </row>
    <row r="83" spans="8:11" s="1893" customFormat="1" ht="15" x14ac:dyDescent="0.25">
      <c r="H83" s="1902"/>
      <c r="I83" s="1902"/>
      <c r="J83" s="1902"/>
      <c r="K83" s="1902"/>
    </row>
    <row r="84" spans="8:11" s="1893" customFormat="1" ht="15" x14ac:dyDescent="0.25">
      <c r="H84" s="1902"/>
      <c r="I84" s="1902"/>
      <c r="J84" s="1902"/>
      <c r="K84" s="1902"/>
    </row>
    <row r="85" spans="8:11" s="1893" customFormat="1" ht="15" x14ac:dyDescent="0.25">
      <c r="H85" s="1902"/>
      <c r="I85" s="1902"/>
      <c r="J85" s="1902"/>
      <c r="K85" s="1902"/>
    </row>
    <row r="86" spans="8:11" s="1893" customFormat="1" ht="15" x14ac:dyDescent="0.25">
      <c r="H86" s="1902"/>
      <c r="I86" s="1902"/>
      <c r="J86" s="1902"/>
      <c r="K86" s="1902"/>
    </row>
    <row r="87" spans="8:11" s="1893" customFormat="1" ht="15" x14ac:dyDescent="0.25">
      <c r="H87" s="1902"/>
      <c r="I87" s="1902"/>
      <c r="J87" s="1902"/>
      <c r="K87" s="1902"/>
    </row>
    <row r="88" spans="8:11" s="1893" customFormat="1" ht="15" x14ac:dyDescent="0.25">
      <c r="H88" s="1902"/>
      <c r="I88" s="1902"/>
      <c r="J88" s="1902"/>
      <c r="K88" s="1902"/>
    </row>
    <row r="89" spans="8:11" s="1893" customFormat="1" ht="15" x14ac:dyDescent="0.25">
      <c r="H89" s="1902"/>
      <c r="I89" s="1902"/>
      <c r="J89" s="1902"/>
      <c r="K89" s="1902"/>
    </row>
    <row r="90" spans="8:11" s="1893" customFormat="1" ht="15" x14ac:dyDescent="0.25">
      <c r="H90" s="1902"/>
      <c r="I90" s="1902"/>
      <c r="J90" s="1902"/>
      <c r="K90" s="1902"/>
    </row>
    <row r="91" spans="8:11" s="1893" customFormat="1" ht="15" x14ac:dyDescent="0.25">
      <c r="H91" s="1902"/>
      <c r="I91" s="1902"/>
      <c r="J91" s="1902"/>
      <c r="K91" s="1902"/>
    </row>
    <row r="92" spans="8:11" s="1893" customFormat="1" ht="15" x14ac:dyDescent="0.25">
      <c r="H92" s="1902"/>
      <c r="I92" s="1902"/>
      <c r="J92" s="1902"/>
      <c r="K92" s="1902"/>
    </row>
    <row r="93" spans="8:11" s="1893" customFormat="1" ht="15" x14ac:dyDescent="0.25">
      <c r="H93" s="1902"/>
      <c r="I93" s="1902"/>
      <c r="J93" s="1902"/>
      <c r="K93" s="1902"/>
    </row>
    <row r="94" spans="8:11" s="1893" customFormat="1" ht="15" x14ac:dyDescent="0.25">
      <c r="H94" s="1902"/>
      <c r="I94" s="1902"/>
      <c r="J94" s="1902"/>
      <c r="K94" s="1902"/>
    </row>
    <row r="95" spans="8:11" s="1893" customFormat="1" ht="15" x14ac:dyDescent="0.25">
      <c r="H95" s="1902"/>
      <c r="I95" s="1902"/>
      <c r="J95" s="1902"/>
      <c r="K95" s="1902"/>
    </row>
    <row r="96" spans="8:11" s="1893" customFormat="1" ht="15" x14ac:dyDescent="0.25">
      <c r="H96" s="1902"/>
      <c r="I96" s="1902"/>
      <c r="J96" s="1902"/>
      <c r="K96" s="1902"/>
    </row>
    <row r="97" spans="8:11" s="1893" customFormat="1" ht="15" x14ac:dyDescent="0.25">
      <c r="H97" s="1902"/>
      <c r="I97" s="1902"/>
      <c r="J97" s="1902"/>
      <c r="K97" s="1902"/>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E15" sqref="E15"/>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7" t="s">
        <v>693</v>
      </c>
      <c r="B6" s="1664"/>
      <c r="C6" s="1664"/>
      <c r="D6" s="1664"/>
      <c r="E6" s="1665"/>
      <c r="F6" s="1016"/>
      <c r="G6" s="1010"/>
      <c r="H6" s="1017" t="s">
        <v>1086</v>
      </c>
      <c r="I6" s="2334" t="str">
        <f>COVER!A17</f>
        <v>Union Ridge SD 86</v>
      </c>
      <c r="J6" s="2335"/>
      <c r="Q6" s="1686"/>
    </row>
    <row r="7" spans="1:17" x14ac:dyDescent="0.2">
      <c r="A7" s="2336" t="s">
        <v>924</v>
      </c>
      <c r="B7" s="2337"/>
      <c r="C7" s="2337"/>
      <c r="D7" s="2337"/>
      <c r="E7" s="2338"/>
      <c r="F7" s="1018"/>
      <c r="G7" s="1010"/>
      <c r="H7" s="1017" t="s">
        <v>390</v>
      </c>
      <c r="I7" s="2339">
        <f>COVER!A13</f>
        <v>6016086002</v>
      </c>
      <c r="J7" s="2339"/>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18" t="s">
        <v>1701</v>
      </c>
      <c r="F9" s="1024"/>
      <c r="G9" s="1024"/>
      <c r="H9" s="1919"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0" t="s">
        <v>502</v>
      </c>
      <c r="B11" s="2341"/>
      <c r="C11" s="2342"/>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301445</v>
      </c>
      <c r="F12" s="1040"/>
      <c r="G12" s="1834">
        <f t="shared" ref="G12:G18" si="0">SUM(E12:F12)</f>
        <v>301445</v>
      </c>
      <c r="H12" s="1041">
        <v>313972</v>
      </c>
      <c r="I12" s="1040"/>
      <c r="J12" s="1834">
        <f t="shared" ref="J12:J18" si="1">SUM(H12:I12)</f>
        <v>313972</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3" t="s">
        <v>7</v>
      </c>
      <c r="C18" s="2344"/>
      <c r="D18" s="2345"/>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301445</v>
      </c>
      <c r="F19" s="1836">
        <f t="shared" si="2"/>
        <v>0</v>
      </c>
      <c r="G19" s="1836">
        <f t="shared" si="2"/>
        <v>301445</v>
      </c>
      <c r="H19" s="1836">
        <f t="shared" si="2"/>
        <v>313972</v>
      </c>
      <c r="I19" s="1836">
        <f t="shared" si="2"/>
        <v>0</v>
      </c>
      <c r="J19" s="1836">
        <f t="shared" si="2"/>
        <v>313972</v>
      </c>
    </row>
    <row r="20" spans="1:10" ht="13.5" thickTop="1" x14ac:dyDescent="0.2">
      <c r="A20" s="1036">
        <v>9</v>
      </c>
      <c r="B20" s="2346" t="s">
        <v>1703</v>
      </c>
      <c r="C20" s="2346"/>
      <c r="D20" s="2347"/>
      <c r="E20" s="1047"/>
      <c r="F20" s="1047"/>
      <c r="G20" s="1047"/>
      <c r="H20" s="1047"/>
      <c r="I20" s="1047"/>
      <c r="J20" s="1837">
        <f>IF(AND(G19&gt;0,J19&gt;0),(((J19-G19)/G19)),"Enter Budget Data")</f>
        <v>4.1556502844631693E-2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2"/>
      <c r="D26" s="2352"/>
      <c r="E26" s="1051"/>
      <c r="F26" s="2351"/>
      <c r="G26" s="2351"/>
    </row>
    <row r="27" spans="1:10" x14ac:dyDescent="0.2">
      <c r="B27" s="1048"/>
      <c r="C27" s="1052" t="s">
        <v>1093</v>
      </c>
      <c r="D27" s="1053"/>
      <c r="E27" s="1054"/>
      <c r="F27" s="2348" t="s">
        <v>1589</v>
      </c>
      <c r="G27" s="2348"/>
    </row>
    <row r="28" spans="1:10" ht="28.5" customHeight="1" x14ac:dyDescent="0.2">
      <c r="B28" s="1048"/>
      <c r="C28" s="2350"/>
      <c r="D28" s="2350"/>
      <c r="E28" s="1055"/>
      <c r="F28" s="2350"/>
      <c r="G28" s="2350"/>
    </row>
    <row r="29" spans="1:10" x14ac:dyDescent="0.2">
      <c r="B29" s="1048"/>
      <c r="C29" s="1056" t="s">
        <v>1642</v>
      </c>
      <c r="E29" s="1057"/>
      <c r="F29" s="2349" t="s">
        <v>1590</v>
      </c>
      <c r="G29" s="2349"/>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1" t="s">
        <v>134</v>
      </c>
      <c r="D33" s="2332"/>
      <c r="E33" s="2332"/>
      <c r="F33" s="2332"/>
      <c r="G33" s="2332"/>
      <c r="H33" s="2332"/>
      <c r="I33" s="2332"/>
    </row>
    <row r="34" spans="1:10" ht="10.35" customHeight="1" x14ac:dyDescent="0.2">
      <c r="C34" s="2332"/>
      <c r="D34" s="2332"/>
      <c r="E34" s="2332"/>
      <c r="F34" s="2332"/>
      <c r="G34" s="2332"/>
      <c r="H34" s="2332"/>
      <c r="I34" s="2332"/>
    </row>
    <row r="35" spans="1:10" ht="7.5" customHeight="1" x14ac:dyDescent="0.2">
      <c r="C35" s="1063"/>
    </row>
    <row r="36" spans="1:10" ht="13.5" customHeight="1" x14ac:dyDescent="0.2">
      <c r="B36" s="1062"/>
      <c r="C36" s="2333" t="s">
        <v>1944</v>
      </c>
      <c r="D36" s="2332"/>
      <c r="E36" s="2332"/>
      <c r="F36" s="2332"/>
      <c r="G36" s="2332"/>
      <c r="H36" s="2332"/>
      <c r="I36" s="2332"/>
      <c r="J36" s="1064"/>
    </row>
    <row r="37" spans="1:10" ht="22.5" customHeight="1" x14ac:dyDescent="0.2">
      <c r="C37" s="2332"/>
      <c r="D37" s="2332"/>
      <c r="E37" s="2332"/>
      <c r="F37" s="2332"/>
      <c r="G37" s="2332"/>
      <c r="H37" s="2332"/>
      <c r="I37" s="2332"/>
      <c r="J37" s="1064"/>
    </row>
    <row r="38" spans="1:10" ht="7.5" customHeight="1" x14ac:dyDescent="0.2">
      <c r="C38" s="1063"/>
      <c r="D38" s="1065"/>
      <c r="E38" s="1066"/>
      <c r="F38" s="1067"/>
      <c r="G38" s="1066"/>
    </row>
    <row r="39" spans="1:10" ht="13.5" customHeight="1" x14ac:dyDescent="0.2">
      <c r="B39" s="1062"/>
      <c r="C39" s="2329" t="s">
        <v>937</v>
      </c>
      <c r="D39" s="2330"/>
      <c r="E39" s="2330"/>
      <c r="F39" s="2330"/>
      <c r="G39" s="2330"/>
      <c r="H39" s="2330"/>
      <c r="I39" s="2330"/>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A2" sqref="A2"/>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1" x14ac:dyDescent="0.2">
      <c r="A2" s="389" t="s">
        <v>276</v>
      </c>
    </row>
    <row r="3" spans="1:1" x14ac:dyDescent="0.2">
      <c r="A3" s="329" t="s">
        <v>277</v>
      </c>
    </row>
    <row r="5" spans="1:1" x14ac:dyDescent="0.2">
      <c r="A5" s="1069">
        <v>1</v>
      </c>
    </row>
    <row r="6" spans="1:1" x14ac:dyDescent="0.2">
      <c r="A6" s="1069">
        <v>2</v>
      </c>
    </row>
    <row r="7" spans="1:1" x14ac:dyDescent="0.2">
      <c r="A7" s="1069">
        <v>3</v>
      </c>
    </row>
    <row r="8" spans="1:1" x14ac:dyDescent="0.2">
      <c r="A8" s="1069">
        <v>4</v>
      </c>
    </row>
    <row r="9" spans="1:1" x14ac:dyDescent="0.2">
      <c r="A9" s="1070"/>
    </row>
    <row r="10" spans="1:1" x14ac:dyDescent="0.2">
      <c r="A10" s="1070"/>
    </row>
    <row r="11" spans="1:1" x14ac:dyDescent="0.2">
      <c r="A11" s="1070"/>
    </row>
    <row r="12" spans="1:1" x14ac:dyDescent="0.2">
      <c r="A12" s="1070"/>
    </row>
    <row r="13" spans="1:1" x14ac:dyDescent="0.2">
      <c r="A13" s="1070"/>
    </row>
    <row r="14" spans="1:1" x14ac:dyDescent="0.2">
      <c r="A14" s="1070"/>
    </row>
    <row r="15" spans="1:1" x14ac:dyDescent="0.2">
      <c r="A15" s="1070"/>
    </row>
    <row r="16" spans="1:1"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Union Ridge SD 86</v>
      </c>
    </row>
    <row r="65" spans="2:2" x14ac:dyDescent="0.2">
      <c r="B65" s="1071">
        <f>COVER!A13</f>
        <v>6016086002</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24" zoomScale="110" zoomScaleNormal="110" workbookViewId="0">
      <selection activeCell="A40" sqref="A40:E40"/>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9" t="s">
        <v>1709</v>
      </c>
    </row>
    <row r="23" spans="1:5" x14ac:dyDescent="0.2">
      <c r="A23" s="168"/>
      <c r="B23" s="162" t="s">
        <v>1969</v>
      </c>
      <c r="D23" s="167" t="s">
        <v>658</v>
      </c>
      <c r="E23" s="1859"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0" t="s">
        <v>1125</v>
      </c>
      <c r="B35" s="2070"/>
      <c r="C35" s="2070"/>
      <c r="D35" s="2070"/>
      <c r="E35" s="207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7" t="s">
        <v>715</v>
      </c>
      <c r="B40" s="2067"/>
      <c r="C40" s="2067"/>
      <c r="D40" s="2067"/>
      <c r="E40" s="2067"/>
    </row>
    <row r="41" spans="1:5" x14ac:dyDescent="0.2">
      <c r="A41" s="2068" t="s">
        <v>1706</v>
      </c>
      <c r="B41" s="2068"/>
      <c r="C41" s="2068"/>
      <c r="D41" s="2068"/>
      <c r="E41" s="2068"/>
    </row>
    <row r="42" spans="1:5" ht="12.75" customHeight="1" x14ac:dyDescent="0.2">
      <c r="A42" s="2069" t="s">
        <v>1080</v>
      </c>
      <c r="B42" s="2069"/>
      <c r="C42" s="2069"/>
      <c r="D42" s="2069"/>
      <c r="E42" s="2069"/>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3" t="s">
        <v>1784</v>
      </c>
      <c r="B18" s="2353"/>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Document.2015" dvAspect="DVASPECT_ICON" shapeId="50180" r:id="rId4">
          <objectPr defaultSize="0" r:id="rId5">
            <anchor moveWithCells="1">
              <from>
                <xdr:col>0</xdr:col>
                <xdr:colOff>114300</xdr:colOff>
                <xdr:row>2</xdr:row>
                <xdr:rowOff>0</xdr:rowOff>
              </from>
              <to>
                <xdr:col>1</xdr:col>
                <xdr:colOff>857250</xdr:colOff>
                <xdr:row>6</xdr:row>
                <xdr:rowOff>57150</xdr:rowOff>
              </to>
            </anchor>
          </objectPr>
        </oleObject>
      </mc:Choice>
      <mc:Fallback>
        <oleObject progId="Acrobat.Document.2015" dvAspect="DVASPECT_ICON" shapeId="50180" r:id="rId4"/>
      </mc:Fallback>
    </mc:AlternateContent>
    <mc:AlternateContent xmlns:mc="http://schemas.openxmlformats.org/markup-compatibility/2006">
      <mc:Choice Requires="x14">
        <oleObject progId="Acrobat.Document.2015" dvAspect="DVASPECT_ICON" shapeId="50181" r:id="rId6">
          <objectPr defaultSize="0" r:id="rId7">
            <anchor moveWithCells="1">
              <from>
                <xdr:col>1</xdr:col>
                <xdr:colOff>1095375</xdr:colOff>
                <xdr:row>1</xdr:row>
                <xdr:rowOff>152400</xdr:rowOff>
              </from>
              <to>
                <xdr:col>1</xdr:col>
                <xdr:colOff>2009775</xdr:colOff>
                <xdr:row>6</xdr:row>
                <xdr:rowOff>28575</xdr:rowOff>
              </to>
            </anchor>
          </objectPr>
        </oleObject>
      </mc:Choice>
      <mc:Fallback>
        <oleObject progId="Acrobat.Document.2015" dvAspect="DVASPECT_ICON" shapeId="50181" r:id="rId6"/>
      </mc:Fallback>
    </mc:AlternateContent>
    <mc:AlternateContent xmlns:mc="http://schemas.openxmlformats.org/markup-compatibility/2006">
      <mc:Choice Requires="x14">
        <oleObject progId="Acrobat.Document.2015" dvAspect="DVASPECT_ICON" shapeId="50182" r:id="rId8">
          <objectPr defaultSize="0" r:id="rId9">
            <anchor moveWithCells="1">
              <from>
                <xdr:col>1</xdr:col>
                <xdr:colOff>2171700</xdr:colOff>
                <xdr:row>2</xdr:row>
                <xdr:rowOff>0</xdr:rowOff>
              </from>
              <to>
                <xdr:col>1</xdr:col>
                <xdr:colOff>3086100</xdr:colOff>
                <xdr:row>6</xdr:row>
                <xdr:rowOff>38100</xdr:rowOff>
              </to>
            </anchor>
          </objectPr>
        </oleObject>
      </mc:Choice>
      <mc:Fallback>
        <oleObject progId="Acrobat.Document.2015" dvAspect="DVASPECT_ICON" shapeId="50182" r:id="rId8"/>
      </mc:Fallback>
    </mc:AlternateContent>
    <mc:AlternateContent xmlns:mc="http://schemas.openxmlformats.org/markup-compatibility/2006">
      <mc:Choice Requires="x14">
        <oleObject progId="Acrobat.Document.2015" dvAspect="DVASPECT_ICON" shapeId="50183" r:id="rId10">
          <objectPr defaultSize="0" r:id="rId11">
            <anchor moveWithCells="1">
              <from>
                <xdr:col>1</xdr:col>
                <xdr:colOff>3305175</xdr:colOff>
                <xdr:row>2</xdr:row>
                <xdr:rowOff>0</xdr:rowOff>
              </from>
              <to>
                <xdr:col>2</xdr:col>
                <xdr:colOff>238125</xdr:colOff>
                <xdr:row>6</xdr:row>
                <xdr:rowOff>38100</xdr:rowOff>
              </to>
            </anchor>
          </objectPr>
        </oleObject>
      </mc:Choice>
      <mc:Fallback>
        <oleObject progId="Acrobat.Document.2015" dvAspect="DVASPECT_ICON" shapeId="50183" r:id="rId10"/>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4" t="s">
        <v>1790</v>
      </c>
      <c r="B1" s="2355"/>
      <c r="C1" s="2355"/>
      <c r="D1" s="2355"/>
      <c r="E1" s="2355"/>
      <c r="F1" s="2356"/>
    </row>
    <row r="2" spans="1:8" ht="45" customHeight="1" x14ac:dyDescent="0.2">
      <c r="A2" s="2364" t="s">
        <v>1791</v>
      </c>
      <c r="B2" s="2365"/>
      <c r="C2" s="2365"/>
      <c r="D2" s="2365"/>
      <c r="E2" s="2365"/>
      <c r="F2" s="2366"/>
      <c r="G2" s="1075"/>
      <c r="H2" s="1075"/>
    </row>
    <row r="3" spans="1:8" ht="57" customHeight="1" x14ac:dyDescent="0.2">
      <c r="A3" s="2367" t="s">
        <v>1786</v>
      </c>
      <c r="B3" s="2368"/>
      <c r="C3" s="2368"/>
      <c r="D3" s="2368"/>
      <c r="E3" s="2368"/>
      <c r="F3" s="2369"/>
      <c r="G3" s="1075"/>
      <c r="H3" s="1075"/>
    </row>
    <row r="4" spans="1:8" ht="14.25" customHeight="1" x14ac:dyDescent="0.2">
      <c r="A4" s="2373" t="s">
        <v>2056</v>
      </c>
      <c r="B4" s="2374"/>
      <c r="C4" s="2374"/>
      <c r="D4" s="2374"/>
      <c r="E4" s="2374"/>
      <c r="F4" s="2375"/>
      <c r="G4" s="1075"/>
      <c r="H4" s="1075"/>
    </row>
    <row r="5" spans="1:8" ht="14.25" customHeight="1" x14ac:dyDescent="0.2">
      <c r="A5" s="2376" t="s">
        <v>2057</v>
      </c>
      <c r="B5" s="2377"/>
      <c r="C5" s="2377"/>
      <c r="D5" s="2377"/>
      <c r="E5" s="2377"/>
      <c r="F5" s="2378"/>
      <c r="G5" s="1075"/>
      <c r="H5" s="1075"/>
    </row>
    <row r="6" spans="1:8" s="1076" customFormat="1" ht="41.25" customHeight="1" x14ac:dyDescent="0.2">
      <c r="A6" s="2370" t="s">
        <v>1792</v>
      </c>
      <c r="B6" s="2371"/>
      <c r="C6" s="2371"/>
      <c r="D6" s="2371"/>
      <c r="E6" s="2371"/>
      <c r="F6" s="2372"/>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6475991</v>
      </c>
      <c r="C8" s="1838">
        <f>'Acct Summary 7-8'!D8</f>
        <v>718899</v>
      </c>
      <c r="D8" s="1838">
        <f>'Acct Summary 7-8'!F8</f>
        <v>105145</v>
      </c>
      <c r="E8" s="1838">
        <f>'Acct Summary 7-8'!I8</f>
        <v>69849</v>
      </c>
      <c r="F8" s="1838">
        <f>SUM(B8:E8)</f>
        <v>7369884</v>
      </c>
    </row>
    <row r="9" spans="1:8" s="1080" customFormat="1" ht="14.25" customHeight="1" thickBot="1" x14ac:dyDescent="0.25">
      <c r="A9" s="1079" t="s">
        <v>1436</v>
      </c>
      <c r="B9" s="1839">
        <f>'Acct Summary 7-8'!C17</f>
        <v>6253138</v>
      </c>
      <c r="C9" s="1839">
        <f>'Acct Summary 7-8'!D17</f>
        <v>741372</v>
      </c>
      <c r="D9" s="1839">
        <f>'Acct Summary 7-8'!F17</f>
        <v>121934</v>
      </c>
      <c r="E9" s="1838"/>
      <c r="F9" s="1838">
        <f>SUM(B9:E9)</f>
        <v>7116444</v>
      </c>
    </row>
    <row r="10" spans="1:8" s="1080" customFormat="1" ht="14.25" thickTop="1" thickBot="1" x14ac:dyDescent="0.25">
      <c r="A10" s="1081" t="s">
        <v>1437</v>
      </c>
      <c r="B10" s="1840">
        <f>(B8-B9)</f>
        <v>222853</v>
      </c>
      <c r="C10" s="1840">
        <f>(C8-C9)</f>
        <v>-22473</v>
      </c>
      <c r="D10" s="1840">
        <f>(D8-D9)</f>
        <v>-16789</v>
      </c>
      <c r="E10" s="1839">
        <f>(E8-E9)</f>
        <v>69849</v>
      </c>
      <c r="F10" s="1841">
        <f>SUM(F8-F9)</f>
        <v>253440</v>
      </c>
    </row>
    <row r="11" spans="1:8" s="1080" customFormat="1" ht="14.25" thickTop="1" thickBot="1" x14ac:dyDescent="0.25">
      <c r="A11" s="1082" t="s">
        <v>1785</v>
      </c>
      <c r="B11" s="1842">
        <f>'Acct Summary 7-8'!C81</f>
        <v>1300629</v>
      </c>
      <c r="C11" s="1842">
        <f>'Acct Summary 7-8'!D81</f>
        <v>372108</v>
      </c>
      <c r="D11" s="1842">
        <f>'Acct Summary 7-8'!F81</f>
        <v>27648</v>
      </c>
      <c r="E11" s="1842">
        <f>'Acct Summary 7-8'!I81</f>
        <v>3940249</v>
      </c>
      <c r="F11" s="1843">
        <f>SUM(B11:E11)</f>
        <v>5640634</v>
      </c>
    </row>
    <row r="12" spans="1:8" ht="16.5" customHeight="1" thickTop="1" x14ac:dyDescent="0.2">
      <c r="A12" s="1083"/>
      <c r="B12" s="1084"/>
      <c r="C12" s="2358" t="str">
        <f>IF(AND(F10&lt;0,F11&gt;=0,ABS(F10*3)&gt;ABS(F11)),A16,IF(AND(F10&lt;0,F11&gt;0,ABS(F10*3)&lt;=ABS(F11)),A17,IF(AND(F10&lt;0,F11&lt;0),A16,IF(F11=0,A19,A18))))</f>
        <v>Balanced - no deficit reduction plan is required.</v>
      </c>
      <c r="D12" s="2359"/>
      <c r="E12" s="2359"/>
      <c r="F12" s="2360"/>
    </row>
    <row r="13" spans="1:8" ht="19.5" customHeight="1" x14ac:dyDescent="0.2">
      <c r="A13" s="1085"/>
      <c r="B13" s="1086"/>
      <c r="C13" s="2358"/>
      <c r="D13" s="2359"/>
      <c r="E13" s="2359"/>
      <c r="F13" s="2360"/>
      <c r="H13" s="1075"/>
    </row>
    <row r="14" spans="1:8" ht="19.5" customHeight="1" x14ac:dyDescent="0.2">
      <c r="A14" s="1085"/>
      <c r="B14" s="1086"/>
      <c r="C14" s="2358"/>
      <c r="D14" s="2359"/>
      <c r="E14" s="2359"/>
      <c r="F14" s="2360"/>
      <c r="H14" s="1075"/>
    </row>
    <row r="15" spans="1:8" ht="17.25" customHeight="1" x14ac:dyDescent="0.2">
      <c r="A15" s="1085"/>
      <c r="B15" s="1086"/>
      <c r="C15" s="2361"/>
      <c r="D15" s="2362"/>
      <c r="E15" s="2362"/>
      <c r="F15" s="2363"/>
      <c r="H15" s="1075"/>
    </row>
    <row r="16" spans="1:8" s="310" customFormat="1" ht="51.75" hidden="1" customHeight="1" x14ac:dyDescent="0.2">
      <c r="A16" s="2357" t="s">
        <v>1787</v>
      </c>
      <c r="B16" s="2357"/>
      <c r="C16" s="2357"/>
      <c r="D16" s="2357"/>
      <c r="E16" s="2357"/>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0"/>
      <c r="B2" s="1921"/>
      <c r="C2" s="1922"/>
      <c r="D2" s="1923"/>
    </row>
    <row r="3" spans="1:4" ht="36" customHeight="1" x14ac:dyDescent="0.2">
      <c r="A3" s="2379" t="s">
        <v>686</v>
      </c>
      <c r="B3" s="2380"/>
      <c r="C3" s="2380"/>
      <c r="D3" s="2381"/>
    </row>
    <row r="4" spans="1:4" x14ac:dyDescent="0.2">
      <c r="A4" s="1153" t="s">
        <v>1793</v>
      </c>
      <c r="B4" s="1154"/>
      <c r="C4" s="1155"/>
      <c r="D4" s="1156"/>
    </row>
    <row r="5" spans="1:4" ht="21" customHeight="1" x14ac:dyDescent="0.2">
      <c r="A5" s="1149"/>
      <c r="B5" s="1150">
        <v>1</v>
      </c>
      <c r="C5" s="1151" t="s">
        <v>1946</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0" t="s">
        <v>1584</v>
      </c>
      <c r="D7" s="2391"/>
    </row>
    <row r="8" spans="1:4" s="669" customFormat="1" ht="12.75" x14ac:dyDescent="0.2">
      <c r="A8" s="1139"/>
      <c r="B8" s="1094"/>
      <c r="C8" s="1097" t="s">
        <v>1583</v>
      </c>
      <c r="D8" s="1098"/>
    </row>
    <row r="9" spans="1:4" s="669" customFormat="1" ht="14.25" customHeight="1" x14ac:dyDescent="0.2">
      <c r="A9" s="1139"/>
      <c r="B9" s="1094">
        <f>B7+1</f>
        <v>4</v>
      </c>
      <c r="C9" s="1095" t="s">
        <v>2049</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2" t="s">
        <v>1065</v>
      </c>
      <c r="B15" s="2383"/>
      <c r="C15" s="2383"/>
      <c r="D15" s="2384"/>
    </row>
    <row r="16" spans="1:4" s="669" customFormat="1" ht="24" customHeight="1" x14ac:dyDescent="0.2">
      <c r="A16" s="2385" t="s">
        <v>684</v>
      </c>
      <c r="B16" s="2386"/>
      <c r="C16" s="2386"/>
      <c r="D16" s="2387"/>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4" t="s">
        <v>332</v>
      </c>
      <c r="D21" s="2395"/>
    </row>
    <row r="22" spans="1:10" ht="12.75" x14ac:dyDescent="0.2">
      <c r="A22" s="1140"/>
      <c r="B22" s="1141">
        <v>2</v>
      </c>
      <c r="C22" s="2392" t="s">
        <v>1605</v>
      </c>
      <c r="D22" s="2393"/>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6" t="s">
        <v>557</v>
      </c>
      <c r="D43" s="2397"/>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8" t="s">
        <v>817</v>
      </c>
      <c r="D56" s="2389"/>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2050</v>
      </c>
      <c r="D66" s="1126"/>
    </row>
    <row r="67" spans="1:4" x14ac:dyDescent="0.2">
      <c r="A67" s="1120"/>
      <c r="B67" s="1141"/>
      <c r="C67" s="1148" t="s">
        <v>1079</v>
      </c>
      <c r="D67" s="1126"/>
    </row>
    <row r="68" spans="1:4" x14ac:dyDescent="0.2">
      <c r="A68" s="1101"/>
      <c r="B68" s="1111"/>
      <c r="C68" s="1103" t="s">
        <v>2051</v>
      </c>
      <c r="D68" s="1125" t="str">
        <f>IF('Short-Term Long-Term Debt 24'!F49=SUM(,'Acct Summary 7-8'!C33:K33),"OK","ERROR!")</f>
        <v>OK</v>
      </c>
    </row>
    <row r="69" spans="1:4" x14ac:dyDescent="0.2">
      <c r="A69" s="1101"/>
      <c r="B69" s="1111"/>
      <c r="C69" s="1103" t="s">
        <v>2052</v>
      </c>
      <c r="D69" s="1125" t="str">
        <f>IF('Expenditures 15-22'!H170&lt;&gt;'Short-Term Long-Term Debt 24'!H49,"ERROR!","OK")</f>
        <v>OK</v>
      </c>
    </row>
    <row r="70" spans="1:4" x14ac:dyDescent="0.2">
      <c r="A70" s="1099"/>
      <c r="B70" s="1121">
        <f>B66+1</f>
        <v>9</v>
      </c>
      <c r="C70" s="2388" t="s">
        <v>1797</v>
      </c>
      <c r="D70" s="2389"/>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2053</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2054</v>
      </c>
      <c r="D78" s="1125" t="str">
        <f>IF(ISNUMBER('Acct Summary 7-8'!C9),"OK","ENTRY IS REQUIRED!")</f>
        <v>OK</v>
      </c>
    </row>
    <row r="79" spans="1:4" x14ac:dyDescent="0.2">
      <c r="A79" s="1120"/>
      <c r="B79" s="1121">
        <f>B74+1+1</f>
        <v>12</v>
      </c>
      <c r="C79" s="1131" t="s">
        <v>2019</v>
      </c>
      <c r="D79" s="1132" t="str">
        <f>IF(OR(COVER!$B$6="X",'PCTC-OEPP 27-28'!F78&gt;0),"OK","PLEASE ENTER 9 MO ADA.")</f>
        <v>OK</v>
      </c>
    </row>
    <row r="80" spans="1:4" x14ac:dyDescent="0.2">
      <c r="A80" s="1099"/>
      <c r="B80" s="1121">
        <v>13</v>
      </c>
      <c r="C80" s="1131" t="s">
        <v>2055</v>
      </c>
      <c r="D80" s="1132" t="str">
        <f>IF('Contracts Paid in CY 29'!D141&gt;0,"OK","PLEASE ENTER CONTRACTS PAID IN CURRENT YEAR.")</f>
        <v>OK</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6016086002</v>
      </c>
    </row>
    <row r="3" spans="1:2" x14ac:dyDescent="0.2">
      <c r="A3" t="s">
        <v>1013</v>
      </c>
      <c r="B3" s="138" t="str">
        <f>COVER!A15</f>
        <v>Cook</v>
      </c>
    </row>
    <row r="4" spans="1:2" x14ac:dyDescent="0.2">
      <c r="A4" t="s">
        <v>1064</v>
      </c>
      <c r="B4" s="138" t="str">
        <f>COVER!A17</f>
        <v>Union Ridge SD 86</v>
      </c>
    </row>
    <row r="5" spans="1:2" x14ac:dyDescent="0.2">
      <c r="A5" t="s">
        <v>728</v>
      </c>
      <c r="B5" s="138" t="str">
        <f>COVER!A38</f>
        <v>Mike Maguire</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f>COVER!B5</f>
        <v>0</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066-005122</v>
      </c>
    </row>
    <row r="16" spans="1:2" x14ac:dyDescent="0.2">
      <c r="A16" t="s">
        <v>442</v>
      </c>
      <c r="B16" s="138" t="str">
        <f>COVER!T13</f>
        <v>Knutte &amp; Associates, PC</v>
      </c>
    </row>
    <row r="17" spans="1:2" x14ac:dyDescent="0.2">
      <c r="A17" t="s">
        <v>939</v>
      </c>
      <c r="B17" s="138" t="str">
        <f>COVER!T15</f>
        <v>David Knutte, CPA</v>
      </c>
    </row>
    <row r="18" spans="1:2" x14ac:dyDescent="0.2">
      <c r="A18" t="s">
        <v>1212</v>
      </c>
      <c r="B18" s="138" t="str">
        <f>COVER!T17</f>
        <v>7900 S Cass Avenue</v>
      </c>
    </row>
    <row r="19" spans="1:2" x14ac:dyDescent="0.2">
      <c r="A19" t="s">
        <v>941</v>
      </c>
      <c r="B19" s="138" t="str">
        <f>COVER!T25</f>
        <v>davek@knutte.com</v>
      </c>
    </row>
    <row r="20" spans="1:2" x14ac:dyDescent="0.2">
      <c r="A20" t="s">
        <v>942</v>
      </c>
      <c r="B20" s="138" t="str">
        <f>COVER!T19</f>
        <v>Darien</v>
      </c>
    </row>
    <row r="21" spans="1:2" x14ac:dyDescent="0.2">
      <c r="A21" t="s">
        <v>500</v>
      </c>
      <c r="B21" s="138" t="str">
        <f>COVER!X19</f>
        <v>IL</v>
      </c>
    </row>
    <row r="22" spans="1:2" x14ac:dyDescent="0.2">
      <c r="A22" t="s">
        <v>943</v>
      </c>
      <c r="B22" s="138">
        <f>COVER!Z19</f>
        <v>60561</v>
      </c>
    </row>
    <row r="23" spans="1:2" x14ac:dyDescent="0.2">
      <c r="A23" t="s">
        <v>1214</v>
      </c>
      <c r="B23" s="138" t="str">
        <f>COVER!T21</f>
        <v>630-960-3317</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33239</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1300629</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1300629</v>
      </c>
      <c r="D92" s="2" t="str">
        <f t="shared" si="0"/>
        <v>Error?</v>
      </c>
    </row>
    <row r="93" spans="1:4" x14ac:dyDescent="0.2">
      <c r="A93" s="5">
        <v>32</v>
      </c>
      <c r="B93" s="138">
        <f>'Assets-Liab 5-6'!C41</f>
        <v>1300629</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372108</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372108</v>
      </c>
      <c r="D123" s="2" t="str">
        <f t="shared" si="0"/>
        <v>Error?</v>
      </c>
    </row>
    <row r="124" spans="1:4" x14ac:dyDescent="0.2">
      <c r="A124" s="5">
        <v>63</v>
      </c>
      <c r="B124" s="138">
        <f>'Assets-Liab 5-6'!D41</f>
        <v>372108</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69504</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69504</v>
      </c>
      <c r="D140" s="2" t="str">
        <f t="shared" si="1"/>
        <v>Error?</v>
      </c>
    </row>
    <row r="141" spans="1:4" x14ac:dyDescent="0.2">
      <c r="A141" s="5">
        <v>80</v>
      </c>
      <c r="B141" s="138">
        <f>'Assets-Liab 5-6'!E41</f>
        <v>69504</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27648</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27648</v>
      </c>
      <c r="D170" s="2" t="str">
        <f t="shared" si="1"/>
        <v>Error?</v>
      </c>
    </row>
    <row r="171" spans="1:4" x14ac:dyDescent="0.2">
      <c r="A171" s="5">
        <v>110</v>
      </c>
      <c r="B171" s="138">
        <f>'Assets-Liab 5-6'!F41</f>
        <v>27648</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176606</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176606</v>
      </c>
      <c r="D189" s="2" t="str">
        <f t="shared" si="1"/>
        <v>Error?</v>
      </c>
    </row>
    <row r="190" spans="1:4" x14ac:dyDescent="0.2">
      <c r="A190" s="5">
        <v>129</v>
      </c>
      <c r="B190" s="138">
        <f>'Assets-Liab 5-6'!G41</f>
        <v>176606</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49573</v>
      </c>
      <c r="D273" s="2" t="str">
        <f t="shared" si="3"/>
        <v>Error?</v>
      </c>
    </row>
    <row r="274" spans="1:4" x14ac:dyDescent="0.2">
      <c r="A274" s="5">
        <v>213</v>
      </c>
      <c r="B274" s="138">
        <f>'Assets-Liab 5-6'!M17</f>
        <v>7941805</v>
      </c>
      <c r="D274" s="2" t="str">
        <f t="shared" si="3"/>
        <v>Error?</v>
      </c>
    </row>
    <row r="275" spans="1:4" x14ac:dyDescent="0.2">
      <c r="A275" s="5">
        <v>214</v>
      </c>
      <c r="B275" s="138">
        <f>'Assets-Liab 5-6'!M18</f>
        <v>1183269</v>
      </c>
      <c r="D275" s="2" t="str">
        <f t="shared" si="3"/>
        <v>Error?</v>
      </c>
    </row>
    <row r="276" spans="1:4" x14ac:dyDescent="0.2">
      <c r="A276" s="5">
        <v>215</v>
      </c>
      <c r="B276" s="138">
        <f>'Assets-Liab 5-6'!M19</f>
        <v>479537</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9654184</v>
      </c>
      <c r="C279" s="2" t="s">
        <v>594</v>
      </c>
      <c r="D279" s="2" t="str">
        <f t="shared" si="3"/>
        <v>Error?</v>
      </c>
    </row>
    <row r="280" spans="1:4" x14ac:dyDescent="0.2">
      <c r="A280" s="5">
        <v>219</v>
      </c>
      <c r="B280" s="138">
        <f>'Assets-Liab 5-6'!M40</f>
        <v>9654184</v>
      </c>
      <c r="D280" s="2" t="str">
        <f t="shared" si="3"/>
        <v>Error?</v>
      </c>
    </row>
    <row r="281" spans="1:4" x14ac:dyDescent="0.2">
      <c r="A281" s="5">
        <v>220</v>
      </c>
      <c r="B281" s="138">
        <f>'Assets-Liab 5-6'!M41</f>
        <v>9654184</v>
      </c>
      <c r="C281" s="2" t="s">
        <v>594</v>
      </c>
      <c r="D281" s="2" t="str">
        <f t="shared" si="3"/>
        <v>Error?</v>
      </c>
    </row>
    <row r="282" spans="1:4" x14ac:dyDescent="0.2">
      <c r="A282" s="5">
        <v>221</v>
      </c>
      <c r="B282" s="138">
        <f>'Assets-Liab 5-6'!N21</f>
        <v>69504</v>
      </c>
      <c r="D282" s="2" t="str">
        <f t="shared" si="3"/>
        <v>Error?</v>
      </c>
    </row>
    <row r="283" spans="1:4" x14ac:dyDescent="0.2">
      <c r="A283" s="5">
        <v>222</v>
      </c>
      <c r="B283" s="138">
        <f>'Assets-Liab 5-6'!N22</f>
        <v>1677148</v>
      </c>
      <c r="D283" s="2" t="str">
        <f t="shared" si="3"/>
        <v>Error?</v>
      </c>
    </row>
    <row r="284" spans="1:4" x14ac:dyDescent="0.2">
      <c r="A284" s="5">
        <v>223</v>
      </c>
      <c r="B284" s="138">
        <f>'Assets-Liab 5-6'!N23</f>
        <v>1746652</v>
      </c>
      <c r="C284" s="2" t="s">
        <v>594</v>
      </c>
      <c r="D284" s="2" t="str">
        <f t="shared" si="3"/>
        <v>Error?</v>
      </c>
    </row>
    <row r="285" spans="1:4" x14ac:dyDescent="0.2">
      <c r="A285" s="5">
        <v>224</v>
      </c>
      <c r="B285" s="138">
        <f>'Assets-Liab 5-6'!N36</f>
        <v>1746652</v>
      </c>
      <c r="D285" s="2" t="str">
        <f t="shared" si="3"/>
        <v>Error?</v>
      </c>
    </row>
    <row r="286" spans="1:4" x14ac:dyDescent="0.2">
      <c r="A286" s="10">
        <v>225</v>
      </c>
      <c r="D286" s="2" t="str">
        <f t="shared" si="3"/>
        <v>OK</v>
      </c>
    </row>
    <row r="287" spans="1:4" x14ac:dyDescent="0.2">
      <c r="A287" s="5">
        <v>226</v>
      </c>
      <c r="B287" s="138">
        <f>'Assets-Liab 5-6'!N37</f>
        <v>1746652</v>
      </c>
      <c r="C287" s="2" t="s">
        <v>594</v>
      </c>
      <c r="D287" s="2" t="str">
        <f t="shared" si="3"/>
        <v>Error?</v>
      </c>
    </row>
    <row r="288" spans="1:4" x14ac:dyDescent="0.2">
      <c r="A288" s="5">
        <v>227</v>
      </c>
      <c r="B288" s="138">
        <f>'Assets-Liab 5-6'!N41</f>
        <v>1746652</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2814207</v>
      </c>
      <c r="D705" s="2" t="str">
        <f t="shared" si="10"/>
        <v>Error?</v>
      </c>
    </row>
    <row r="706" spans="1:4" x14ac:dyDescent="0.2">
      <c r="A706" s="5">
        <v>645</v>
      </c>
      <c r="B706" s="138">
        <f>'Expenditures 15-22'!C16</f>
        <v>86698</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217002</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18567</v>
      </c>
      <c r="D718" s="2" t="str">
        <f t="shared" si="10"/>
        <v>Error?</v>
      </c>
    </row>
    <row r="719" spans="1:4" x14ac:dyDescent="0.2">
      <c r="A719" s="5">
        <v>658</v>
      </c>
      <c r="B719" s="138">
        <f>'Expenditures 15-22'!C15</f>
        <v>7576</v>
      </c>
      <c r="D719" s="2" t="str">
        <f t="shared" si="10"/>
        <v>Error?</v>
      </c>
    </row>
    <row r="720" spans="1:4" x14ac:dyDescent="0.2">
      <c r="A720" s="5">
        <v>659</v>
      </c>
      <c r="B720" s="138">
        <f>'Expenditures 15-22'!C33</f>
        <v>3850775</v>
      </c>
      <c r="C720" s="2" t="s">
        <v>594</v>
      </c>
      <c r="D720" s="2" t="str">
        <f t="shared" si="10"/>
        <v>Error?</v>
      </c>
    </row>
    <row r="721" spans="1:4" x14ac:dyDescent="0.2">
      <c r="A721" s="5">
        <v>660</v>
      </c>
      <c r="B721" s="138">
        <f>'Expenditures 15-22'!C36</f>
        <v>61316</v>
      </c>
      <c r="D721" s="2" t="str">
        <f t="shared" si="10"/>
        <v>Error?</v>
      </c>
    </row>
    <row r="722" spans="1:4" x14ac:dyDescent="0.2">
      <c r="A722" s="5">
        <v>661</v>
      </c>
      <c r="B722" s="138">
        <f>'Expenditures 15-22'!C37</f>
        <v>0</v>
      </c>
      <c r="D722" s="2" t="str">
        <f t="shared" si="10"/>
        <v>Error?</v>
      </c>
    </row>
    <row r="723" spans="1:4" x14ac:dyDescent="0.2">
      <c r="A723" s="5">
        <v>662</v>
      </c>
      <c r="B723" s="138">
        <f>'Expenditures 15-22'!C38</f>
        <v>49068</v>
      </c>
      <c r="D723" s="2" t="str">
        <f t="shared" si="10"/>
        <v>Error?</v>
      </c>
    </row>
    <row r="724" spans="1:4" x14ac:dyDescent="0.2">
      <c r="A724" s="5">
        <v>663</v>
      </c>
      <c r="B724" s="138">
        <f>'Expenditures 15-22'!C39</f>
        <v>0</v>
      </c>
      <c r="D724" s="2" t="str">
        <f t="shared" si="10"/>
        <v>Error?</v>
      </c>
    </row>
    <row r="725" spans="1:4" x14ac:dyDescent="0.2">
      <c r="A725" s="5">
        <v>664</v>
      </c>
      <c r="B725" s="138">
        <f>'Expenditures 15-22'!C40</f>
        <v>63106</v>
      </c>
      <c r="D725" s="2" t="str">
        <f t="shared" si="10"/>
        <v>Error?</v>
      </c>
    </row>
    <row r="726" spans="1:4" x14ac:dyDescent="0.2">
      <c r="A726" s="5">
        <v>665</v>
      </c>
      <c r="B726" s="138">
        <f>'Expenditures 15-22'!C41</f>
        <v>104038</v>
      </c>
      <c r="D726" s="2" t="str">
        <f t="shared" si="10"/>
        <v>Error?</v>
      </c>
    </row>
    <row r="727" spans="1:4" x14ac:dyDescent="0.2">
      <c r="A727" s="5">
        <v>666</v>
      </c>
      <c r="B727" s="138">
        <f>'Expenditures 15-22'!C42</f>
        <v>277528</v>
      </c>
      <c r="C727" s="2" t="s">
        <v>594</v>
      </c>
      <c r="D727" s="2" t="str">
        <f t="shared" si="10"/>
        <v>Error?</v>
      </c>
    </row>
    <row r="728" spans="1:4" x14ac:dyDescent="0.2">
      <c r="A728" s="5">
        <v>667</v>
      </c>
      <c r="B728" s="138">
        <f>'Expenditures 15-22'!C44</f>
        <v>12261</v>
      </c>
      <c r="D728" s="2" t="str">
        <f t="shared" si="10"/>
        <v>Error?</v>
      </c>
    </row>
    <row r="729" spans="1:4" x14ac:dyDescent="0.2">
      <c r="A729" s="5">
        <v>668</v>
      </c>
      <c r="B729" s="138">
        <f>'Expenditures 15-22'!C45</f>
        <v>22060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34321</v>
      </c>
      <c r="C731" s="2" t="s">
        <v>594</v>
      </c>
      <c r="D731" s="2" t="str">
        <f t="shared" si="10"/>
        <v>Error?</v>
      </c>
    </row>
    <row r="732" spans="1:4" x14ac:dyDescent="0.2">
      <c r="A732" s="5">
        <v>671</v>
      </c>
      <c r="B732" s="138">
        <f>'Expenditures 15-22'!C49</f>
        <v>1650</v>
      </c>
      <c r="D732" s="2" t="str">
        <f t="shared" si="10"/>
        <v>Error?</v>
      </c>
    </row>
    <row r="733" spans="1:4" x14ac:dyDescent="0.2">
      <c r="A733" s="5">
        <v>672</v>
      </c>
      <c r="B733" s="138">
        <f>'Expenditures 15-22'!C50</f>
        <v>218831</v>
      </c>
      <c r="D733" s="2" t="str">
        <f t="shared" si="10"/>
        <v>Error?</v>
      </c>
    </row>
    <row r="734" spans="1:4" x14ac:dyDescent="0.2">
      <c r="A734" s="5">
        <v>673</v>
      </c>
      <c r="B734" s="138">
        <f>'Expenditures 15-22'!C53</f>
        <v>220481</v>
      </c>
      <c r="C734" s="2" t="s">
        <v>594</v>
      </c>
      <c r="D734" s="2" t="str">
        <f t="shared" si="10"/>
        <v>Error?</v>
      </c>
    </row>
    <row r="735" spans="1:4" x14ac:dyDescent="0.2">
      <c r="A735" s="5">
        <v>674</v>
      </c>
      <c r="B735" s="138">
        <f>'Expenditures 15-22'!C55</f>
        <v>238354</v>
      </c>
      <c r="D735" s="2" t="str">
        <f t="shared" si="10"/>
        <v>Error?</v>
      </c>
    </row>
    <row r="736" spans="1:4" x14ac:dyDescent="0.2">
      <c r="A736" s="5">
        <v>675</v>
      </c>
      <c r="B736" s="138">
        <f>'Expenditures 15-22'!C56</f>
        <v>0</v>
      </c>
      <c r="D736" s="2" t="str">
        <f t="shared" si="10"/>
        <v>Error?</v>
      </c>
    </row>
    <row r="737" spans="1:4" x14ac:dyDescent="0.2">
      <c r="A737" s="5">
        <v>676</v>
      </c>
      <c r="B737" s="138">
        <f>'Expenditures 15-22'!C57</f>
        <v>238354</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95111</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35366</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130477</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901161</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4751936</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347260</v>
      </c>
      <c r="D763" s="2" t="str">
        <f t="shared" si="10"/>
        <v>Error?</v>
      </c>
    </row>
    <row r="764" spans="1:4" x14ac:dyDescent="0.2">
      <c r="A764" s="5">
        <v>703</v>
      </c>
      <c r="B764" s="138">
        <f>'Expenditures 15-22'!D16</f>
        <v>9904</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37418</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271</v>
      </c>
      <c r="D776" s="2" t="str">
        <f t="shared" si="11"/>
        <v>Error?</v>
      </c>
    </row>
    <row r="777" spans="1:4" x14ac:dyDescent="0.2">
      <c r="A777" s="5">
        <v>716</v>
      </c>
      <c r="B777" s="138">
        <f>'Expenditures 15-22'!D15</f>
        <v>104</v>
      </c>
      <c r="D777" s="2" t="str">
        <f t="shared" si="11"/>
        <v>Error?</v>
      </c>
    </row>
    <row r="778" spans="1:4" x14ac:dyDescent="0.2">
      <c r="A778" s="5">
        <v>717</v>
      </c>
      <c r="B778" s="138">
        <f>'Expenditures 15-22'!D33</f>
        <v>504228</v>
      </c>
      <c r="C778" s="2" t="s">
        <v>594</v>
      </c>
      <c r="D778" s="2" t="str">
        <f t="shared" si="11"/>
        <v>Error?</v>
      </c>
    </row>
    <row r="779" spans="1:4" x14ac:dyDescent="0.2">
      <c r="A779" s="5">
        <v>718</v>
      </c>
      <c r="B779" s="138">
        <f>'Expenditures 15-22'!D36</f>
        <v>9457</v>
      </c>
      <c r="D779" s="2" t="str">
        <f t="shared" si="11"/>
        <v>Error?</v>
      </c>
    </row>
    <row r="780" spans="1:4" x14ac:dyDescent="0.2">
      <c r="A780" s="5">
        <v>719</v>
      </c>
      <c r="B780" s="138">
        <f>'Expenditures 15-22'!D37</f>
        <v>0</v>
      </c>
      <c r="D780" s="2" t="str">
        <f t="shared" si="11"/>
        <v>Error?</v>
      </c>
    </row>
    <row r="781" spans="1:4" x14ac:dyDescent="0.2">
      <c r="A781" s="5">
        <v>720</v>
      </c>
      <c r="B781" s="138">
        <f>'Expenditures 15-22'!D38</f>
        <v>6836</v>
      </c>
      <c r="D781" s="2" t="str">
        <f t="shared" si="11"/>
        <v>Error?</v>
      </c>
    </row>
    <row r="782" spans="1:4" x14ac:dyDescent="0.2">
      <c r="A782" s="5">
        <v>721</v>
      </c>
      <c r="B782" s="138">
        <f>'Expenditures 15-22'!D39</f>
        <v>0</v>
      </c>
      <c r="D782" s="2" t="str">
        <f t="shared" si="11"/>
        <v>Error?</v>
      </c>
    </row>
    <row r="783" spans="1:4" x14ac:dyDescent="0.2">
      <c r="A783" s="5">
        <v>722</v>
      </c>
      <c r="B783" s="138">
        <f>'Expenditures 15-22'!D40</f>
        <v>9559</v>
      </c>
      <c r="D783" s="2" t="str">
        <f t="shared" si="11"/>
        <v>Error?</v>
      </c>
    </row>
    <row r="784" spans="1:4" x14ac:dyDescent="0.2">
      <c r="A784" s="5">
        <v>723</v>
      </c>
      <c r="B784" s="138">
        <f>'Expenditures 15-22'!D41</f>
        <v>1821</v>
      </c>
      <c r="D784" s="2" t="str">
        <f t="shared" si="11"/>
        <v>Error?</v>
      </c>
    </row>
    <row r="785" spans="1:4" x14ac:dyDescent="0.2">
      <c r="A785" s="5">
        <v>724</v>
      </c>
      <c r="B785" s="138">
        <f>'Expenditures 15-22'!D42</f>
        <v>27673</v>
      </c>
      <c r="C785" s="2" t="s">
        <v>594</v>
      </c>
      <c r="D785" s="2" t="str">
        <f t="shared" si="11"/>
        <v>Error?</v>
      </c>
    </row>
    <row r="786" spans="1:4" x14ac:dyDescent="0.2">
      <c r="A786" s="5">
        <v>725</v>
      </c>
      <c r="B786" s="138">
        <f>'Expenditures 15-22'!D44</f>
        <v>416</v>
      </c>
      <c r="D786" s="2" t="str">
        <f t="shared" si="11"/>
        <v>Error?</v>
      </c>
    </row>
    <row r="787" spans="1:4" x14ac:dyDescent="0.2">
      <c r="A787" s="5">
        <v>726</v>
      </c>
      <c r="B787" s="138">
        <f>'Expenditures 15-22'!D45</f>
        <v>4804</v>
      </c>
      <c r="D787" s="2" t="str">
        <f t="shared" si="11"/>
        <v>Error?</v>
      </c>
    </row>
    <row r="788" spans="1:4" x14ac:dyDescent="0.2">
      <c r="A788" s="5">
        <v>727</v>
      </c>
      <c r="B788" s="138">
        <f>'Expenditures 15-22'!D46</f>
        <v>0</v>
      </c>
      <c r="D788" s="2" t="str">
        <f t="shared" si="11"/>
        <v>Error?</v>
      </c>
    </row>
    <row r="789" spans="1:4" x14ac:dyDescent="0.2">
      <c r="A789" s="5">
        <v>728</v>
      </c>
      <c r="B789" s="138">
        <f>'Expenditures 15-22'!D47</f>
        <v>5220</v>
      </c>
      <c r="C789" s="2" t="s">
        <v>594</v>
      </c>
      <c r="D789" s="2" t="str">
        <f t="shared" si="11"/>
        <v>Error?</v>
      </c>
    </row>
    <row r="790" spans="1:4" x14ac:dyDescent="0.2">
      <c r="A790" s="5">
        <v>729</v>
      </c>
      <c r="B790" s="138">
        <f>'Expenditures 15-22'!D49</f>
        <v>117</v>
      </c>
      <c r="D790" s="2" t="str">
        <f t="shared" si="11"/>
        <v>Error?</v>
      </c>
    </row>
    <row r="791" spans="1:4" x14ac:dyDescent="0.2">
      <c r="A791" s="5">
        <v>730</v>
      </c>
      <c r="B791" s="138">
        <f>'Expenditures 15-22'!D50</f>
        <v>52482</v>
      </c>
      <c r="D791" s="2" t="str">
        <f t="shared" si="11"/>
        <v>Error?</v>
      </c>
    </row>
    <row r="792" spans="1:4" x14ac:dyDescent="0.2">
      <c r="A792" s="5">
        <v>731</v>
      </c>
      <c r="B792" s="138">
        <f>'Expenditures 15-22'!D53</f>
        <v>52599</v>
      </c>
      <c r="C792" s="2" t="s">
        <v>594</v>
      </c>
      <c r="D792" s="2" t="str">
        <f t="shared" si="11"/>
        <v>Error?</v>
      </c>
    </row>
    <row r="793" spans="1:4" x14ac:dyDescent="0.2">
      <c r="A793" s="5">
        <v>732</v>
      </c>
      <c r="B793" s="138">
        <f>'Expenditures 15-22'!D55</f>
        <v>40484</v>
      </c>
      <c r="D793" s="2" t="str">
        <f t="shared" si="11"/>
        <v>Error?</v>
      </c>
    </row>
    <row r="794" spans="1:4" x14ac:dyDescent="0.2">
      <c r="A794" s="5">
        <v>733</v>
      </c>
      <c r="B794" s="138">
        <f>'Expenditures 15-22'!D56</f>
        <v>0</v>
      </c>
      <c r="D794" s="2" t="str">
        <f t="shared" si="11"/>
        <v>Error?</v>
      </c>
    </row>
    <row r="795" spans="1:4" x14ac:dyDescent="0.2">
      <c r="A795" s="5">
        <v>734</v>
      </c>
      <c r="B795" s="138">
        <f>'Expenditures 15-22'!D57</f>
        <v>40484</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10027</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532</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10559</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136535</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640763</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7100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15279</v>
      </c>
      <c r="D834" s="2" t="str">
        <f t="shared" si="12"/>
        <v>Error?</v>
      </c>
    </row>
    <row r="835" spans="1:4" x14ac:dyDescent="0.2">
      <c r="A835" s="5">
        <v>774</v>
      </c>
      <c r="B835" s="138">
        <f>'Expenditures 15-22'!E15</f>
        <v>0</v>
      </c>
      <c r="D835" s="2" t="str">
        <f t="shared" si="12"/>
        <v>Error?</v>
      </c>
    </row>
    <row r="836" spans="1:4" x14ac:dyDescent="0.2">
      <c r="A836" s="5">
        <v>775</v>
      </c>
      <c r="B836" s="138">
        <f>'Expenditures 15-22'!E33</f>
        <v>34963</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14105</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14105</v>
      </c>
      <c r="C843" s="2" t="s">
        <v>594</v>
      </c>
      <c r="D843" s="2" t="str">
        <f t="shared" si="12"/>
        <v>Error?</v>
      </c>
    </row>
    <row r="844" spans="1:4" x14ac:dyDescent="0.2">
      <c r="A844" s="5">
        <v>783</v>
      </c>
      <c r="B844" s="138">
        <f>'Expenditures 15-22'!E44</f>
        <v>31057</v>
      </c>
      <c r="D844" s="2" t="str">
        <f t="shared" si="12"/>
        <v>Error?</v>
      </c>
    </row>
    <row r="845" spans="1:4" x14ac:dyDescent="0.2">
      <c r="A845" s="5">
        <v>784</v>
      </c>
      <c r="B845" s="138">
        <f>'Expenditures 15-22'!E45</f>
        <v>9487</v>
      </c>
      <c r="D845" s="2" t="str">
        <f t="shared" si="12"/>
        <v>Error?</v>
      </c>
    </row>
    <row r="846" spans="1:4" x14ac:dyDescent="0.2">
      <c r="A846" s="5">
        <v>785</v>
      </c>
      <c r="B846" s="138">
        <f>'Expenditures 15-22'!E46</f>
        <v>0</v>
      </c>
      <c r="D846" s="2" t="str">
        <f t="shared" si="12"/>
        <v>Error?</v>
      </c>
    </row>
    <row r="847" spans="1:4" x14ac:dyDescent="0.2">
      <c r="A847" s="5">
        <v>786</v>
      </c>
      <c r="B847" s="138">
        <f>'Expenditures 15-22'!E47</f>
        <v>40544</v>
      </c>
      <c r="C847" s="2" t="s">
        <v>594</v>
      </c>
      <c r="D847" s="2" t="str">
        <f t="shared" si="12"/>
        <v>Error?</v>
      </c>
    </row>
    <row r="848" spans="1:4" x14ac:dyDescent="0.2">
      <c r="A848" s="5">
        <v>787</v>
      </c>
      <c r="B848" s="138">
        <f>'Expenditures 15-22'!E49</f>
        <v>16026</v>
      </c>
      <c r="D848" s="2" t="str">
        <f t="shared" si="12"/>
        <v>Error?</v>
      </c>
    </row>
    <row r="849" spans="1:4" x14ac:dyDescent="0.2">
      <c r="A849" s="5">
        <v>788</v>
      </c>
      <c r="B849" s="138">
        <f>'Expenditures 15-22'!E50</f>
        <v>1822</v>
      </c>
      <c r="D849" s="2" t="str">
        <f t="shared" si="12"/>
        <v>Error?</v>
      </c>
    </row>
    <row r="850" spans="1:4" x14ac:dyDescent="0.2">
      <c r="A850" s="5">
        <v>789</v>
      </c>
      <c r="B850" s="138">
        <f>'Expenditures 15-22'!E53</f>
        <v>17848</v>
      </c>
      <c r="C850" s="2" t="s">
        <v>594</v>
      </c>
      <c r="D850" s="2" t="str">
        <f t="shared" si="12"/>
        <v>Error?</v>
      </c>
    </row>
    <row r="851" spans="1:4" x14ac:dyDescent="0.2">
      <c r="A851" s="5">
        <v>790</v>
      </c>
      <c r="B851" s="138">
        <f>'Expenditures 15-22'!E55</f>
        <v>14375</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14375</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100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146193</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146293</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18210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19807</v>
      </c>
      <c r="D867" s="2" t="str">
        <f t="shared" si="12"/>
        <v>Error?</v>
      </c>
    </row>
    <row r="868" spans="1:4" x14ac:dyDescent="0.2">
      <c r="A868" s="10">
        <v>807</v>
      </c>
      <c r="D868" s="2" t="str">
        <f t="shared" si="12"/>
        <v>OK</v>
      </c>
    </row>
    <row r="869" spans="1:4" x14ac:dyDescent="0.2">
      <c r="A869" s="5">
        <v>808</v>
      </c>
      <c r="B869" s="138">
        <f>'Expenditures 15-22'!E72</f>
        <v>38017</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271182</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456070</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118341</v>
      </c>
      <c r="D879" s="2" t="str">
        <f t="shared" si="12"/>
        <v>Error?</v>
      </c>
    </row>
    <row r="880" spans="1:4" x14ac:dyDescent="0.2">
      <c r="A880" s="5">
        <v>819</v>
      </c>
      <c r="B880" s="138">
        <f>'Expenditures 15-22'!F16</f>
        <v>903</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2160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13595</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159511</v>
      </c>
      <c r="C894" s="2" t="s">
        <v>594</v>
      </c>
      <c r="D894" s="2" t="str">
        <f t="shared" si="12"/>
        <v>Error?</v>
      </c>
    </row>
    <row r="895" spans="1:4" x14ac:dyDescent="0.2">
      <c r="A895" s="5">
        <v>834</v>
      </c>
      <c r="B895" s="138">
        <f>'Expenditures 15-22'!F36</f>
        <v>139</v>
      </c>
      <c r="D895" s="2" t="str">
        <f t="shared" ref="D895:D958" si="13">IF(ISBLANK(B895),"OK",IF(A895-B895=0,"OK","Error?"))</f>
        <v>Error?</v>
      </c>
    </row>
    <row r="896" spans="1:4" x14ac:dyDescent="0.2">
      <c r="A896" s="5">
        <v>835</v>
      </c>
      <c r="B896" s="138">
        <f>'Expenditures 15-22'!F37</f>
        <v>6858</v>
      </c>
      <c r="D896" s="2" t="str">
        <f t="shared" si="13"/>
        <v>Error?</v>
      </c>
    </row>
    <row r="897" spans="1:4" x14ac:dyDescent="0.2">
      <c r="A897" s="5">
        <v>836</v>
      </c>
      <c r="B897" s="138">
        <f>'Expenditures 15-22'!F38</f>
        <v>1879</v>
      </c>
      <c r="D897" s="2" t="str">
        <f t="shared" si="13"/>
        <v>Error?</v>
      </c>
    </row>
    <row r="898" spans="1:4" x14ac:dyDescent="0.2">
      <c r="A898" s="5">
        <v>837</v>
      </c>
      <c r="B898" s="138">
        <f>'Expenditures 15-22'!F39</f>
        <v>0</v>
      </c>
      <c r="D898" s="2" t="str">
        <f t="shared" si="13"/>
        <v>Error?</v>
      </c>
    </row>
    <row r="899" spans="1:4" x14ac:dyDescent="0.2">
      <c r="A899" s="5">
        <v>838</v>
      </c>
      <c r="B899" s="138">
        <f>'Expenditures 15-22'!F40</f>
        <v>719</v>
      </c>
      <c r="D899" s="2" t="str">
        <f t="shared" si="13"/>
        <v>Error?</v>
      </c>
    </row>
    <row r="900" spans="1:4" x14ac:dyDescent="0.2">
      <c r="A900" s="5">
        <v>839</v>
      </c>
      <c r="B900" s="138">
        <f>'Expenditures 15-22'!F41</f>
        <v>0</v>
      </c>
      <c r="D900" s="2" t="str">
        <f t="shared" si="13"/>
        <v>Error?</v>
      </c>
    </row>
    <row r="901" spans="1:4" x14ac:dyDescent="0.2">
      <c r="A901" s="5">
        <v>840</v>
      </c>
      <c r="B901" s="138">
        <f>'Expenditures 15-22'!F42</f>
        <v>9595</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0</v>
      </c>
      <c r="C905" s="2" t="s">
        <v>594</v>
      </c>
      <c r="D905" s="2" t="str">
        <f t="shared" si="13"/>
        <v>Error?</v>
      </c>
    </row>
    <row r="906" spans="1:4" x14ac:dyDescent="0.2">
      <c r="A906" s="5">
        <v>845</v>
      </c>
      <c r="B906" s="138">
        <f>'Expenditures 15-22'!F49</f>
        <v>0</v>
      </c>
      <c r="D906" s="2" t="str">
        <f t="shared" si="13"/>
        <v>Error?</v>
      </c>
    </row>
    <row r="907" spans="1:4" x14ac:dyDescent="0.2">
      <c r="A907" s="5">
        <v>846</v>
      </c>
      <c r="B907" s="138">
        <f>'Expenditures 15-22'!F50</f>
        <v>28310</v>
      </c>
      <c r="D907" s="2" t="str">
        <f t="shared" si="13"/>
        <v>Error?</v>
      </c>
    </row>
    <row r="908" spans="1:4" x14ac:dyDescent="0.2">
      <c r="A908" s="5">
        <v>847</v>
      </c>
      <c r="B908" s="138">
        <f>'Expenditures 15-22'!F53</f>
        <v>28310</v>
      </c>
      <c r="C908" s="2" t="s">
        <v>594</v>
      </c>
      <c r="D908" s="2" t="str">
        <f t="shared" si="13"/>
        <v>Error?</v>
      </c>
    </row>
    <row r="909" spans="1:4" x14ac:dyDescent="0.2">
      <c r="A909" s="5">
        <v>848</v>
      </c>
      <c r="B909" s="138">
        <f>'Expenditures 15-22'!F55</f>
        <v>2087</v>
      </c>
      <c r="D909" s="2" t="str">
        <f t="shared" si="13"/>
        <v>Error?</v>
      </c>
    </row>
    <row r="910" spans="1:4" x14ac:dyDescent="0.2">
      <c r="A910" s="5">
        <v>849</v>
      </c>
      <c r="B910" s="138">
        <f>'Expenditures 15-22'!F56</f>
        <v>0</v>
      </c>
      <c r="D910" s="2" t="str">
        <f t="shared" si="13"/>
        <v>Error?</v>
      </c>
    </row>
    <row r="911" spans="1:4" x14ac:dyDescent="0.2">
      <c r="A911" s="5">
        <v>850</v>
      </c>
      <c r="B911" s="138">
        <f>'Expenditures 15-22'!F57</f>
        <v>2087</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1414</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1414</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8063</v>
      </c>
      <c r="D925" s="2" t="str">
        <f t="shared" si="13"/>
        <v>Error?</v>
      </c>
    </row>
    <row r="926" spans="1:4" x14ac:dyDescent="0.2">
      <c r="A926" s="10">
        <v>865</v>
      </c>
      <c r="D926" s="2" t="str">
        <f t="shared" si="13"/>
        <v>OK</v>
      </c>
    </row>
    <row r="927" spans="1:4" x14ac:dyDescent="0.2">
      <c r="A927" s="5">
        <v>866</v>
      </c>
      <c r="B927" s="138">
        <f>'Expenditures 15-22'!F72</f>
        <v>8063</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49469</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208980</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0</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117592</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117592</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3358301</v>
      </c>
      <c r="C1093" s="2" t="s">
        <v>594</v>
      </c>
      <c r="D1093" s="2" t="str">
        <f t="shared" si="16"/>
        <v>Error?</v>
      </c>
    </row>
    <row r="1094" spans="1:4" x14ac:dyDescent="0.2">
      <c r="A1094" s="5">
        <v>1033</v>
      </c>
      <c r="B1094" s="138">
        <f>'Expenditures 15-22'!K16</f>
        <v>97505</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256580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0</v>
      </c>
      <c r="C1105" s="2" t="s">
        <v>594</v>
      </c>
      <c r="D1105" s="2" t="str">
        <f t="shared" si="16"/>
        <v>Error?</v>
      </c>
    </row>
    <row r="1106" spans="1:4" x14ac:dyDescent="0.2">
      <c r="A1106" s="5">
        <v>1045</v>
      </c>
      <c r="B1106" s="138">
        <f>'Expenditures 15-22'!K14</f>
        <v>47712</v>
      </c>
      <c r="C1106" s="2" t="s">
        <v>594</v>
      </c>
      <c r="D1106" s="2" t="str">
        <f t="shared" si="16"/>
        <v>Error?</v>
      </c>
    </row>
    <row r="1107" spans="1:4" x14ac:dyDescent="0.2">
      <c r="A1107" s="5">
        <v>1046</v>
      </c>
      <c r="B1107" s="138">
        <f>'Expenditures 15-22'!K15</f>
        <v>7680</v>
      </c>
      <c r="C1107" s="2" t="s">
        <v>594</v>
      </c>
      <c r="D1107" s="2" t="str">
        <f t="shared" si="16"/>
        <v>Error?</v>
      </c>
    </row>
    <row r="1108" spans="1:4" x14ac:dyDescent="0.2">
      <c r="A1108" s="5">
        <v>1047</v>
      </c>
      <c r="B1108" s="138">
        <f>'Expenditures 15-22'!K33</f>
        <v>4627274</v>
      </c>
      <c r="C1108" s="2" t="s">
        <v>594</v>
      </c>
      <c r="D1108" s="2" t="str">
        <f t="shared" si="16"/>
        <v>Error?</v>
      </c>
    </row>
    <row r="1109" spans="1:4" x14ac:dyDescent="0.2">
      <c r="A1109" s="5">
        <v>1048</v>
      </c>
      <c r="B1109" s="138">
        <f>'Expenditures 15-22'!K36</f>
        <v>70912</v>
      </c>
      <c r="C1109" s="2" t="s">
        <v>594</v>
      </c>
      <c r="D1109" s="2" t="str">
        <f t="shared" si="16"/>
        <v>Error?</v>
      </c>
    </row>
    <row r="1110" spans="1:4" x14ac:dyDescent="0.2">
      <c r="A1110" s="5">
        <v>1049</v>
      </c>
      <c r="B1110" s="138">
        <f>'Expenditures 15-22'!K37</f>
        <v>6858</v>
      </c>
      <c r="C1110" s="2" t="s">
        <v>594</v>
      </c>
      <c r="D1110" s="2" t="str">
        <f t="shared" si="16"/>
        <v>Error?</v>
      </c>
    </row>
    <row r="1111" spans="1:4" x14ac:dyDescent="0.2">
      <c r="A1111" s="5">
        <v>1050</v>
      </c>
      <c r="B1111" s="138">
        <f>'Expenditures 15-22'!K38</f>
        <v>57783</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87489</v>
      </c>
      <c r="C1113" s="2" t="s">
        <v>594</v>
      </c>
      <c r="D1113" s="2" t="str">
        <f t="shared" si="16"/>
        <v>Error?</v>
      </c>
    </row>
    <row r="1114" spans="1:4" x14ac:dyDescent="0.2">
      <c r="A1114" s="5">
        <v>1053</v>
      </c>
      <c r="B1114" s="138">
        <f>'Expenditures 15-22'!K41</f>
        <v>105859</v>
      </c>
      <c r="C1114" s="2" t="s">
        <v>594</v>
      </c>
      <c r="D1114" s="2" t="str">
        <f t="shared" si="16"/>
        <v>Error?</v>
      </c>
    </row>
    <row r="1115" spans="1:4" x14ac:dyDescent="0.2">
      <c r="A1115" s="5">
        <v>1054</v>
      </c>
      <c r="B1115" s="138">
        <f>'Expenditures 15-22'!K42</f>
        <v>328901</v>
      </c>
      <c r="C1115" s="2" t="s">
        <v>594</v>
      </c>
      <c r="D1115" s="2" t="str">
        <f t="shared" si="16"/>
        <v>Error?</v>
      </c>
    </row>
    <row r="1116" spans="1:4" x14ac:dyDescent="0.2">
      <c r="A1116" s="5">
        <v>1055</v>
      </c>
      <c r="B1116" s="138">
        <f>'Expenditures 15-22'!K44</f>
        <v>43734</v>
      </c>
      <c r="C1116" s="2" t="s">
        <v>594</v>
      </c>
      <c r="D1116" s="2" t="str">
        <f t="shared" si="16"/>
        <v>Error?</v>
      </c>
    </row>
    <row r="1117" spans="1:4" x14ac:dyDescent="0.2">
      <c r="A1117" s="5">
        <v>1056</v>
      </c>
      <c r="B1117" s="138">
        <f>'Expenditures 15-22'!K45</f>
        <v>36351</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80085</v>
      </c>
      <c r="C1119" s="2" t="s">
        <v>594</v>
      </c>
      <c r="D1119" s="2" t="str">
        <f t="shared" si="16"/>
        <v>Error?</v>
      </c>
    </row>
    <row r="1120" spans="1:4" x14ac:dyDescent="0.2">
      <c r="A1120" s="5">
        <v>1059</v>
      </c>
      <c r="B1120" s="138">
        <f>'Expenditures 15-22'!K49</f>
        <v>17793</v>
      </c>
      <c r="C1120" s="2" t="s">
        <v>594</v>
      </c>
      <c r="D1120" s="2" t="str">
        <f t="shared" si="16"/>
        <v>Error?</v>
      </c>
    </row>
    <row r="1121" spans="1:4" x14ac:dyDescent="0.2">
      <c r="A1121" s="5">
        <v>1060</v>
      </c>
      <c r="B1121" s="138">
        <f>'Expenditures 15-22'!K50</f>
        <v>301445</v>
      </c>
      <c r="C1121" s="2" t="s">
        <v>594</v>
      </c>
      <c r="D1121" s="2" t="str">
        <f t="shared" si="16"/>
        <v>Error?</v>
      </c>
    </row>
    <row r="1122" spans="1:4" x14ac:dyDescent="0.2">
      <c r="A1122" s="5">
        <v>1061</v>
      </c>
      <c r="B1122" s="138">
        <f>'Expenditures 15-22'!K53</f>
        <v>319238</v>
      </c>
      <c r="C1122" s="2" t="s">
        <v>594</v>
      </c>
      <c r="D1122" s="2" t="str">
        <f t="shared" si="16"/>
        <v>Error?</v>
      </c>
    </row>
    <row r="1123" spans="1:4" x14ac:dyDescent="0.2">
      <c r="A1123" s="5">
        <v>1062</v>
      </c>
      <c r="B1123" s="138">
        <f>'Expenditures 15-22'!K55</f>
        <v>295300</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295300</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106652</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182091</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288743</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18210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27870</v>
      </c>
      <c r="C1139" s="2" t="s">
        <v>594</v>
      </c>
      <c r="D1139" s="2" t="str">
        <f t="shared" si="16"/>
        <v>Error?</v>
      </c>
    </row>
    <row r="1140" spans="1:4" x14ac:dyDescent="0.2">
      <c r="A1140" s="10">
        <v>1079</v>
      </c>
      <c r="D1140" s="2" t="str">
        <f t="shared" si="16"/>
        <v>OK</v>
      </c>
    </row>
    <row r="1141" spans="1:4" x14ac:dyDescent="0.2">
      <c r="A1141" s="5">
        <v>1080</v>
      </c>
      <c r="B1141" s="138">
        <f>'Expenditures 15-22'!K72</f>
        <v>46080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1358347</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267517</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6253138</v>
      </c>
      <c r="C1152" s="2" t="s">
        <v>594</v>
      </c>
      <c r="D1152" s="2" t="str">
        <f t="shared" si="17"/>
        <v>Error?</v>
      </c>
    </row>
    <row r="1153" spans="1:4" x14ac:dyDescent="0.2">
      <c r="A1153" s="5">
        <v>1092</v>
      </c>
      <c r="B1153" s="138">
        <f>'Expenditures 15-22'!K115</f>
        <v>222853</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371745</v>
      </c>
      <c r="D1221" s="2" t="str">
        <f t="shared" si="18"/>
        <v>Error?</v>
      </c>
    </row>
    <row r="1222" spans="1:4" x14ac:dyDescent="0.2">
      <c r="A1222" s="10">
        <v>1161</v>
      </c>
      <c r="D1222" s="2" t="str">
        <f t="shared" si="18"/>
        <v>OK</v>
      </c>
    </row>
    <row r="1223" spans="1:4" x14ac:dyDescent="0.2">
      <c r="A1223" s="5">
        <v>1162</v>
      </c>
      <c r="B1223" s="138">
        <f>'Expenditures 15-22'!C127</f>
        <v>371745</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371745</v>
      </c>
      <c r="C1225" s="2" t="s">
        <v>594</v>
      </c>
      <c r="D1225" s="2" t="str">
        <f t="shared" si="18"/>
        <v>Error?</v>
      </c>
    </row>
    <row r="1226" spans="1:4" x14ac:dyDescent="0.2">
      <c r="A1226" s="5">
        <v>1165</v>
      </c>
      <c r="B1226" s="138">
        <f>'Expenditures 15-22'!C151</f>
        <v>371745</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58147</v>
      </c>
      <c r="D1229" s="2" t="str">
        <f t="shared" si="18"/>
        <v>Error?</v>
      </c>
    </row>
    <row r="1230" spans="1:4" x14ac:dyDescent="0.2">
      <c r="A1230" s="10">
        <v>1169</v>
      </c>
      <c r="D1230" s="2" t="str">
        <f t="shared" si="18"/>
        <v>OK</v>
      </c>
    </row>
    <row r="1231" spans="1:4" x14ac:dyDescent="0.2">
      <c r="A1231" s="5">
        <v>1170</v>
      </c>
      <c r="B1231" s="138">
        <f>'Expenditures 15-22'!D127</f>
        <v>58147</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58147</v>
      </c>
      <c r="C1233" s="2" t="s">
        <v>594</v>
      </c>
      <c r="D1233" s="2" t="str">
        <f t="shared" si="18"/>
        <v>Error?</v>
      </c>
    </row>
    <row r="1234" spans="1:4" x14ac:dyDescent="0.2">
      <c r="A1234" s="5">
        <v>1173</v>
      </c>
      <c r="B1234" s="138">
        <f>'Expenditures 15-22'!D151</f>
        <v>58147</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93747</v>
      </c>
      <c r="D1237" s="2" t="str">
        <f t="shared" si="18"/>
        <v>Error?</v>
      </c>
    </row>
    <row r="1238" spans="1:4" x14ac:dyDescent="0.2">
      <c r="A1238" s="10">
        <v>1177</v>
      </c>
      <c r="D1238" s="2" t="str">
        <f t="shared" si="18"/>
        <v>OK</v>
      </c>
    </row>
    <row r="1239" spans="1:4" x14ac:dyDescent="0.2">
      <c r="A1239" s="5">
        <v>1178</v>
      </c>
      <c r="B1239" s="138">
        <f>'Expenditures 15-22'!E127</f>
        <v>93747</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93747</v>
      </c>
      <c r="C1241" s="2" t="s">
        <v>594</v>
      </c>
      <c r="D1241" s="2" t="str">
        <f t="shared" si="18"/>
        <v>Error?</v>
      </c>
    </row>
    <row r="1242" spans="1:4" x14ac:dyDescent="0.2">
      <c r="A1242" s="5">
        <v>1181</v>
      </c>
      <c r="B1242" s="138">
        <f>'Expenditures 15-22'!E151</f>
        <v>93747</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98070</v>
      </c>
      <c r="D1245" s="2" t="str">
        <f t="shared" si="18"/>
        <v>Error?</v>
      </c>
    </row>
    <row r="1246" spans="1:4" x14ac:dyDescent="0.2">
      <c r="A1246" s="10">
        <v>1185</v>
      </c>
      <c r="D1246" s="2" t="str">
        <f t="shared" si="18"/>
        <v>OK</v>
      </c>
    </row>
    <row r="1247" spans="1:4" x14ac:dyDescent="0.2">
      <c r="A1247" s="5">
        <v>1186</v>
      </c>
      <c r="B1247" s="138">
        <f>'Expenditures 15-22'!F127</f>
        <v>98070</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98070</v>
      </c>
      <c r="C1249" s="2" t="s">
        <v>594</v>
      </c>
      <c r="D1249" s="2" t="str">
        <f t="shared" si="18"/>
        <v>Error?</v>
      </c>
    </row>
    <row r="1250" spans="1:4" x14ac:dyDescent="0.2">
      <c r="A1250" s="5">
        <v>1189</v>
      </c>
      <c r="B1250" s="138">
        <f>'Expenditures 15-22'!F151</f>
        <v>98070</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66562</v>
      </c>
      <c r="D1252" s="2" t="str">
        <f t="shared" si="18"/>
        <v>Error?</v>
      </c>
    </row>
    <row r="1253" spans="1:4" x14ac:dyDescent="0.2">
      <c r="A1253" s="5">
        <v>1192</v>
      </c>
      <c r="B1253" s="138">
        <f>'Expenditures 15-22'!G124</f>
        <v>32002</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98564</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98564</v>
      </c>
      <c r="C1258" s="2" t="s">
        <v>594</v>
      </c>
      <c r="D1258" s="2" t="str">
        <f t="shared" si="18"/>
        <v>Error?</v>
      </c>
    </row>
    <row r="1259" spans="1:4" x14ac:dyDescent="0.2">
      <c r="A1259" s="5">
        <v>1198</v>
      </c>
      <c r="B1259" s="138">
        <f>'Expenditures 15-22'!G151</f>
        <v>98564</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71794</v>
      </c>
      <c r="C1275" s="2" t="s">
        <v>594</v>
      </c>
      <c r="D1275" s="2" t="str">
        <f t="shared" si="18"/>
        <v>Error?</v>
      </c>
    </row>
    <row r="1276" spans="1:4" x14ac:dyDescent="0.2">
      <c r="A1276" s="5">
        <v>1215</v>
      </c>
      <c r="B1276" s="138">
        <f>'Expenditures 15-22'!K124</f>
        <v>669578</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741372</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741372</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741372</v>
      </c>
      <c r="C1288" s="2" t="s">
        <v>594</v>
      </c>
      <c r="D1288" s="2" t="str">
        <f t="shared" si="19"/>
        <v>Error?</v>
      </c>
    </row>
    <row r="1289" spans="1:4" x14ac:dyDescent="0.2">
      <c r="A1289" s="5">
        <v>1228</v>
      </c>
      <c r="B1289" s="138">
        <f>'Expenditures 15-22'!K152</f>
        <v>-22473</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70545</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80000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150545</v>
      </c>
      <c r="C1317" s="2" t="s">
        <v>594</v>
      </c>
      <c r="D1317" s="2" t="str">
        <f t="shared" si="19"/>
        <v>Error?</v>
      </c>
    </row>
    <row r="1318" spans="1:4" x14ac:dyDescent="0.2">
      <c r="A1318" s="5">
        <v>1257</v>
      </c>
      <c r="B1318" s="138">
        <f>'Expenditures 15-22'!H174</f>
        <v>150545</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70545</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80000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150545</v>
      </c>
      <c r="C1331" s="2" t="s">
        <v>594</v>
      </c>
      <c r="D1331" s="2" t="str">
        <f t="shared" si="19"/>
        <v>Error?</v>
      </c>
    </row>
    <row r="1332" spans="1:4" x14ac:dyDescent="0.2">
      <c r="A1332" s="5">
        <v>1271</v>
      </c>
      <c r="B1332" s="138">
        <f>'Expenditures 15-22'!K174</f>
        <v>150545</v>
      </c>
      <c r="C1332" s="2" t="s">
        <v>594</v>
      </c>
      <c r="D1332" s="2" t="str">
        <f t="shared" si="19"/>
        <v>Error?</v>
      </c>
    </row>
    <row r="1333" spans="1:4" x14ac:dyDescent="0.2">
      <c r="A1333" s="5">
        <v>1272</v>
      </c>
      <c r="B1333" s="138">
        <f>'Expenditures 15-22'!K175</f>
        <v>4564</v>
      </c>
      <c r="C1333" s="2" t="s">
        <v>594</v>
      </c>
      <c r="D1333" s="2" t="str">
        <f t="shared" si="19"/>
        <v>Error?</v>
      </c>
    </row>
    <row r="1334" spans="1:4" x14ac:dyDescent="0.2">
      <c r="A1334" s="10">
        <v>1273</v>
      </c>
      <c r="D1334" s="2" t="str">
        <f t="shared" si="19"/>
        <v>OK</v>
      </c>
    </row>
    <row r="1335" spans="1:4" x14ac:dyDescent="0.2">
      <c r="A1335" s="5">
        <v>1274</v>
      </c>
      <c r="B1335" s="138">
        <f>'Expenditures 15-22'!C182</f>
        <v>39932</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39932</v>
      </c>
      <c r="C1339" s="2" t="s">
        <v>594</v>
      </c>
      <c r="D1339" s="2" t="str">
        <f t="shared" si="19"/>
        <v>Error?</v>
      </c>
    </row>
    <row r="1340" spans="1:4" x14ac:dyDescent="0.2">
      <c r="A1340" s="5">
        <v>1279</v>
      </c>
      <c r="B1340" s="138">
        <f>'Expenditures 15-22'!C210</f>
        <v>39932</v>
      </c>
      <c r="C1340" s="2" t="s">
        <v>594</v>
      </c>
      <c r="D1340" s="2" t="str">
        <f t="shared" si="19"/>
        <v>Error?</v>
      </c>
    </row>
    <row r="1341" spans="1:4" x14ac:dyDescent="0.2">
      <c r="A1341" s="5">
        <v>1280</v>
      </c>
      <c r="B1341" s="138">
        <f>'Expenditures 15-22'!D182</f>
        <v>4319</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4319</v>
      </c>
      <c r="C1345" s="2" t="s">
        <v>594</v>
      </c>
      <c r="D1345" s="2" t="str">
        <f t="shared" si="20"/>
        <v>Error?</v>
      </c>
    </row>
    <row r="1346" spans="1:4" x14ac:dyDescent="0.2">
      <c r="A1346" s="5">
        <v>1285</v>
      </c>
      <c r="B1346" s="138">
        <f>'Expenditures 15-22'!D210</f>
        <v>4319</v>
      </c>
      <c r="C1346" s="2" t="s">
        <v>594</v>
      </c>
      <c r="D1346" s="2" t="str">
        <f t="shared" si="20"/>
        <v>Error?</v>
      </c>
    </row>
    <row r="1347" spans="1:4" x14ac:dyDescent="0.2">
      <c r="A1347" s="5">
        <v>1286</v>
      </c>
      <c r="B1347" s="138">
        <f>'Expenditures 15-22'!E182</f>
        <v>77683</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77683</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77683</v>
      </c>
      <c r="C1353" s="2" t="s">
        <v>594</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594</v>
      </c>
      <c r="D1358" s="2" t="str">
        <f t="shared" si="20"/>
        <v>Error?</v>
      </c>
    </row>
    <row r="1359" spans="1:4" x14ac:dyDescent="0.2">
      <c r="A1359" s="5">
        <v>1298</v>
      </c>
      <c r="B1359" s="138">
        <f>'Expenditures 15-22'!F210</f>
        <v>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121934</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121934</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121934</v>
      </c>
      <c r="C1388" s="2" t="s">
        <v>594</v>
      </c>
      <c r="D1388" s="2" t="str">
        <f t="shared" si="20"/>
        <v>Error?</v>
      </c>
    </row>
    <row r="1389" spans="1:4" x14ac:dyDescent="0.2">
      <c r="A1389" s="5">
        <v>1328</v>
      </c>
      <c r="B1389" s="138">
        <f>'Expenditures 15-22'!K211</f>
        <v>-16789</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1199</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6485</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265</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194</v>
      </c>
      <c r="D1409" s="2" t="str">
        <f t="shared" si="21"/>
        <v>Error?</v>
      </c>
    </row>
    <row r="1410" spans="1:4" x14ac:dyDescent="0.2">
      <c r="A1410" s="5">
        <v>1349</v>
      </c>
      <c r="B1410" s="138">
        <f>'Expenditures 15-22'!D229</f>
        <v>110234</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11168</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880</v>
      </c>
      <c r="D1415" s="2" t="str">
        <f t="shared" si="21"/>
        <v>Error?</v>
      </c>
    </row>
    <row r="1416" spans="1:4" x14ac:dyDescent="0.2">
      <c r="A1416" s="5">
        <v>1355</v>
      </c>
      <c r="B1416" s="138">
        <f>'Expenditures 15-22'!D237</f>
        <v>2156</v>
      </c>
      <c r="D1416" s="2" t="str">
        <f t="shared" si="21"/>
        <v>Error?</v>
      </c>
    </row>
    <row r="1417" spans="1:4" x14ac:dyDescent="0.2">
      <c r="A1417" s="5">
        <v>1356</v>
      </c>
      <c r="B1417" s="138">
        <f>'Expenditures 15-22'!D238</f>
        <v>14204</v>
      </c>
      <c r="C1417" s="2" t="s">
        <v>594</v>
      </c>
      <c r="D1417" s="2" t="str">
        <f t="shared" si="21"/>
        <v>Error?</v>
      </c>
    </row>
    <row r="1418" spans="1:4" x14ac:dyDescent="0.2">
      <c r="A1418" s="5">
        <v>1357</v>
      </c>
      <c r="B1418" s="138">
        <f>'Expenditures 15-22'!D240</f>
        <v>930</v>
      </c>
      <c r="D1418" s="2" t="str">
        <f t="shared" si="21"/>
        <v>Error?</v>
      </c>
    </row>
    <row r="1419" spans="1:4" x14ac:dyDescent="0.2">
      <c r="A1419" s="5">
        <v>1358</v>
      </c>
      <c r="B1419" s="138">
        <f>'Expenditures 15-22'!D241</f>
        <v>4407</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5337</v>
      </c>
      <c r="C1421" s="2" t="s">
        <v>594</v>
      </c>
      <c r="D1421" s="2" t="str">
        <f t="shared" si="21"/>
        <v>Error?</v>
      </c>
    </row>
    <row r="1422" spans="1:4" x14ac:dyDescent="0.2">
      <c r="A1422" s="5">
        <v>1361</v>
      </c>
      <c r="B1422" s="138">
        <f>'Expenditures 15-22'!D245</f>
        <v>336</v>
      </c>
      <c r="D1422" s="2" t="str">
        <f t="shared" si="21"/>
        <v>Error?</v>
      </c>
    </row>
    <row r="1423" spans="1:4" x14ac:dyDescent="0.2">
      <c r="A1423" s="5">
        <v>1362</v>
      </c>
      <c r="B1423" s="138">
        <f>'Expenditures 15-22'!D246</f>
        <v>17612</v>
      </c>
      <c r="D1423" s="2" t="str">
        <f t="shared" si="21"/>
        <v>Error?</v>
      </c>
    </row>
    <row r="1424" spans="1:4" x14ac:dyDescent="0.2">
      <c r="A1424" s="5">
        <v>1363</v>
      </c>
      <c r="B1424" s="138">
        <f>'Expenditures 15-22'!D257</f>
        <v>17948</v>
      </c>
      <c r="C1424" s="2" t="s">
        <v>594</v>
      </c>
      <c r="D1424" s="2" t="str">
        <f t="shared" si="21"/>
        <v>Error?</v>
      </c>
    </row>
    <row r="1425" spans="1:4" x14ac:dyDescent="0.2">
      <c r="A1425" s="5">
        <v>1364</v>
      </c>
      <c r="B1425" s="138">
        <f>'Expenditures 15-22'!D259</f>
        <v>28383</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28383</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1307</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72485</v>
      </c>
      <c r="D1431" s="2" t="str">
        <f t="shared" si="21"/>
        <v>Error?</v>
      </c>
    </row>
    <row r="1432" spans="1:4" x14ac:dyDescent="0.2">
      <c r="A1432" s="5">
        <v>1371</v>
      </c>
      <c r="B1432" s="138">
        <f>'Expenditures 15-22'!D267</f>
        <v>8081</v>
      </c>
      <c r="D1432" s="2" t="str">
        <f t="shared" si="21"/>
        <v>Error?</v>
      </c>
    </row>
    <row r="1433" spans="1:4" x14ac:dyDescent="0.2">
      <c r="A1433" s="5">
        <v>1372</v>
      </c>
      <c r="B1433" s="138">
        <f>'Expenditures 15-22'!D268</f>
        <v>2758</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84631</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150503</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260737</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1199</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6485</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265</v>
      </c>
      <c r="C1471" s="2" t="s">
        <v>594</v>
      </c>
      <c r="D1471" s="2" t="str">
        <f t="shared" ref="D1471:D1534" si="22">IF(ISBLANK(B1471),"OK",IF(A1471-B1471=0,"OK","Error?"))</f>
        <v>Error?</v>
      </c>
    </row>
    <row r="1472" spans="1:4" x14ac:dyDescent="0.2">
      <c r="A1472" s="5">
        <v>1411</v>
      </c>
      <c r="B1472" s="138">
        <f>'Expenditures 15-22'!K223</f>
        <v>0</v>
      </c>
      <c r="C1472" s="2" t="s">
        <v>594</v>
      </c>
      <c r="D1472" s="2" t="str">
        <f t="shared" si="22"/>
        <v>Error?</v>
      </c>
    </row>
    <row r="1473" spans="1:4" x14ac:dyDescent="0.2">
      <c r="A1473" s="5">
        <v>1412</v>
      </c>
      <c r="B1473" s="138">
        <f>'Expenditures 15-22'!K224</f>
        <v>194</v>
      </c>
      <c r="C1473" s="2" t="s">
        <v>594</v>
      </c>
      <c r="D1473" s="2" t="str">
        <f t="shared" si="22"/>
        <v>Error?</v>
      </c>
    </row>
    <row r="1474" spans="1:4" x14ac:dyDescent="0.2">
      <c r="A1474" s="5">
        <v>1413</v>
      </c>
      <c r="B1474" s="138">
        <f>'Expenditures 15-22'!K229</f>
        <v>110234</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0</v>
      </c>
      <c r="C1476" s="2" t="s">
        <v>594</v>
      </c>
      <c r="D1476" s="2" t="str">
        <f t="shared" si="22"/>
        <v>Error?</v>
      </c>
    </row>
    <row r="1477" spans="1:4" x14ac:dyDescent="0.2">
      <c r="A1477" s="5">
        <v>1416</v>
      </c>
      <c r="B1477" s="138">
        <f>'Expenditures 15-22'!K234</f>
        <v>11168</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880</v>
      </c>
      <c r="C1479" s="2" t="s">
        <v>594</v>
      </c>
      <c r="D1479" s="2" t="str">
        <f t="shared" si="22"/>
        <v>Error?</v>
      </c>
    </row>
    <row r="1480" spans="1:4" x14ac:dyDescent="0.2">
      <c r="A1480" s="5">
        <v>1419</v>
      </c>
      <c r="B1480" s="138">
        <f>'Expenditures 15-22'!K237</f>
        <v>2156</v>
      </c>
      <c r="C1480" s="2" t="s">
        <v>594</v>
      </c>
      <c r="D1480" s="2" t="str">
        <f t="shared" si="22"/>
        <v>Error?</v>
      </c>
    </row>
    <row r="1481" spans="1:4" x14ac:dyDescent="0.2">
      <c r="A1481" s="5">
        <v>1420</v>
      </c>
      <c r="B1481" s="138">
        <f>'Expenditures 15-22'!K238</f>
        <v>14204</v>
      </c>
      <c r="C1481" s="2" t="s">
        <v>594</v>
      </c>
      <c r="D1481" s="2" t="str">
        <f t="shared" si="22"/>
        <v>Error?</v>
      </c>
    </row>
    <row r="1482" spans="1:4" x14ac:dyDescent="0.2">
      <c r="A1482" s="5">
        <v>1421</v>
      </c>
      <c r="B1482" s="138">
        <f>'Expenditures 15-22'!K240</f>
        <v>930</v>
      </c>
      <c r="C1482" s="2" t="s">
        <v>594</v>
      </c>
      <c r="D1482" s="2" t="str">
        <f t="shared" si="22"/>
        <v>Error?</v>
      </c>
    </row>
    <row r="1483" spans="1:4" x14ac:dyDescent="0.2">
      <c r="A1483" s="5">
        <v>1422</v>
      </c>
      <c r="B1483" s="138">
        <f>'Expenditures 15-22'!K241</f>
        <v>4407</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5337</v>
      </c>
      <c r="C1485" s="2" t="s">
        <v>594</v>
      </c>
      <c r="D1485" s="2" t="str">
        <f t="shared" si="22"/>
        <v>Error?</v>
      </c>
    </row>
    <row r="1486" spans="1:4" x14ac:dyDescent="0.2">
      <c r="A1486" s="5">
        <v>1425</v>
      </c>
      <c r="B1486" s="138">
        <f>'Expenditures 15-22'!K245</f>
        <v>336</v>
      </c>
      <c r="C1486" s="2" t="s">
        <v>594</v>
      </c>
      <c r="D1486" s="2" t="str">
        <f t="shared" si="22"/>
        <v>Error?</v>
      </c>
    </row>
    <row r="1487" spans="1:4" x14ac:dyDescent="0.2">
      <c r="A1487" s="5">
        <v>1426</v>
      </c>
      <c r="B1487" s="138">
        <f>'Expenditures 15-22'!K246</f>
        <v>17612</v>
      </c>
      <c r="C1487" s="2" t="s">
        <v>594</v>
      </c>
      <c r="D1487" s="2" t="str">
        <f t="shared" si="22"/>
        <v>Error?</v>
      </c>
    </row>
    <row r="1488" spans="1:4" x14ac:dyDescent="0.2">
      <c r="A1488" s="5">
        <v>1427</v>
      </c>
      <c r="B1488" s="138">
        <f>'Expenditures 15-22'!K257</f>
        <v>17948</v>
      </c>
      <c r="C1488" s="2" t="s">
        <v>594</v>
      </c>
      <c r="D1488" s="2" t="str">
        <f t="shared" si="22"/>
        <v>Error?</v>
      </c>
    </row>
    <row r="1489" spans="1:4" x14ac:dyDescent="0.2">
      <c r="A1489" s="5">
        <v>1428</v>
      </c>
      <c r="B1489" s="138">
        <f>'Expenditures 15-22'!K259</f>
        <v>28383</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28383</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1307</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72485</v>
      </c>
      <c r="C1495" s="2" t="s">
        <v>594</v>
      </c>
      <c r="D1495" s="2" t="str">
        <f t="shared" si="22"/>
        <v>Error?</v>
      </c>
    </row>
    <row r="1496" spans="1:4" x14ac:dyDescent="0.2">
      <c r="A1496" s="5">
        <v>1435</v>
      </c>
      <c r="B1496" s="138">
        <f>'Expenditures 15-22'!K267</f>
        <v>8081</v>
      </c>
      <c r="C1496" s="2" t="s">
        <v>594</v>
      </c>
      <c r="D1496" s="2" t="str">
        <f t="shared" si="22"/>
        <v>Error?</v>
      </c>
    </row>
    <row r="1497" spans="1:4" x14ac:dyDescent="0.2">
      <c r="A1497" s="5">
        <v>1436</v>
      </c>
      <c r="B1497" s="138">
        <f>'Expenditures 15-22'!K268</f>
        <v>2758</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84631</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150503</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260737</v>
      </c>
      <c r="C1517" s="2" t="s">
        <v>594</v>
      </c>
      <c r="D1517" s="2" t="str">
        <f t="shared" si="22"/>
        <v>Error?</v>
      </c>
    </row>
    <row r="1518" spans="1:4" x14ac:dyDescent="0.2">
      <c r="A1518" s="5">
        <v>1457</v>
      </c>
      <c r="B1518" s="138">
        <f>'Expenditures 15-22'!K296</f>
        <v>-58409</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1077776</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1300629</v>
      </c>
      <c r="C1630" s="2" t="s">
        <v>594</v>
      </c>
      <c r="D1630" s="2" t="str">
        <f t="shared" si="24"/>
        <v>Error?</v>
      </c>
    </row>
    <row r="1631" spans="1:4" x14ac:dyDescent="0.2">
      <c r="A1631" s="5">
        <v>1570</v>
      </c>
      <c r="B1631" s="138">
        <f>'Acct Summary 7-8'!D79</f>
        <v>394581</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372108</v>
      </c>
      <c r="C1644" s="2" t="s">
        <v>594</v>
      </c>
      <c r="D1644" s="2" t="str">
        <f t="shared" si="24"/>
        <v>Error?</v>
      </c>
    </row>
    <row r="1645" spans="1:4" x14ac:dyDescent="0.2">
      <c r="A1645" s="5">
        <v>1584</v>
      </c>
      <c r="B1645" s="138">
        <f>'Acct Summary 7-8'!E79</f>
        <v>64940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69504</v>
      </c>
      <c r="C1658" s="2" t="s">
        <v>594</v>
      </c>
      <c r="D1658" s="2" t="str">
        <f t="shared" si="24"/>
        <v>Error?</v>
      </c>
    </row>
    <row r="1659" spans="1:4" x14ac:dyDescent="0.2">
      <c r="A1659" s="5">
        <v>1598</v>
      </c>
      <c r="B1659" s="138">
        <f>'Acct Summary 7-8'!F79</f>
        <v>44437</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27648</v>
      </c>
      <c r="C1672" s="2" t="s">
        <v>594</v>
      </c>
      <c r="D1672" s="2" t="str">
        <f t="shared" si="25"/>
        <v>Error?</v>
      </c>
    </row>
    <row r="1673" spans="1:4" x14ac:dyDescent="0.2">
      <c r="A1673" s="5">
        <v>1612</v>
      </c>
      <c r="B1673" s="138">
        <f>'Acct Summary 7-8'!G79</f>
        <v>235015</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176606</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4310808</v>
      </c>
      <c r="C1744" s="2" t="s">
        <v>594</v>
      </c>
      <c r="D1744" s="2" t="str">
        <f t="shared" si="26"/>
        <v>Error?</v>
      </c>
    </row>
    <row r="1745" spans="1:5" x14ac:dyDescent="0.2">
      <c r="A1745" s="5">
        <v>1684</v>
      </c>
      <c r="B1745" s="138">
        <f>'Tax Sched 23'!B5</f>
        <v>672422</v>
      </c>
      <c r="C1745" s="2" t="s">
        <v>594</v>
      </c>
      <c r="D1745" s="2" t="str">
        <f t="shared" si="26"/>
        <v>Error?</v>
      </c>
    </row>
    <row r="1746" spans="1:5" x14ac:dyDescent="0.2">
      <c r="A1746" s="5">
        <v>1685</v>
      </c>
      <c r="B1746" s="138">
        <f>'Tax Sched 23'!B6</f>
        <v>154150</v>
      </c>
      <c r="C1746" s="2" t="s">
        <v>594</v>
      </c>
      <c r="D1746" s="2" t="str">
        <f t="shared" si="26"/>
        <v>Error?</v>
      </c>
    </row>
    <row r="1747" spans="1:5" x14ac:dyDescent="0.2">
      <c r="A1747" s="5">
        <v>1686</v>
      </c>
      <c r="B1747" s="138">
        <f>'Tax Sched 23'!B7</f>
        <v>57689</v>
      </c>
      <c r="C1747" s="2" t="s">
        <v>594</v>
      </c>
      <c r="D1747" s="2" t="str">
        <f t="shared" si="26"/>
        <v>Error?</v>
      </c>
    </row>
    <row r="1748" spans="1:5" x14ac:dyDescent="0.2">
      <c r="A1748" s="5">
        <v>1687</v>
      </c>
      <c r="B1748" s="138">
        <f>'Tax Sched 23'!B8</f>
        <v>121178</v>
      </c>
      <c r="C1748" s="2" t="s">
        <v>594</v>
      </c>
      <c r="D1748" s="2" t="str">
        <f t="shared" si="26"/>
        <v>Error?</v>
      </c>
    </row>
    <row r="1749" spans="1:5" x14ac:dyDescent="0.2">
      <c r="A1749" s="5">
        <v>1688</v>
      </c>
      <c r="B1749" s="138">
        <f>'Tax Sched 23'!B10</f>
        <v>22527</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65141</v>
      </c>
      <c r="C1752" s="2" t="s">
        <v>594</v>
      </c>
      <c r="D1752" s="2" t="str">
        <f t="shared" si="26"/>
        <v>Error?</v>
      </c>
    </row>
    <row r="1753" spans="1:5" x14ac:dyDescent="0.2">
      <c r="A1753" s="5">
        <v>1692</v>
      </c>
      <c r="B1753" s="138">
        <f>'Tax Sched 23'!B12</f>
        <v>441</v>
      </c>
      <c r="C1753" s="2" t="s">
        <v>594</v>
      </c>
      <c r="D1753" s="2" t="str">
        <f t="shared" si="26"/>
        <v>Error?</v>
      </c>
    </row>
    <row r="1754" spans="1:5" x14ac:dyDescent="0.2">
      <c r="A1754" s="5">
        <v>1693</v>
      </c>
      <c r="B1754" s="138">
        <f>'Tax Sched 23'!B14</f>
        <v>48242</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5531764</v>
      </c>
      <c r="C1759" s="2" t="s">
        <v>594</v>
      </c>
      <c r="D1759" s="2" t="str">
        <f t="shared" si="26"/>
        <v>Error?</v>
      </c>
    </row>
    <row r="1760" spans="1:5" x14ac:dyDescent="0.2">
      <c r="A1760" s="5">
        <v>1699</v>
      </c>
      <c r="B1760" s="138">
        <f>'Tax Sched 23'!D4</f>
        <v>1884632</v>
      </c>
      <c r="C1760" s="2" t="s">
        <v>594</v>
      </c>
      <c r="D1760" s="2" t="str">
        <f t="shared" si="26"/>
        <v>Error?</v>
      </c>
    </row>
    <row r="1761" spans="1:5" x14ac:dyDescent="0.2">
      <c r="A1761" s="5">
        <v>1700</v>
      </c>
      <c r="B1761" s="138">
        <f>'Tax Sched 23'!D5</f>
        <v>309174</v>
      </c>
      <c r="C1761" s="2" t="s">
        <v>594</v>
      </c>
      <c r="D1761" s="2" t="str">
        <f t="shared" si="26"/>
        <v>Error?</v>
      </c>
    </row>
    <row r="1762" spans="1:5" s="8" customFormat="1" x14ac:dyDescent="0.2">
      <c r="A1762" s="5">
        <v>1701</v>
      </c>
      <c r="B1762" s="138">
        <f>'Tax Sched 23'!D6</f>
        <v>70868</v>
      </c>
      <c r="C1762" s="2" t="s">
        <v>594</v>
      </c>
      <c r="D1762" s="2" t="str">
        <f t="shared" si="26"/>
        <v>Error?</v>
      </c>
      <c r="E1762" s="9"/>
    </row>
    <row r="1763" spans="1:5" x14ac:dyDescent="0.2">
      <c r="A1763" s="5">
        <v>1702</v>
      </c>
      <c r="B1763" s="138">
        <f>'Tax Sched 23'!D7</f>
        <v>30333</v>
      </c>
      <c r="C1763" s="2" t="s">
        <v>594</v>
      </c>
      <c r="D1763" s="2" t="str">
        <f t="shared" si="26"/>
        <v>Error?</v>
      </c>
    </row>
    <row r="1764" spans="1:5" x14ac:dyDescent="0.2">
      <c r="A1764" s="5">
        <v>1703</v>
      </c>
      <c r="B1764" s="138">
        <f>'Tax Sched 23'!D8</f>
        <v>83871</v>
      </c>
      <c r="C1764" s="2" t="s">
        <v>594</v>
      </c>
      <c r="D1764" s="2" t="str">
        <f t="shared" si="26"/>
        <v>Error?</v>
      </c>
    </row>
    <row r="1765" spans="1:5" x14ac:dyDescent="0.2">
      <c r="A1765" s="5">
        <v>1704</v>
      </c>
      <c r="B1765" s="138">
        <f>'Tax Sched 23'!D10</f>
        <v>19422</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45238</v>
      </c>
      <c r="C1768" s="2" t="s">
        <v>594</v>
      </c>
      <c r="D1768" s="2" t="str">
        <f t="shared" si="26"/>
        <v>Error?</v>
      </c>
    </row>
    <row r="1769" spans="1:5" x14ac:dyDescent="0.2">
      <c r="A1769" s="5">
        <v>1708</v>
      </c>
      <c r="B1769" s="138">
        <f>'Tax Sched 23'!D12</f>
        <v>441</v>
      </c>
      <c r="C1769" s="2" t="s">
        <v>594</v>
      </c>
      <c r="D1769" s="2" t="str">
        <f t="shared" si="26"/>
        <v>Error?</v>
      </c>
    </row>
    <row r="1770" spans="1:5" x14ac:dyDescent="0.2">
      <c r="A1770" s="5">
        <v>1709</v>
      </c>
      <c r="B1770" s="138">
        <f>'Tax Sched 23'!D14</f>
        <v>28339</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2526613</v>
      </c>
      <c r="C1775" s="2" t="s">
        <v>594</v>
      </c>
      <c r="D1775" s="2" t="str">
        <f t="shared" si="26"/>
        <v>Error?</v>
      </c>
    </row>
    <row r="1776" spans="1:5" x14ac:dyDescent="0.2">
      <c r="A1776" s="5">
        <v>1715</v>
      </c>
      <c r="B1776" s="138">
        <f>'Tax Sched 23'!C4</f>
        <v>2426176</v>
      </c>
      <c r="D1776" s="2" t="str">
        <f t="shared" si="26"/>
        <v>Error?</v>
      </c>
    </row>
    <row r="1777" spans="1:4" x14ac:dyDescent="0.2">
      <c r="A1777" s="5">
        <v>1716</v>
      </c>
      <c r="B1777" s="138">
        <f>'Tax Sched 23'!C5</f>
        <v>363248</v>
      </c>
      <c r="D1777" s="2" t="str">
        <f t="shared" si="26"/>
        <v>Error?</v>
      </c>
    </row>
    <row r="1778" spans="1:4" x14ac:dyDescent="0.2">
      <c r="A1778" s="5">
        <v>1717</v>
      </c>
      <c r="B1778" s="138">
        <f>'Tax Sched 23'!C6</f>
        <v>83282</v>
      </c>
      <c r="D1778" s="2" t="str">
        <f t="shared" si="26"/>
        <v>Error?</v>
      </c>
    </row>
    <row r="1779" spans="1:4" x14ac:dyDescent="0.2">
      <c r="A1779" s="5">
        <v>1718</v>
      </c>
      <c r="B1779" s="138">
        <f>'Tax Sched 23'!C7</f>
        <v>27356</v>
      </c>
      <c r="D1779" s="2" t="str">
        <f t="shared" si="26"/>
        <v>Error?</v>
      </c>
    </row>
    <row r="1780" spans="1:4" x14ac:dyDescent="0.2">
      <c r="A1780" s="5">
        <v>1719</v>
      </c>
      <c r="B1780" s="138">
        <f>'Tax Sched 23'!C8</f>
        <v>37307</v>
      </c>
      <c r="D1780" s="2" t="str">
        <f t="shared" si="26"/>
        <v>Error?</v>
      </c>
    </row>
    <row r="1781" spans="1:4" x14ac:dyDescent="0.2">
      <c r="A1781" s="5">
        <v>1720</v>
      </c>
      <c r="B1781" s="138">
        <f>'Tax Sched 23'!C10</f>
        <v>3105</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19903</v>
      </c>
      <c r="D1784" s="2" t="str">
        <f t="shared" si="26"/>
        <v>Error?</v>
      </c>
    </row>
    <row r="1785" spans="1:4" x14ac:dyDescent="0.2">
      <c r="A1785" s="5">
        <v>1724</v>
      </c>
      <c r="B1785" s="138">
        <f>'Tax Sched 23'!C12</f>
        <v>0</v>
      </c>
      <c r="D1785" s="2" t="str">
        <f t="shared" si="26"/>
        <v>Error?</v>
      </c>
    </row>
    <row r="1786" spans="1:4" x14ac:dyDescent="0.2">
      <c r="A1786" s="5">
        <v>1725</v>
      </c>
      <c r="B1786" s="138">
        <f>'Tax Sched 23'!C14</f>
        <v>19903</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3005151</v>
      </c>
      <c r="C1791" s="2" t="s">
        <v>594</v>
      </c>
      <c r="D1791" s="2" t="str">
        <f t="shared" ref="D1791:D1854" si="27">IF(ISBLANK(B1791),"OK",IF(A1791-B1791=0,"OK","Error?"))</f>
        <v>Error?</v>
      </c>
    </row>
    <row r="1792" spans="1:4" x14ac:dyDescent="0.2">
      <c r="A1792" s="5">
        <v>1731</v>
      </c>
      <c r="B1792" s="138">
        <f>'Tax Sched 23'!F4</f>
        <v>2255889</v>
      </c>
      <c r="C1792" s="2" t="s">
        <v>594</v>
      </c>
      <c r="D1792" s="2" t="str">
        <f t="shared" si="27"/>
        <v>Error?</v>
      </c>
    </row>
    <row r="1793" spans="1:4" x14ac:dyDescent="0.2">
      <c r="A1793" s="5">
        <v>1732</v>
      </c>
      <c r="B1793" s="138">
        <f>'Tax Sched 23'!F5</f>
        <v>337752</v>
      </c>
      <c r="C1793" s="2" t="s">
        <v>594</v>
      </c>
      <c r="D1793" s="2" t="str">
        <f t="shared" si="27"/>
        <v>Error?</v>
      </c>
    </row>
    <row r="1794" spans="1:4" x14ac:dyDescent="0.2">
      <c r="A1794" s="5">
        <v>1733</v>
      </c>
      <c r="B1794" s="138">
        <f>'Tax Sched 23'!F6</f>
        <v>77436</v>
      </c>
      <c r="C1794" s="2" t="s">
        <v>594</v>
      </c>
      <c r="D1794" s="2" t="str">
        <f t="shared" si="27"/>
        <v>Error?</v>
      </c>
    </row>
    <row r="1795" spans="1:4" x14ac:dyDescent="0.2">
      <c r="A1795" s="5">
        <v>1734</v>
      </c>
      <c r="B1795" s="138">
        <f>'Tax Sched 23'!F7</f>
        <v>25435</v>
      </c>
      <c r="C1795" s="2" t="s">
        <v>594</v>
      </c>
      <c r="D1795" s="2" t="str">
        <f t="shared" si="27"/>
        <v>Error?</v>
      </c>
    </row>
    <row r="1796" spans="1:4" x14ac:dyDescent="0.2">
      <c r="A1796" s="5">
        <v>1735</v>
      </c>
      <c r="B1796" s="138">
        <f>'Tax Sched 23'!F8</f>
        <v>34689</v>
      </c>
      <c r="C1796" s="2" t="s">
        <v>594</v>
      </c>
      <c r="D1796" s="2" t="str">
        <f t="shared" si="27"/>
        <v>Error?</v>
      </c>
    </row>
    <row r="1797" spans="1:4" x14ac:dyDescent="0.2">
      <c r="A1797" s="5">
        <v>1736</v>
      </c>
      <c r="B1797" s="138">
        <f>'Tax Sched 23'!F10</f>
        <v>2887</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18506</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18507</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2794227</v>
      </c>
      <c r="C1807" s="2" t="s">
        <v>594</v>
      </c>
      <c r="D1807" s="2" t="str">
        <f t="shared" si="27"/>
        <v>Error?</v>
      </c>
    </row>
    <row r="1808" spans="1:4" x14ac:dyDescent="0.2">
      <c r="A1808" s="5">
        <v>1747</v>
      </c>
      <c r="B1808" s="138">
        <f>'Tax Sched 23'!E4</f>
        <v>4682065</v>
      </c>
      <c r="D1808" s="2" t="str">
        <f t="shared" si="27"/>
        <v>Error?</v>
      </c>
    </row>
    <row r="1809" spans="1:4" x14ac:dyDescent="0.2">
      <c r="A1809" s="5">
        <v>1748</v>
      </c>
      <c r="B1809" s="138">
        <f>'Tax Sched 23'!E5</f>
        <v>701000</v>
      </c>
      <c r="D1809" s="2" t="str">
        <f t="shared" si="27"/>
        <v>Error?</v>
      </c>
    </row>
    <row r="1810" spans="1:4" x14ac:dyDescent="0.2">
      <c r="A1810" s="5">
        <v>1749</v>
      </c>
      <c r="B1810" s="138">
        <f>'Tax Sched 23'!E6</f>
        <v>160718</v>
      </c>
      <c r="D1810" s="2" t="str">
        <f t="shared" si="27"/>
        <v>Error?</v>
      </c>
    </row>
    <row r="1811" spans="1:4" x14ac:dyDescent="0.2">
      <c r="A1811" s="5">
        <v>1750</v>
      </c>
      <c r="B1811" s="138">
        <f>'Tax Sched 23'!E7</f>
        <v>52791</v>
      </c>
      <c r="D1811" s="2" t="str">
        <f t="shared" si="27"/>
        <v>Error?</v>
      </c>
    </row>
    <row r="1812" spans="1:4" x14ac:dyDescent="0.2">
      <c r="A1812" s="5">
        <v>1751</v>
      </c>
      <c r="B1812" s="138">
        <f>'Tax Sched 23'!E8</f>
        <v>71996</v>
      </c>
      <c r="D1812" s="2" t="str">
        <f t="shared" si="27"/>
        <v>Error?</v>
      </c>
    </row>
    <row r="1813" spans="1:4" x14ac:dyDescent="0.2">
      <c r="A1813" s="5">
        <v>1752</v>
      </c>
      <c r="B1813" s="138">
        <f>'Tax Sched 23'!E10</f>
        <v>5992</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38409</v>
      </c>
      <c r="D1816" s="2" t="str">
        <f t="shared" si="27"/>
        <v>Error?</v>
      </c>
    </row>
    <row r="1817" spans="1:4" x14ac:dyDescent="0.2">
      <c r="A1817" s="5">
        <v>1756</v>
      </c>
      <c r="B1817" s="138">
        <f>'Tax Sched 23'!E12</f>
        <v>0</v>
      </c>
      <c r="D1817" s="2" t="str">
        <f t="shared" si="27"/>
        <v>Error?</v>
      </c>
    </row>
    <row r="1818" spans="1:4" x14ac:dyDescent="0.2">
      <c r="A1818" s="5">
        <v>1757</v>
      </c>
      <c r="B1818" s="138">
        <f>'Tax Sched 23'!E14</f>
        <v>38410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5799378</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1826652</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48242</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48242</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0</v>
      </c>
      <c r="C1982" s="2" t="s">
        <v>594</v>
      </c>
      <c r="D1982" s="2" t="str">
        <f t="shared" si="29"/>
        <v>Error?</v>
      </c>
    </row>
    <row r="1983" spans="1:5" x14ac:dyDescent="0.2">
      <c r="A1983" s="5">
        <v>1922</v>
      </c>
      <c r="B1983" s="138">
        <f>'Rest Tax Levies-Tort Im 25'!H24</f>
        <v>48242</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49573</v>
      </c>
      <c r="D2008" s="2" t="str">
        <f t="shared" si="30"/>
        <v>Error?</v>
      </c>
    </row>
    <row r="2009" spans="1:4" x14ac:dyDescent="0.2">
      <c r="A2009" s="5">
        <v>1948</v>
      </c>
      <c r="B2009" s="138">
        <f>'Cap Outlay Deprec 26'!C8</f>
        <v>7941805</v>
      </c>
      <c r="D2009" s="2" t="str">
        <f t="shared" si="30"/>
        <v>Error?</v>
      </c>
    </row>
    <row r="2010" spans="1:4" x14ac:dyDescent="0.2">
      <c r="A2010" s="5">
        <v>1949</v>
      </c>
      <c r="B2010" s="138">
        <f>'Cap Outlay Deprec 26'!C10</f>
        <v>1466544</v>
      </c>
      <c r="D2010" s="2" t="str">
        <f t="shared" si="30"/>
        <v>Error?</v>
      </c>
    </row>
    <row r="2011" spans="1:4" x14ac:dyDescent="0.2">
      <c r="A2011" s="5">
        <v>1950</v>
      </c>
      <c r="B2011" s="138">
        <f>'Cap Outlay Deprec 26'!C12</f>
        <v>1835357</v>
      </c>
      <c r="D2011" s="2" t="str">
        <f t="shared" si="30"/>
        <v>Error?</v>
      </c>
    </row>
    <row r="2012" spans="1:4" x14ac:dyDescent="0.2">
      <c r="A2012" s="5">
        <v>1951</v>
      </c>
      <c r="B2012" s="138">
        <f>'Cap Outlay Deprec 26'!C13</f>
        <v>5702</v>
      </c>
      <c r="D2012" s="2" t="str">
        <f t="shared" si="30"/>
        <v>Error?</v>
      </c>
    </row>
    <row r="2013" spans="1:4" x14ac:dyDescent="0.2">
      <c r="A2013" s="5">
        <v>1952</v>
      </c>
      <c r="B2013" s="138">
        <f>'Cap Outlay Deprec 26'!C16</f>
        <v>11298981</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48115</v>
      </c>
      <c r="D2016" s="2" t="str">
        <f t="shared" si="30"/>
        <v>Error?</v>
      </c>
    </row>
    <row r="2017" spans="1:4" x14ac:dyDescent="0.2">
      <c r="A2017" s="5">
        <v>1956</v>
      </c>
      <c r="B2017" s="138">
        <f>'Cap Outlay Deprec 26'!D12</f>
        <v>76822</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124937</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331390</v>
      </c>
      <c r="D2022" s="2" t="str">
        <f t="shared" si="30"/>
        <v>Error?</v>
      </c>
    </row>
    <row r="2023" spans="1:4" x14ac:dyDescent="0.2">
      <c r="A2023" s="5">
        <v>1962</v>
      </c>
      <c r="B2023" s="138">
        <f>'Cap Outlay Deprec 26'!E12</f>
        <v>1432642</v>
      </c>
      <c r="D2023" s="2" t="str">
        <f t="shared" si="30"/>
        <v>Error?</v>
      </c>
    </row>
    <row r="2024" spans="1:4" x14ac:dyDescent="0.2">
      <c r="A2024" s="5">
        <v>1963</v>
      </c>
      <c r="B2024" s="138">
        <f>'Cap Outlay Deprec 26'!E13</f>
        <v>5702</v>
      </c>
      <c r="D2024" s="2" t="str">
        <f t="shared" si="30"/>
        <v>Error?</v>
      </c>
    </row>
    <row r="2025" spans="1:4" x14ac:dyDescent="0.2">
      <c r="A2025" s="5">
        <v>1964</v>
      </c>
      <c r="B2025" s="138">
        <f>'Cap Outlay Deprec 26'!E16</f>
        <v>1769734</v>
      </c>
      <c r="C2025" s="2" t="s">
        <v>594</v>
      </c>
      <c r="D2025" s="2" t="str">
        <f t="shared" si="30"/>
        <v>Error?</v>
      </c>
    </row>
    <row r="2026" spans="1:4" x14ac:dyDescent="0.2">
      <c r="A2026" s="5">
        <v>1965</v>
      </c>
      <c r="B2026" s="138">
        <f>'Cap Outlay Deprec 26'!F5</f>
        <v>49573</v>
      </c>
      <c r="C2026" s="2" t="s">
        <v>594</v>
      </c>
      <c r="D2026" s="2" t="str">
        <f t="shared" si="30"/>
        <v>Error?</v>
      </c>
    </row>
    <row r="2027" spans="1:4" x14ac:dyDescent="0.2">
      <c r="A2027" s="5">
        <v>1966</v>
      </c>
      <c r="B2027" s="138">
        <f>'Cap Outlay Deprec 26'!F8</f>
        <v>7941805</v>
      </c>
      <c r="C2027" s="2" t="s">
        <v>594</v>
      </c>
      <c r="D2027" s="2" t="str">
        <f t="shared" si="30"/>
        <v>Error?</v>
      </c>
    </row>
    <row r="2028" spans="1:4" x14ac:dyDescent="0.2">
      <c r="A2028" s="5">
        <v>1967</v>
      </c>
      <c r="B2028" s="138">
        <f>'Cap Outlay Deprec 26'!F10</f>
        <v>1183269</v>
      </c>
      <c r="C2028" s="2" t="s">
        <v>594</v>
      </c>
      <c r="D2028" s="2" t="str">
        <f t="shared" si="30"/>
        <v>Error?</v>
      </c>
    </row>
    <row r="2029" spans="1:4" x14ac:dyDescent="0.2">
      <c r="A2029" s="5">
        <v>1968</v>
      </c>
      <c r="B2029" s="138">
        <f>'Cap Outlay Deprec 26'!F12</f>
        <v>479537</v>
      </c>
      <c r="C2029" s="2" t="s">
        <v>594</v>
      </c>
      <c r="D2029" s="2" t="str">
        <f t="shared" si="30"/>
        <v>Error?</v>
      </c>
    </row>
    <row r="2030" spans="1:4" x14ac:dyDescent="0.2">
      <c r="A2030" s="5">
        <v>1969</v>
      </c>
      <c r="B2030" s="138">
        <f>'Cap Outlay Deprec 26'!F13</f>
        <v>0</v>
      </c>
      <c r="C2030" s="2" t="s">
        <v>594</v>
      </c>
      <c r="D2030" s="2" t="str">
        <f t="shared" si="30"/>
        <v>Error?</v>
      </c>
    </row>
    <row r="2031" spans="1:4" x14ac:dyDescent="0.2">
      <c r="A2031" s="5">
        <v>1970</v>
      </c>
      <c r="B2031" s="138">
        <f>'Cap Outlay Deprec 26'!F16</f>
        <v>9654184</v>
      </c>
      <c r="C2031" s="2" t="s">
        <v>594</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0</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0</v>
      </c>
      <c r="C2037" s="2" t="s">
        <v>594</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0</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0</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0</v>
      </c>
      <c r="C2051" s="2" t="s">
        <v>594</v>
      </c>
      <c r="D2051" s="2" t="str">
        <f t="shared" si="31"/>
        <v>Error?</v>
      </c>
    </row>
    <row r="2052" spans="1:4" x14ac:dyDescent="0.2">
      <c r="A2052" s="5">
        <v>1991</v>
      </c>
      <c r="B2052" s="138">
        <f>'Cap Outlay Deprec 26'!K10</f>
        <v>0</v>
      </c>
      <c r="C2052" s="2" t="s">
        <v>594</v>
      </c>
      <c r="D2052" s="2" t="str">
        <f t="shared" si="31"/>
        <v>Error?</v>
      </c>
    </row>
    <row r="2053" spans="1:4" x14ac:dyDescent="0.2">
      <c r="A2053" s="5">
        <v>1992</v>
      </c>
      <c r="B2053" s="138">
        <f>'Cap Outlay Deprec 26'!K12</f>
        <v>0</v>
      </c>
      <c r="C2053" s="2" t="s">
        <v>594</v>
      </c>
      <c r="D2053" s="2" t="str">
        <f t="shared" si="31"/>
        <v>Error?</v>
      </c>
    </row>
    <row r="2054" spans="1:4" x14ac:dyDescent="0.2">
      <c r="A2054" s="5">
        <v>1993</v>
      </c>
      <c r="B2054" s="138">
        <f>'Cap Outlay Deprec 26'!K13</f>
        <v>0</v>
      </c>
      <c r="C2054" s="2" t="s">
        <v>594</v>
      </c>
      <c r="D2054" s="2" t="str">
        <f t="shared" si="31"/>
        <v>Error?</v>
      </c>
    </row>
    <row r="2055" spans="1:4" x14ac:dyDescent="0.2">
      <c r="A2055" s="5">
        <v>1994</v>
      </c>
      <c r="B2055" s="138">
        <f>'Cap Outlay Deprec 26'!K16</f>
        <v>0</v>
      </c>
      <c r="C2055" s="2" t="s">
        <v>594</v>
      </c>
      <c r="D2055" s="2" t="str">
        <f t="shared" si="31"/>
        <v>Error?</v>
      </c>
    </row>
    <row r="2056" spans="1:4" x14ac:dyDescent="0.2">
      <c r="A2056" s="5">
        <v>1995</v>
      </c>
      <c r="B2056" s="138">
        <f>'Cap Outlay Deprec 26'!L5</f>
        <v>49573</v>
      </c>
      <c r="C2056" s="2" t="s">
        <v>594</v>
      </c>
      <c r="D2056" s="2" t="str">
        <f t="shared" si="31"/>
        <v>Error?</v>
      </c>
    </row>
    <row r="2057" spans="1:4" x14ac:dyDescent="0.2">
      <c r="A2057" s="5">
        <v>1996</v>
      </c>
      <c r="B2057" s="138">
        <f>'Cap Outlay Deprec 26'!L8</f>
        <v>7941805</v>
      </c>
      <c r="C2057" s="2" t="s">
        <v>594</v>
      </c>
      <c r="D2057" s="2" t="str">
        <f t="shared" si="31"/>
        <v>Error?</v>
      </c>
    </row>
    <row r="2058" spans="1:4" x14ac:dyDescent="0.2">
      <c r="A2058" s="5">
        <v>1997</v>
      </c>
      <c r="B2058" s="138">
        <f>'Cap Outlay Deprec 26'!L10</f>
        <v>1183269</v>
      </c>
      <c r="C2058" s="2" t="s">
        <v>594</v>
      </c>
      <c r="D2058" s="2" t="str">
        <f t="shared" si="31"/>
        <v>Error?</v>
      </c>
    </row>
    <row r="2059" spans="1:4" x14ac:dyDescent="0.2">
      <c r="A2059" s="5">
        <v>1998</v>
      </c>
      <c r="B2059" s="138">
        <f>'Cap Outlay Deprec 26'!L12</f>
        <v>479537</v>
      </c>
      <c r="C2059" s="2" t="s">
        <v>594</v>
      </c>
      <c r="D2059" s="2" t="str">
        <f t="shared" si="31"/>
        <v>Error?</v>
      </c>
    </row>
    <row r="2060" spans="1:4" x14ac:dyDescent="0.2">
      <c r="A2060" s="5">
        <v>1999</v>
      </c>
      <c r="B2060" s="138">
        <f>'Cap Outlay Deprec 26'!L13</f>
        <v>0</v>
      </c>
      <c r="C2060" s="2" t="s">
        <v>594</v>
      </c>
      <c r="D2060" s="2" t="str">
        <f t="shared" si="31"/>
        <v>Error?</v>
      </c>
    </row>
    <row r="2061" spans="1:4" x14ac:dyDescent="0.2">
      <c r="A2061" s="5">
        <v>2000</v>
      </c>
      <c r="B2061" s="138">
        <f>'Cap Outlay Deprec 26'!L16</f>
        <v>9654184</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49718</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199643</v>
      </c>
      <c r="C2088" s="2" t="s">
        <v>594</v>
      </c>
      <c r="D2088" s="2" t="str">
        <f t="shared" si="31"/>
        <v>Error?</v>
      </c>
    </row>
    <row r="2089" spans="1:4" x14ac:dyDescent="0.2">
      <c r="A2089" s="5">
        <v>2028</v>
      </c>
      <c r="B2089" s="138">
        <f>'Expenditures 15-22'!K92</f>
        <v>67874</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4781180</v>
      </c>
      <c r="C2551" s="2" t="s">
        <v>594</v>
      </c>
      <c r="D2551" s="2" t="str">
        <f t="shared" si="38"/>
        <v>Error?</v>
      </c>
    </row>
    <row r="2552" spans="1:4" x14ac:dyDescent="0.2">
      <c r="A2552" s="10">
        <v>2491</v>
      </c>
      <c r="D2552" s="2" t="str">
        <f t="shared" si="38"/>
        <v>OK</v>
      </c>
    </row>
    <row r="2553" spans="1:4" x14ac:dyDescent="0.2">
      <c r="A2553" s="5">
        <v>2492</v>
      </c>
      <c r="B2553" s="138">
        <f>'Acct Summary 7-8'!C6</f>
        <v>1334865</v>
      </c>
      <c r="C2553" s="2" t="s">
        <v>594</v>
      </c>
      <c r="D2553" s="2" t="str">
        <f t="shared" si="38"/>
        <v>Error?</v>
      </c>
    </row>
    <row r="2554" spans="1:4" x14ac:dyDescent="0.2">
      <c r="A2554" s="5">
        <v>2493</v>
      </c>
      <c r="B2554" s="138">
        <f>'Acct Summary 7-8'!C7</f>
        <v>359946</v>
      </c>
      <c r="C2554" s="2" t="s">
        <v>594</v>
      </c>
      <c r="D2554" s="2" t="str">
        <f t="shared" si="38"/>
        <v>Error?</v>
      </c>
    </row>
    <row r="2555" spans="1:4" x14ac:dyDescent="0.2">
      <c r="A2555" s="5">
        <v>2494</v>
      </c>
      <c r="B2555" s="138">
        <f>'Acct Summary 7-8'!C8</f>
        <v>6475991</v>
      </c>
      <c r="C2555" s="2" t="s">
        <v>594</v>
      </c>
      <c r="D2555" s="2" t="str">
        <f t="shared" si="38"/>
        <v>Error?</v>
      </c>
    </row>
    <row r="2556" spans="1:4" x14ac:dyDescent="0.2">
      <c r="A2556" s="5">
        <v>2495</v>
      </c>
      <c r="B2556" s="138">
        <f>'Acct Summary 7-8'!C12</f>
        <v>4627274</v>
      </c>
      <c r="C2556" s="2" t="s">
        <v>594</v>
      </c>
      <c r="D2556" s="2" t="str">
        <f t="shared" si="38"/>
        <v>Error?</v>
      </c>
    </row>
    <row r="2557" spans="1:4" x14ac:dyDescent="0.2">
      <c r="A2557" s="5">
        <v>2496</v>
      </c>
      <c r="B2557" s="138">
        <f>'Acct Summary 7-8'!C13</f>
        <v>1358347</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267517</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6253138</v>
      </c>
      <c r="C2561" s="2" t="s">
        <v>594</v>
      </c>
      <c r="D2561" s="2" t="str">
        <f t="shared" si="39"/>
        <v>Error?</v>
      </c>
    </row>
    <row r="2562" spans="1:4" x14ac:dyDescent="0.2">
      <c r="A2562" s="5">
        <v>2501</v>
      </c>
      <c r="B2562" s="138">
        <f>'Acct Summary 7-8'!C20</f>
        <v>222853</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718899</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718899</v>
      </c>
      <c r="C2568" s="2" t="s">
        <v>594</v>
      </c>
      <c r="D2568" s="2" t="str">
        <f t="shared" si="39"/>
        <v>Error?</v>
      </c>
    </row>
    <row r="2569" spans="1:4" x14ac:dyDescent="0.2">
      <c r="A2569" s="5">
        <v>2508</v>
      </c>
      <c r="B2569" s="138">
        <f>'Acct Summary 7-8'!D13</f>
        <v>741372</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741372</v>
      </c>
      <c r="C2573" s="2" t="s">
        <v>594</v>
      </c>
      <c r="D2573" s="2" t="str">
        <f t="shared" si="39"/>
        <v>Error?</v>
      </c>
    </row>
    <row r="2574" spans="1:4" x14ac:dyDescent="0.2">
      <c r="A2574" s="5">
        <v>2513</v>
      </c>
      <c r="B2574" s="138">
        <f>'Acct Summary 7-8'!D20</f>
        <v>-22473</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70365</v>
      </c>
      <c r="C2591" s="2" t="s">
        <v>594</v>
      </c>
      <c r="D2591" s="2" t="str">
        <f t="shared" si="39"/>
        <v>Error?</v>
      </c>
    </row>
    <row r="2592" spans="1:4" x14ac:dyDescent="0.2">
      <c r="A2592" s="10">
        <v>2531</v>
      </c>
      <c r="D2592" s="2" t="str">
        <f t="shared" si="39"/>
        <v>OK</v>
      </c>
    </row>
    <row r="2593" spans="1:4" x14ac:dyDescent="0.2">
      <c r="A2593" s="5">
        <v>2532</v>
      </c>
      <c r="B2593" s="138">
        <f>'Acct Summary 7-8'!F6</f>
        <v>34780</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105145</v>
      </c>
      <c r="C2595" s="2" t="s">
        <v>594</v>
      </c>
      <c r="D2595" s="2" t="str">
        <f t="shared" si="39"/>
        <v>Error?</v>
      </c>
    </row>
    <row r="2596" spans="1:4" x14ac:dyDescent="0.2">
      <c r="A2596" s="5">
        <v>2535</v>
      </c>
      <c r="B2596" s="138">
        <f>'Acct Summary 7-8'!F13</f>
        <v>121934</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121934</v>
      </c>
      <c r="C2600" s="2" t="s">
        <v>594</v>
      </c>
      <c r="D2600" s="2" t="str">
        <f t="shared" si="39"/>
        <v>Error?</v>
      </c>
    </row>
    <row r="2601" spans="1:4" x14ac:dyDescent="0.2">
      <c r="A2601" s="5">
        <v>2540</v>
      </c>
      <c r="B2601" s="138">
        <f>'Acct Summary 7-8'!F20</f>
        <v>-16789</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202328</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202328</v>
      </c>
      <c r="C2606" s="2" t="s">
        <v>594</v>
      </c>
      <c r="D2606" s="2" t="str">
        <f t="shared" si="39"/>
        <v>Error?</v>
      </c>
    </row>
    <row r="2607" spans="1:4" x14ac:dyDescent="0.2">
      <c r="A2607" s="5">
        <v>2546</v>
      </c>
      <c r="B2607" s="138">
        <f>'Acct Summary 7-8'!G12</f>
        <v>110234</v>
      </c>
      <c r="C2607" s="2" t="s">
        <v>594</v>
      </c>
      <c r="D2607" s="2" t="str">
        <f t="shared" si="39"/>
        <v>Error?</v>
      </c>
    </row>
    <row r="2608" spans="1:4" x14ac:dyDescent="0.2">
      <c r="A2608" s="5">
        <v>2547</v>
      </c>
      <c r="B2608" s="138">
        <f>'Acct Summary 7-8'!G13</f>
        <v>150503</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260737</v>
      </c>
      <c r="C2612" s="2" t="s">
        <v>594</v>
      </c>
      <c r="D2612" s="2" t="str">
        <f t="shared" si="39"/>
        <v>Error?</v>
      </c>
    </row>
    <row r="2613" spans="1:4" x14ac:dyDescent="0.2">
      <c r="A2613" s="5">
        <v>2552</v>
      </c>
      <c r="B2613" s="138">
        <f>'Acct Summary 7-8'!G20</f>
        <v>-58409</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155109</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155109</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150545</v>
      </c>
      <c r="C2634" s="2" t="s">
        <v>594</v>
      </c>
      <c r="D2634" s="2" t="str">
        <f t="shared" si="40"/>
        <v>Error?</v>
      </c>
    </row>
    <row r="2635" spans="1:4" x14ac:dyDescent="0.2">
      <c r="A2635" s="5">
        <v>2574</v>
      </c>
      <c r="B2635" s="138">
        <f>'Acct Summary 7-8'!E17</f>
        <v>150545</v>
      </c>
      <c r="C2635" s="2" t="s">
        <v>594</v>
      </c>
      <c r="D2635" s="2" t="str">
        <f t="shared" si="40"/>
        <v>Error?</v>
      </c>
    </row>
    <row r="2636" spans="1:4" x14ac:dyDescent="0.2">
      <c r="A2636" s="5">
        <v>2575</v>
      </c>
      <c r="B2636" s="138">
        <f>'Acct Summary 7-8'!E20</f>
        <v>4564</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149925</v>
      </c>
      <c r="C2789" s="2" t="s">
        <v>594</v>
      </c>
      <c r="D2789" s="2" t="str">
        <f t="shared" si="42"/>
        <v>Error?</v>
      </c>
    </row>
    <row r="2790" spans="1:4" x14ac:dyDescent="0.2">
      <c r="A2790" s="5">
        <v>2729</v>
      </c>
      <c r="B2790" s="138">
        <f>'Expenditures 15-22'!E102</f>
        <v>149925</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3940249</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35313</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3940249</v>
      </c>
      <c r="D2912" s="2" t="str">
        <f t="shared" si="44"/>
        <v>Error?</v>
      </c>
    </row>
    <row r="2913" spans="1:4" x14ac:dyDescent="0.2">
      <c r="A2913" s="5">
        <v>2852</v>
      </c>
      <c r="B2913" s="138">
        <f>'Assets-Liab 5-6'!I41</f>
        <v>3940249</v>
      </c>
      <c r="C2913" s="2" t="s">
        <v>594</v>
      </c>
      <c r="D2913" s="2" t="str">
        <f t="shared" si="44"/>
        <v>Error?</v>
      </c>
    </row>
    <row r="2914" spans="1:4" x14ac:dyDescent="0.2">
      <c r="A2914" s="5">
        <v>2853</v>
      </c>
      <c r="B2914" s="138">
        <f>'Assets-Liab 5-6'!L33</f>
        <v>35313</v>
      </c>
      <c r="D2914" s="2" t="str">
        <f t="shared" si="44"/>
        <v>Error?</v>
      </c>
    </row>
    <row r="2915" spans="1:4" x14ac:dyDescent="0.2">
      <c r="A2915" s="10">
        <v>2854</v>
      </c>
      <c r="D2915" s="2" t="str">
        <f t="shared" si="44"/>
        <v>OK</v>
      </c>
    </row>
    <row r="2916" spans="1:4" x14ac:dyDescent="0.2">
      <c r="A2916" s="5">
        <v>2855</v>
      </c>
      <c r="B2916" s="138">
        <f>'Assets-Liab 5-6'!L34</f>
        <v>35313</v>
      </c>
      <c r="C2916" s="2" t="s">
        <v>594</v>
      </c>
      <c r="D2916" s="2" t="str">
        <f t="shared" si="44"/>
        <v>Error?</v>
      </c>
    </row>
    <row r="2917" spans="1:4" x14ac:dyDescent="0.2">
      <c r="A2917" s="5">
        <v>2856</v>
      </c>
      <c r="B2917" s="138">
        <f>'Assets-Liab 5-6'!L41</f>
        <v>35313</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149925</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37895</v>
      </c>
      <c r="D2955" s="2" t="str">
        <f t="shared" si="45"/>
        <v>Error?</v>
      </c>
    </row>
    <row r="2956" spans="1:4" x14ac:dyDescent="0.2">
      <c r="A2956" s="5">
        <v>2895</v>
      </c>
      <c r="B2956" s="138">
        <f>'Expenditures 15-22'!H79</f>
        <v>11823</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37895</v>
      </c>
      <c r="C2973" s="2" t="s">
        <v>594</v>
      </c>
      <c r="D2973" s="2" t="str">
        <f t="shared" si="45"/>
        <v>Error?</v>
      </c>
    </row>
    <row r="2974" spans="1:4" x14ac:dyDescent="0.2">
      <c r="A2974" s="5">
        <v>2913</v>
      </c>
      <c r="B2974" s="138">
        <f>'Expenditures 15-22'!K79</f>
        <v>161748</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129409</v>
      </c>
      <c r="D3055" s="2" t="str">
        <f t="shared" si="46"/>
        <v>Error?</v>
      </c>
    </row>
    <row r="3056" spans="1:4" x14ac:dyDescent="0.2">
      <c r="A3056" s="5">
        <v>2995</v>
      </c>
      <c r="B3056" s="138">
        <f>'Expenditures 15-22'!D10</f>
        <v>8324</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4285</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142018</v>
      </c>
      <c r="C3062" s="2" t="s">
        <v>594</v>
      </c>
      <c r="D3062" s="2" t="str">
        <f t="shared" si="46"/>
        <v>Error?</v>
      </c>
    </row>
    <row r="3063" spans="1:4" x14ac:dyDescent="0.2">
      <c r="A3063" s="10">
        <v>3002</v>
      </c>
      <c r="D3063" s="2" t="str">
        <f t="shared" si="46"/>
        <v>OK</v>
      </c>
    </row>
    <row r="3064" spans="1:4" x14ac:dyDescent="0.2">
      <c r="A3064" s="5">
        <v>3003</v>
      </c>
      <c r="B3064" s="138">
        <f>'Expenditures 15-22'!D219</f>
        <v>5601</v>
      </c>
      <c r="D3064" s="2" t="str">
        <f t="shared" si="46"/>
        <v>Error?</v>
      </c>
    </row>
    <row r="3065" spans="1:4" x14ac:dyDescent="0.2">
      <c r="A3065" s="5">
        <v>3004</v>
      </c>
      <c r="B3065" s="138">
        <f>'Expenditures 15-22'!K219</f>
        <v>5601</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69849</v>
      </c>
      <c r="C3225" s="2" t="s">
        <v>594</v>
      </c>
      <c r="D3225" s="2" t="str">
        <f t="shared" si="49"/>
        <v>Error?</v>
      </c>
    </row>
    <row r="3226" spans="1:4" x14ac:dyDescent="0.2">
      <c r="A3226" s="5">
        <v>3165</v>
      </c>
      <c r="B3226" s="138">
        <f>'Acct Summary 7-8'!I8</f>
        <v>69849</v>
      </c>
      <c r="C3226" s="2" t="s">
        <v>594</v>
      </c>
      <c r="D3226" s="2" t="str">
        <f t="shared" si="49"/>
        <v>Error?</v>
      </c>
    </row>
    <row r="3227" spans="1:4" x14ac:dyDescent="0.2">
      <c r="A3227" s="5">
        <v>3166</v>
      </c>
      <c r="B3227" s="138">
        <f>'Acct Summary 7-8'!I20</f>
        <v>69849</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222853</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-22473</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-16789</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-58409</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4564</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69849</v>
      </c>
      <c r="C3320" s="2" t="s">
        <v>594</v>
      </c>
      <c r="D3320" s="2" t="str">
        <f t="shared" si="50"/>
        <v>Error?</v>
      </c>
    </row>
    <row r="3321" spans="1:4" x14ac:dyDescent="0.2">
      <c r="A3321" s="5">
        <v>3260</v>
      </c>
      <c r="B3321" s="138">
        <f>'Acct Summary 7-8'!I79</f>
        <v>3870400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3940249</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408443</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66349</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10355</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2621</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487768</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64206</v>
      </c>
      <c r="D3387" s="2" t="str">
        <f t="shared" si="51"/>
        <v>Error?</v>
      </c>
    </row>
    <row r="3388" spans="1:4" x14ac:dyDescent="0.2">
      <c r="A3388" s="5">
        <v>3327</v>
      </c>
      <c r="B3388" s="138">
        <f>'Expenditures 15-22'!D217</f>
        <v>22285</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64206</v>
      </c>
      <c r="C3390" s="2" t="s">
        <v>594</v>
      </c>
      <c r="D3390" s="2" t="str">
        <f t="shared" si="51"/>
        <v>Error?</v>
      </c>
    </row>
    <row r="3391" spans="1:4" x14ac:dyDescent="0.2">
      <c r="A3391" s="5">
        <v>3330</v>
      </c>
      <c r="B3391" s="138">
        <f>'Expenditures 15-22'!K217</f>
        <v>22285</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1300629</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372108</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69504</v>
      </c>
      <c r="D3417" s="2" t="str">
        <f t="shared" si="52"/>
        <v>Error?</v>
      </c>
    </row>
    <row r="3418" spans="1:4" x14ac:dyDescent="0.2">
      <c r="A3418" s="10">
        <v>3357</v>
      </c>
      <c r="D3418" s="2" t="str">
        <f t="shared" si="52"/>
        <v>OK</v>
      </c>
    </row>
    <row r="3419" spans="1:4" x14ac:dyDescent="0.2">
      <c r="A3419" s="5">
        <v>3358</v>
      </c>
      <c r="B3419" s="138">
        <f>'Assets-Liab 5-6'!F4</f>
        <v>27648</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176606</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3940249</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35313</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79166</v>
      </c>
      <c r="C3446" s="2" t="s">
        <v>594</v>
      </c>
      <c r="D3446" s="2" t="str">
        <f t="shared" si="52"/>
        <v>Error?</v>
      </c>
    </row>
    <row r="3447" spans="1:4" x14ac:dyDescent="0.2">
      <c r="A3447" s="5">
        <v>3386</v>
      </c>
      <c r="B3447" s="138">
        <f>'Tax Sched 23'!D16</f>
        <v>54295</v>
      </c>
      <c r="C3447" s="2" t="s">
        <v>594</v>
      </c>
      <c r="D3447" s="2" t="str">
        <f t="shared" si="52"/>
        <v>Error?</v>
      </c>
    </row>
    <row r="3448" spans="1:4" x14ac:dyDescent="0.2">
      <c r="A3448" s="5">
        <v>3387</v>
      </c>
      <c r="B3448" s="138">
        <f>'Tax Sched 23'!C16</f>
        <v>24871</v>
      </c>
      <c r="D3448" s="2" t="str">
        <f t="shared" si="52"/>
        <v>Error?</v>
      </c>
    </row>
    <row r="3449" spans="1:4" x14ac:dyDescent="0.2">
      <c r="A3449" s="5">
        <v>3388</v>
      </c>
      <c r="B3449" s="138">
        <f>'Tax Sched 23'!F16</f>
        <v>23126</v>
      </c>
      <c r="C3449" s="2" t="s">
        <v>594</v>
      </c>
      <c r="D3449" s="2" t="str">
        <f t="shared" si="52"/>
        <v>Error?</v>
      </c>
    </row>
    <row r="3450" spans="1:4" x14ac:dyDescent="0.2">
      <c r="A3450" s="5">
        <v>3389</v>
      </c>
      <c r="B3450" s="138">
        <f>'Tax Sched 23'!E16</f>
        <v>47997</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53149</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53149</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53149</v>
      </c>
      <c r="D3567" s="2" t="str">
        <f t="shared" si="54"/>
        <v>Error?</v>
      </c>
    </row>
    <row r="3568" spans="1:4" x14ac:dyDescent="0.2">
      <c r="A3568" s="5">
        <v>3507</v>
      </c>
      <c r="B3568" s="138">
        <f>'Assets-Liab 5-6'!K41</f>
        <v>53149</v>
      </c>
      <c r="C3568" s="2" t="s">
        <v>594</v>
      </c>
      <c r="D3568" s="2" t="str">
        <f t="shared" si="54"/>
        <v>Error?</v>
      </c>
    </row>
    <row r="3569" spans="1:4" x14ac:dyDescent="0.2">
      <c r="A3569" s="5">
        <v>3508</v>
      </c>
      <c r="B3569" s="138">
        <f>'Acct Summary 7-8'!K4</f>
        <v>441</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441</v>
      </c>
      <c r="C3571" s="2" t="s">
        <v>594</v>
      </c>
      <c r="D3571" s="2" t="str">
        <f t="shared" si="54"/>
        <v>Error?</v>
      </c>
    </row>
    <row r="3572" spans="1:4" x14ac:dyDescent="0.2">
      <c r="A3572" s="5">
        <v>3511</v>
      </c>
      <c r="B3572" s="138">
        <f>'Acct Summary 7-8'!K13</f>
        <v>0</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0</v>
      </c>
      <c r="C3575" s="2" t="s">
        <v>594</v>
      </c>
      <c r="D3575" s="2" t="str">
        <f t="shared" si="54"/>
        <v>Error?</v>
      </c>
    </row>
    <row r="3576" spans="1:4" x14ac:dyDescent="0.2">
      <c r="A3576" s="5">
        <v>3515</v>
      </c>
      <c r="B3576" s="138">
        <f>'Acct Summary 7-8'!K20</f>
        <v>441</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441</v>
      </c>
      <c r="C3588" s="2" t="s">
        <v>594</v>
      </c>
      <c r="D3588" s="2" t="str">
        <f t="shared" si="55"/>
        <v>Error?</v>
      </c>
    </row>
    <row r="3589" spans="1:4" x14ac:dyDescent="0.2">
      <c r="A3589" s="5">
        <v>3528</v>
      </c>
      <c r="B3589" s="138">
        <f>'Acct Summary 7-8'!K79</f>
        <v>52708</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53149</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0</v>
      </c>
      <c r="C3635" s="2" t="s">
        <v>594</v>
      </c>
      <c r="D3635" s="2" t="str">
        <f t="shared" si="55"/>
        <v>Error?</v>
      </c>
    </row>
    <row r="3636" spans="1:4" x14ac:dyDescent="0.2">
      <c r="A3636" s="5">
        <v>3575</v>
      </c>
      <c r="B3636" s="138">
        <f>'Expenditures 15-22'!E367</f>
        <v>0</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0</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0</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441</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0</v>
      </c>
      <c r="C3725" s="2" t="s">
        <v>594</v>
      </c>
      <c r="D3725" s="2" t="str">
        <f t="shared" si="57"/>
        <v>Error?</v>
      </c>
    </row>
    <row r="3726" spans="1:4" x14ac:dyDescent="0.2">
      <c r="A3726" s="5">
        <v>3665</v>
      </c>
      <c r="B3726" s="138">
        <f>'Tax Sched 23'!D13</f>
        <v>0</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594</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463429</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6939420</v>
      </c>
      <c r="C4122" s="2" t="s">
        <v>594</v>
      </c>
      <c r="D4122" s="2" t="str">
        <f t="shared" si="63"/>
        <v>Error?</v>
      </c>
    </row>
    <row r="4123" spans="1:4" x14ac:dyDescent="0.2">
      <c r="A4123" s="5">
        <v>4062</v>
      </c>
      <c r="B4123" s="138">
        <f>'Acct Summary 7-8'!D10</f>
        <v>718899</v>
      </c>
      <c r="C4123" s="2" t="s">
        <v>594</v>
      </c>
      <c r="D4123" s="2" t="str">
        <f t="shared" si="63"/>
        <v>Error?</v>
      </c>
    </row>
    <row r="4124" spans="1:4" x14ac:dyDescent="0.2">
      <c r="A4124" s="5">
        <v>4063</v>
      </c>
      <c r="B4124" s="138">
        <f>'Acct Summary 7-8'!E10</f>
        <v>155109</v>
      </c>
      <c r="C4124" s="2" t="s">
        <v>594</v>
      </c>
      <c r="D4124" s="2" t="str">
        <f t="shared" si="63"/>
        <v>Error?</v>
      </c>
    </row>
    <row r="4125" spans="1:4" x14ac:dyDescent="0.2">
      <c r="A4125" s="5">
        <v>4064</v>
      </c>
      <c r="B4125" s="138">
        <f>'Acct Summary 7-8'!F10</f>
        <v>105145</v>
      </c>
      <c r="C4125" s="2" t="s">
        <v>594</v>
      </c>
      <c r="D4125" s="2" t="str">
        <f t="shared" si="63"/>
        <v>Error?</v>
      </c>
    </row>
    <row r="4126" spans="1:4" x14ac:dyDescent="0.2">
      <c r="A4126" s="5">
        <v>4065</v>
      </c>
      <c r="B4126" s="138">
        <f>'Acct Summary 7-8'!G10</f>
        <v>202328</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69849</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441</v>
      </c>
      <c r="C4130" s="2" t="s">
        <v>594</v>
      </c>
      <c r="D4130" s="2" t="str">
        <f t="shared" si="63"/>
        <v>Error?</v>
      </c>
    </row>
    <row r="4131" spans="1:4" x14ac:dyDescent="0.2">
      <c r="A4131" s="5">
        <v>4070</v>
      </c>
      <c r="B4131" s="138">
        <f>'Acct Summary 7-8'!C18</f>
        <v>463429</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6716567</v>
      </c>
      <c r="C4136" s="2" t="s">
        <v>594</v>
      </c>
      <c r="D4136" s="2" t="str">
        <f t="shared" si="63"/>
        <v>Error?</v>
      </c>
    </row>
    <row r="4137" spans="1:4" x14ac:dyDescent="0.2">
      <c r="A4137" s="5">
        <v>4076</v>
      </c>
      <c r="B4137" s="138">
        <f>'Acct Summary 7-8'!D19</f>
        <v>741372</v>
      </c>
      <c r="C4137" s="2" t="s">
        <v>594</v>
      </c>
      <c r="D4137" s="2" t="str">
        <f t="shared" si="63"/>
        <v>Error?</v>
      </c>
    </row>
    <row r="4138" spans="1:4" x14ac:dyDescent="0.2">
      <c r="A4138" s="5">
        <v>4077</v>
      </c>
      <c r="B4138" s="138">
        <f>'Acct Summary 7-8'!E19</f>
        <v>150545</v>
      </c>
      <c r="C4138" s="2" t="s">
        <v>594</v>
      </c>
      <c r="D4138" s="2" t="str">
        <f t="shared" si="63"/>
        <v>Error?</v>
      </c>
    </row>
    <row r="4139" spans="1:4" x14ac:dyDescent="0.2">
      <c r="A4139" s="5">
        <v>4078</v>
      </c>
      <c r="B4139" s="138">
        <f>'Acct Summary 7-8'!F19</f>
        <v>121934</v>
      </c>
      <c r="C4139" s="2" t="s">
        <v>594</v>
      </c>
      <c r="D4139" s="2" t="str">
        <f t="shared" si="63"/>
        <v>Error?</v>
      </c>
    </row>
    <row r="4140" spans="1:4" x14ac:dyDescent="0.2">
      <c r="A4140" s="5">
        <v>4079</v>
      </c>
      <c r="B4140" s="138">
        <f>'Acct Summary 7-8'!G19</f>
        <v>260737</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0</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1746652</v>
      </c>
      <c r="C4171" s="2" t="s">
        <v>594</v>
      </c>
      <c r="D4171" s="2" t="str">
        <f t="shared" si="64"/>
        <v>Error?</v>
      </c>
    </row>
    <row r="4172" spans="1:4" x14ac:dyDescent="0.2">
      <c r="A4172" s="5">
        <v>4111</v>
      </c>
      <c r="B4172" s="138">
        <f>'Short-Term Long-Term Debt 24'!J49</f>
        <v>1677148</v>
      </c>
      <c r="C4172" s="2" t="s">
        <v>594</v>
      </c>
      <c r="D4172" s="2" t="str">
        <f t="shared" si="64"/>
        <v>Error?</v>
      </c>
    </row>
    <row r="4173" spans="1:4" x14ac:dyDescent="0.2">
      <c r="A4173" s="5">
        <v>4112</v>
      </c>
      <c r="B4173" s="138">
        <f>'Short-Term Long-Term Debt 24'!H49</f>
        <v>80000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2320</v>
      </c>
      <c r="C4265" s="2" t="s">
        <v>594</v>
      </c>
      <c r="D4265" s="2" t="str">
        <f t="shared" si="65"/>
        <v>Error?</v>
      </c>
      <c r="E4265" s="128"/>
    </row>
    <row r="4266" spans="1:5" x14ac:dyDescent="0.2">
      <c r="A4266" s="12">
        <v>4205</v>
      </c>
      <c r="B4266" s="138">
        <f>('FP Info 3'!F10)*100000</f>
        <v>347.5</v>
      </c>
      <c r="C4266" s="2" t="s">
        <v>594</v>
      </c>
      <c r="D4266" s="2" t="str">
        <f t="shared" si="65"/>
        <v>Error?</v>
      </c>
      <c r="E4266" s="128"/>
    </row>
    <row r="4267" spans="1:5" x14ac:dyDescent="0.2">
      <c r="A4267" s="12">
        <v>4206</v>
      </c>
      <c r="B4267" s="138">
        <f>('FP Info 3'!H10)*100000</f>
        <v>26.200000000000003</v>
      </c>
      <c r="C4267" s="2" t="s">
        <v>594</v>
      </c>
      <c r="D4267" s="2" t="str">
        <f t="shared" si="65"/>
        <v>Error?</v>
      </c>
      <c r="E4267" s="128"/>
    </row>
    <row r="4268" spans="1:5" x14ac:dyDescent="0.2">
      <c r="A4268" s="12">
        <v>4207</v>
      </c>
      <c r="B4268" s="138">
        <f>('FP Info 3'!J10)*100000</f>
        <v>2694</v>
      </c>
      <c r="C4268" s="2" t="s">
        <v>594</v>
      </c>
      <c r="D4268" s="2" t="str">
        <f t="shared" si="65"/>
        <v>Error?</v>
      </c>
    </row>
    <row r="4269" spans="1:5" x14ac:dyDescent="0.2">
      <c r="A4269" s="12">
        <v>4208</v>
      </c>
      <c r="B4269" s="138">
        <f>'FP Info 3'!J16</f>
        <v>5640634</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48989</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30342</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10414</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29.999999999999996</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201745478</v>
      </c>
      <c r="D4995" s="2" t="str">
        <f t="shared" si="77"/>
        <v>Error?</v>
      </c>
    </row>
    <row r="4996" spans="1:4" x14ac:dyDescent="0.2">
      <c r="A4996" s="12">
        <v>4935</v>
      </c>
      <c r="B4996" s="138">
        <f>'FP Info 3'!H31</f>
        <v>13920437.982000001</v>
      </c>
      <c r="D4996" s="2" t="str">
        <f t="shared" si="77"/>
        <v>Error?</v>
      </c>
    </row>
    <row r="4997" spans="1:4" x14ac:dyDescent="0.2">
      <c r="A4997" s="12">
        <v>4936</v>
      </c>
      <c r="B4997" s="138">
        <f>'FP Info 3'!H37</f>
        <v>1746652</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4310808</v>
      </c>
      <c r="D5061" s="2" t="str">
        <f t="shared" si="78"/>
        <v>Error?</v>
      </c>
    </row>
    <row r="5062" spans="1:4" x14ac:dyDescent="0.2">
      <c r="A5062" s="10">
        <v>5001</v>
      </c>
      <c r="D5062" s="2" t="str">
        <f t="shared" si="78"/>
        <v>OK</v>
      </c>
    </row>
    <row r="5063" spans="1:4" x14ac:dyDescent="0.2">
      <c r="A5063" s="5">
        <v>5002</v>
      </c>
      <c r="B5063" s="138">
        <f>'Revenues 9-14'!C7</f>
        <v>48242</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4359050</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66276</v>
      </c>
      <c r="D5069" s="2" t="str">
        <f t="shared" si="78"/>
        <v>Error?</v>
      </c>
    </row>
    <row r="5070" spans="1:4" x14ac:dyDescent="0.2">
      <c r="A5070" s="5">
        <v>5009</v>
      </c>
      <c r="B5070" s="138">
        <f>'Revenues 9-14'!C17</f>
        <v>0</v>
      </c>
      <c r="D5070" s="2" t="str">
        <f t="shared" si="78"/>
        <v>Error?</v>
      </c>
    </row>
    <row r="5071" spans="1:4" x14ac:dyDescent="0.2">
      <c r="A5071" s="5">
        <v>5010</v>
      </c>
      <c r="B5071" s="138">
        <f>'Revenues 9-14'!C18</f>
        <v>66276</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31761</v>
      </c>
      <c r="D5088" s="2" t="str">
        <f t="shared" si="78"/>
        <v>Error?</v>
      </c>
    </row>
    <row r="5089" spans="1:4" x14ac:dyDescent="0.2">
      <c r="A5089" s="5">
        <v>5028</v>
      </c>
      <c r="B5089" s="138">
        <f>'Revenues 9-14'!C66</f>
        <v>0</v>
      </c>
      <c r="D5089" s="2" t="str">
        <f t="shared" si="78"/>
        <v>Error?</v>
      </c>
    </row>
    <row r="5090" spans="1:4" x14ac:dyDescent="0.2">
      <c r="A5090" s="5">
        <v>5029</v>
      </c>
      <c r="B5090" s="138">
        <f>'Revenues 9-14'!C67</f>
        <v>31761</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37788</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72112</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72112</v>
      </c>
      <c r="C5102" s="2" t="s">
        <v>594</v>
      </c>
      <c r="D5102" s="2" t="str">
        <f t="shared" si="78"/>
        <v>Error?</v>
      </c>
    </row>
    <row r="5103" spans="1:4" x14ac:dyDescent="0.2">
      <c r="A5103" s="5">
        <v>5042</v>
      </c>
      <c r="B5103" s="138">
        <f>'Revenues 9-14'!C84</f>
        <v>102466</v>
      </c>
      <c r="D5103" s="2" t="str">
        <f t="shared" si="78"/>
        <v>Error?</v>
      </c>
    </row>
    <row r="5104" spans="1:4" x14ac:dyDescent="0.2">
      <c r="A5104" s="5">
        <v>5043</v>
      </c>
      <c r="B5104" s="138">
        <f>'Revenues 9-14'!C85</f>
        <v>1480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103946</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22100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88147</v>
      </c>
      <c r="D5119" s="2" t="str">
        <f t="shared" ref="D5119:D5182" si="79">IF(ISBLANK(B5119),"OK",IF(A5119-B5119=0,"OK","Error?"))</f>
        <v>Error?</v>
      </c>
    </row>
    <row r="5120" spans="1:4" x14ac:dyDescent="0.2">
      <c r="A5120" s="5">
        <v>5059</v>
      </c>
      <c r="B5120" s="138">
        <f>'Revenues 9-14'!C108</f>
        <v>110247</v>
      </c>
      <c r="C5120" s="2" t="s">
        <v>594</v>
      </c>
      <c r="D5120" s="2" t="str">
        <f t="shared" si="79"/>
        <v>Error?</v>
      </c>
    </row>
    <row r="5121" spans="1:4" x14ac:dyDescent="0.2">
      <c r="A5121" s="5">
        <v>5060</v>
      </c>
      <c r="B5121" s="138">
        <f>'Revenues 9-14'!C109</f>
        <v>4781180</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857056</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857056</v>
      </c>
      <c r="C5132" s="2" t="s">
        <v>594</v>
      </c>
      <c r="D5132" s="2" t="str">
        <f t="shared" si="79"/>
        <v>Error?</v>
      </c>
    </row>
    <row r="5133" spans="1:4" x14ac:dyDescent="0.2">
      <c r="A5133" s="5">
        <v>5072</v>
      </c>
      <c r="B5133" s="138">
        <f>'Revenues 9-14'!C124</f>
        <v>1770</v>
      </c>
      <c r="D5133" s="2" t="str">
        <f t="shared" si="79"/>
        <v>Error?</v>
      </c>
    </row>
    <row r="5134" spans="1:4" x14ac:dyDescent="0.2">
      <c r="A5134" s="5">
        <v>5073</v>
      </c>
      <c r="B5134" s="138">
        <f>'Revenues 9-14'!C125</f>
        <v>41731</v>
      </c>
      <c r="D5134" s="2" t="str">
        <f t="shared" si="79"/>
        <v>Error?</v>
      </c>
    </row>
    <row r="5135" spans="1:4" x14ac:dyDescent="0.2">
      <c r="A5135" s="5">
        <v>5074</v>
      </c>
      <c r="B5135" s="138">
        <f>'Revenues 9-14'!C126</f>
        <v>35910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79411</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0</v>
      </c>
      <c r="C5161" s="2" t="s">
        <v>594</v>
      </c>
      <c r="D5161" s="2" t="str">
        <f t="shared" si="79"/>
        <v>Error?</v>
      </c>
    </row>
    <row r="5162" spans="1:4" x14ac:dyDescent="0.2">
      <c r="A5162" s="10">
        <v>5101</v>
      </c>
      <c r="D5162" s="2" t="str">
        <f t="shared" si="79"/>
        <v>OK</v>
      </c>
    </row>
    <row r="5163" spans="1:4" x14ac:dyDescent="0.2">
      <c r="A5163" s="5">
        <v>5102</v>
      </c>
      <c r="B5163" s="138">
        <f>'Revenues 9-14'!C142</f>
        <v>56281</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56281</v>
      </c>
      <c r="C5165" s="2" t="s">
        <v>594</v>
      </c>
      <c r="D5165" s="2" t="str">
        <f t="shared" si="79"/>
        <v>Error?</v>
      </c>
    </row>
    <row r="5166" spans="1:4" x14ac:dyDescent="0.2">
      <c r="A5166" s="10">
        <v>5105</v>
      </c>
      <c r="D5166" s="2" t="str">
        <f t="shared" si="79"/>
        <v>OK</v>
      </c>
    </row>
    <row r="5167" spans="1:4" x14ac:dyDescent="0.2">
      <c r="A5167" s="5">
        <v>5106</v>
      </c>
      <c r="B5167" s="138">
        <f>'Revenues 9-14'!C145</f>
        <v>1876</v>
      </c>
      <c r="D5167" s="2" t="str">
        <f t="shared" si="79"/>
        <v>Error?</v>
      </c>
    </row>
    <row r="5168" spans="1:4" x14ac:dyDescent="0.2">
      <c r="A5168" s="5">
        <v>5107</v>
      </c>
      <c r="B5168" s="138">
        <f>'Revenues 9-14'!C147</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340241</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477809</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1334865</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105621</v>
      </c>
      <c r="D5239" s="2" t="str">
        <f t="shared" si="80"/>
        <v>Error?</v>
      </c>
    </row>
    <row r="5240" spans="1:4" x14ac:dyDescent="0.2">
      <c r="A5240" s="5">
        <v>5179</v>
      </c>
      <c r="B5240" s="138">
        <f>'Revenues 9-14'!C195</f>
        <v>1626</v>
      </c>
      <c r="D5240" s="2" t="str">
        <f t="shared" si="80"/>
        <v>Error?</v>
      </c>
    </row>
    <row r="5241" spans="1:4" x14ac:dyDescent="0.2">
      <c r="A5241" s="5">
        <v>5180</v>
      </c>
      <c r="B5241" s="138">
        <f>'Revenues 9-14'!C196</f>
        <v>15614</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122861</v>
      </c>
      <c r="C5246" s="2" t="s">
        <v>594</v>
      </c>
      <c r="D5246" s="2" t="str">
        <f t="shared" si="80"/>
        <v>Error?</v>
      </c>
    </row>
    <row r="5247" spans="1:4" x14ac:dyDescent="0.2">
      <c r="A5247" s="5">
        <v>5186</v>
      </c>
      <c r="B5247" s="138">
        <f>'Revenues 9-14'!C203</f>
        <v>122554</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122554</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1394</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23392</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24786</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359946</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359946</v>
      </c>
      <c r="C5326" s="2" t="s">
        <v>594</v>
      </c>
      <c r="D5326" s="2" t="str">
        <f t="shared" si="82"/>
        <v>Error?</v>
      </c>
    </row>
    <row r="5327" spans="1:4" x14ac:dyDescent="0.2">
      <c r="A5327" s="5">
        <v>5266</v>
      </c>
      <c r="B5327" s="138">
        <f>'Revenues 9-14'!C275</f>
        <v>6475991</v>
      </c>
      <c r="C5327" s="2" t="s">
        <v>594</v>
      </c>
      <c r="D5327" s="2" t="str">
        <f t="shared" si="82"/>
        <v>Error?</v>
      </c>
    </row>
    <row r="5328" spans="1:4" x14ac:dyDescent="0.2">
      <c r="A5328" s="5">
        <v>5267</v>
      </c>
      <c r="B5328" s="138">
        <f>'Revenues 9-14'!D5</f>
        <v>672422</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672422</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4768</v>
      </c>
      <c r="D5340" s="2" t="str">
        <f t="shared" si="82"/>
        <v>Error?</v>
      </c>
    </row>
    <row r="5341" spans="1:4" x14ac:dyDescent="0.2">
      <c r="A5341" s="5">
        <v>5280</v>
      </c>
      <c r="B5341" s="138">
        <f>'Revenues 9-14'!D66</f>
        <v>0</v>
      </c>
      <c r="D5341" s="2" t="str">
        <f t="shared" si="82"/>
        <v>Error?</v>
      </c>
    </row>
    <row r="5342" spans="1:4" x14ac:dyDescent="0.2">
      <c r="A5342" s="5">
        <v>5281</v>
      </c>
      <c r="B5342" s="138">
        <f>'Revenues 9-14'!D67</f>
        <v>4768</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41709</v>
      </c>
      <c r="D5354" s="2" t="str">
        <f t="shared" si="82"/>
        <v>Error?</v>
      </c>
    </row>
    <row r="5355" spans="1:4" x14ac:dyDescent="0.2">
      <c r="A5355" s="5">
        <v>5294</v>
      </c>
      <c r="B5355" s="138">
        <f>'Revenues 9-14'!D108</f>
        <v>41709</v>
      </c>
      <c r="C5355" s="2" t="s">
        <v>594</v>
      </c>
      <c r="D5355" s="2" t="str">
        <f t="shared" si="82"/>
        <v>Error?</v>
      </c>
    </row>
    <row r="5356" spans="1:4" x14ac:dyDescent="0.2">
      <c r="A5356" s="5">
        <v>5295</v>
      </c>
      <c r="B5356" s="138">
        <f>'Revenues 9-14'!D109</f>
        <v>718899</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718899</v>
      </c>
      <c r="C5508" s="2" t="s">
        <v>594</v>
      </c>
      <c r="D5508" s="2" t="str">
        <f t="shared" si="85"/>
        <v>Error?</v>
      </c>
    </row>
    <row r="5509" spans="1:4" x14ac:dyDescent="0.2">
      <c r="A5509" s="5">
        <v>5448</v>
      </c>
      <c r="B5509" s="138">
        <f>'Revenues 9-14'!E5</f>
        <v>154150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154150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959</v>
      </c>
      <c r="D5519" s="2" t="str">
        <f t="shared" si="85"/>
        <v>Error?</v>
      </c>
    </row>
    <row r="5520" spans="1:4" x14ac:dyDescent="0.2">
      <c r="A5520" s="5">
        <v>5459</v>
      </c>
      <c r="B5520" s="138">
        <f>'Revenues 9-14'!E66</f>
        <v>0</v>
      </c>
      <c r="D5520" s="2" t="str">
        <f t="shared" si="85"/>
        <v>Error?</v>
      </c>
    </row>
    <row r="5521" spans="1:4" x14ac:dyDescent="0.2">
      <c r="A5521" s="5">
        <v>5460</v>
      </c>
      <c r="B5521" s="138">
        <f>'Revenues 9-14'!E67</f>
        <v>959</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155109</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155109</v>
      </c>
      <c r="C5552" s="2" t="s">
        <v>594</v>
      </c>
      <c r="D5552" s="2" t="str">
        <f t="shared" si="85"/>
        <v>Error?</v>
      </c>
    </row>
    <row r="5553" spans="1:4" x14ac:dyDescent="0.2">
      <c r="A5553" s="5">
        <v>5492</v>
      </c>
      <c r="B5553" s="138">
        <f>'Revenues 9-14'!F5</f>
        <v>57689</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57689</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2860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2860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9816</v>
      </c>
      <c r="D5586" s="2" t="str">
        <f t="shared" si="86"/>
        <v>Error?</v>
      </c>
    </row>
    <row r="5587" spans="1:4" x14ac:dyDescent="0.2">
      <c r="A5587" s="5">
        <v>5526</v>
      </c>
      <c r="B5587" s="138">
        <f>'Revenues 9-14'!F108</f>
        <v>9816</v>
      </c>
      <c r="C5587" s="2" t="s">
        <v>594</v>
      </c>
      <c r="D5587" s="2" t="str">
        <f t="shared" si="86"/>
        <v>Error?</v>
      </c>
    </row>
    <row r="5588" spans="1:4" x14ac:dyDescent="0.2">
      <c r="A5588" s="5">
        <v>5527</v>
      </c>
      <c r="B5588" s="138">
        <f>'Revenues 9-14'!F109</f>
        <v>70365</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125</v>
      </c>
      <c r="D5615" s="2" t="str">
        <f t="shared" si="86"/>
        <v>Error?</v>
      </c>
    </row>
    <row r="5616" spans="1:4" x14ac:dyDescent="0.2">
      <c r="A5616" s="10">
        <v>5555</v>
      </c>
      <c r="D5616" s="2" t="str">
        <f t="shared" si="86"/>
        <v>OK</v>
      </c>
    </row>
    <row r="5617" spans="1:4" x14ac:dyDescent="0.2">
      <c r="A5617" s="5">
        <v>5556</v>
      </c>
      <c r="B5617" s="138">
        <f>'Revenues 9-14'!F152</f>
        <v>34655</v>
      </c>
      <c r="D5617" s="2" t="str">
        <f t="shared" si="86"/>
        <v>Error?</v>
      </c>
    </row>
    <row r="5618" spans="1:4" x14ac:dyDescent="0.2">
      <c r="A5618" s="5">
        <v>5557</v>
      </c>
      <c r="B5618" s="138">
        <f>'Revenues 9-14'!F154</f>
        <v>34780</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34780</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34780</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105145</v>
      </c>
      <c r="C5720" s="2" t="s">
        <v>594</v>
      </c>
      <c r="D5720" s="2" t="str">
        <f t="shared" si="88"/>
        <v>Error?</v>
      </c>
    </row>
    <row r="5721" spans="1:4" x14ac:dyDescent="0.2">
      <c r="A5721" s="5">
        <v>5660</v>
      </c>
      <c r="B5721" s="138">
        <f>'Revenues 9-14'!G5</f>
        <v>121178</v>
      </c>
      <c r="D5721" s="2" t="str">
        <f t="shared" si="88"/>
        <v>Error?</v>
      </c>
    </row>
    <row r="5722" spans="1:4" x14ac:dyDescent="0.2">
      <c r="A5722" s="5">
        <v>5661</v>
      </c>
      <c r="B5722" s="138">
        <f>'Revenues 9-14'!G7</f>
        <v>0</v>
      </c>
      <c r="D5722" s="2" t="str">
        <f t="shared" si="88"/>
        <v>Error?</v>
      </c>
    </row>
    <row r="5723" spans="1:4" x14ac:dyDescent="0.2">
      <c r="A5723" s="5">
        <v>5662</v>
      </c>
      <c r="B5723" s="138">
        <f>'Revenues 9-14'!G8</f>
        <v>79166</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200344</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1984</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1984</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202328</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22527</v>
      </c>
      <c r="D5916" s="2" t="str">
        <f t="shared" si="91"/>
        <v>Error?</v>
      </c>
    </row>
    <row r="5917" spans="1:4" x14ac:dyDescent="0.2">
      <c r="A5917" s="5">
        <v>5856</v>
      </c>
      <c r="B5917" s="138">
        <f>'Revenues 9-14'!I11</f>
        <v>0</v>
      </c>
      <c r="D5917" s="2" t="str">
        <f t="shared" si="91"/>
        <v>Error?</v>
      </c>
    </row>
    <row r="5918" spans="1:4" x14ac:dyDescent="0.2">
      <c r="A5918" s="5">
        <v>5857</v>
      </c>
      <c r="B5918" s="138">
        <f>'Revenues 9-14'!I12</f>
        <v>22527</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47322</v>
      </c>
      <c r="D5924" s="2" t="str">
        <f t="shared" si="91"/>
        <v>Error?</v>
      </c>
    </row>
    <row r="5925" spans="1:4" x14ac:dyDescent="0.2">
      <c r="A5925" s="5">
        <v>5864</v>
      </c>
      <c r="B5925" s="138">
        <f>'Revenues 9-14'!I66</f>
        <v>0</v>
      </c>
      <c r="D5925" s="2" t="str">
        <f t="shared" si="91"/>
        <v>Error?</v>
      </c>
    </row>
    <row r="5926" spans="1:4" x14ac:dyDescent="0.2">
      <c r="A5926" s="5">
        <v>5865</v>
      </c>
      <c r="B5926" s="138">
        <f>'Revenues 9-14'!I67</f>
        <v>47322</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69849</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441</v>
      </c>
      <c r="D5985" s="2" t="str">
        <f t="shared" si="92"/>
        <v>Error?</v>
      </c>
    </row>
    <row r="5986" spans="1:4" x14ac:dyDescent="0.2">
      <c r="A5986" s="5">
        <v>5925</v>
      </c>
      <c r="B5986" s="138">
        <f>'Revenues 9-14'!K11</f>
        <v>0</v>
      </c>
      <c r="D5986" s="2" t="str">
        <f t="shared" si="92"/>
        <v>Error?</v>
      </c>
    </row>
    <row r="5987" spans="1:4" x14ac:dyDescent="0.2">
      <c r="A5987" s="5">
        <v>5926</v>
      </c>
      <c r="B5987" s="138">
        <f>'Revenues 9-14'!K12</f>
        <v>441</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441</v>
      </c>
      <c r="C6023" s="2" t="s">
        <v>594</v>
      </c>
      <c r="D6023" s="2" t="str">
        <f t="shared" si="93"/>
        <v>Error?</v>
      </c>
    </row>
    <row r="6024" spans="1:5" x14ac:dyDescent="0.2">
      <c r="A6024" s="5">
        <v>5963</v>
      </c>
      <c r="B6024" s="138">
        <f>'Revenues 9-14'!G109</f>
        <v>202328</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69849</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441</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37788</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12961</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582.58000000000004</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114868</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114868</v>
      </c>
      <c r="D6215" s="2" t="str">
        <f t="shared" si="96"/>
        <v>Error?</v>
      </c>
      <c r="E6215" s="2" t="s">
        <v>199</v>
      </c>
    </row>
    <row r="6216" spans="1:5" x14ac:dyDescent="0.2">
      <c r="A6216">
        <v>6155</v>
      </c>
      <c r="B6216" s="138">
        <f>'Assets-Liab 5-6'!J41</f>
        <v>114868</v>
      </c>
      <c r="D6216" s="2" t="str">
        <f t="shared" si="96"/>
        <v>Error?</v>
      </c>
      <c r="E6216" s="2" t="s">
        <v>199</v>
      </c>
    </row>
    <row r="6217" spans="1:5" x14ac:dyDescent="0.2">
      <c r="A6217">
        <v>6156</v>
      </c>
      <c r="B6217" s="138">
        <f>'Assets-Liab 5-6'!J4</f>
        <v>114868</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67214</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67214</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67214</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74937</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74937</v>
      </c>
      <c r="D6229" s="2" t="str">
        <f t="shared" si="96"/>
        <v>Error?</v>
      </c>
      <c r="E6229" s="2" t="s">
        <v>199</v>
      </c>
    </row>
    <row r="6230" spans="1:5" x14ac:dyDescent="0.2">
      <c r="A6230">
        <v>6169</v>
      </c>
      <c r="B6230" s="138">
        <f>'Acct Summary 7-8'!J20</f>
        <v>-7723</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-7723</v>
      </c>
      <c r="D6263" s="2" t="str">
        <f t="shared" si="96"/>
        <v>Error?</v>
      </c>
      <c r="E6263" s="2" t="s">
        <v>199</v>
      </c>
    </row>
    <row r="6264" spans="1:5" x14ac:dyDescent="0.2">
      <c r="A6264">
        <v>6203</v>
      </c>
      <c r="B6264" s="138">
        <f>'Acct Summary 7-8'!J79</f>
        <v>122591</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114868</v>
      </c>
      <c r="D6266" s="2" t="str">
        <f t="shared" si="96"/>
        <v>Error?</v>
      </c>
      <c r="E6266" s="2" t="s">
        <v>199</v>
      </c>
    </row>
    <row r="6267" spans="1:5" x14ac:dyDescent="0.2">
      <c r="A6267">
        <v>6206</v>
      </c>
      <c r="B6267" s="138">
        <f>'Acct Summary 7-8'!C82</f>
        <v>222853</v>
      </c>
      <c r="D6267" s="2" t="str">
        <f t="shared" si="96"/>
        <v>Error?</v>
      </c>
      <c r="E6267" s="2" t="s">
        <v>199</v>
      </c>
    </row>
    <row r="6268" spans="1:5" x14ac:dyDescent="0.2">
      <c r="A6268">
        <v>6207</v>
      </c>
      <c r="B6268" s="138">
        <f>'Acct Summary 7-8'!D82</f>
        <v>-22473</v>
      </c>
      <c r="D6268" s="2" t="str">
        <f t="shared" si="96"/>
        <v>Error?</v>
      </c>
      <c r="E6268" s="2" t="s">
        <v>199</v>
      </c>
    </row>
    <row r="6269" spans="1:5" x14ac:dyDescent="0.2">
      <c r="A6269">
        <v>6208</v>
      </c>
      <c r="B6269" s="138">
        <f>'Acct Summary 7-8'!E82</f>
        <v>4564</v>
      </c>
      <c r="D6269" s="2" t="str">
        <f t="shared" si="96"/>
        <v>Error?</v>
      </c>
      <c r="E6269" s="2" t="s">
        <v>199</v>
      </c>
    </row>
    <row r="6270" spans="1:5" x14ac:dyDescent="0.2">
      <c r="A6270">
        <v>6209</v>
      </c>
      <c r="B6270" s="138">
        <f>'Acct Summary 7-8'!F82</f>
        <v>-16789</v>
      </c>
      <c r="D6270" s="2" t="str">
        <f t="shared" si="96"/>
        <v>Error?</v>
      </c>
      <c r="E6270" s="2" t="s">
        <v>199</v>
      </c>
    </row>
    <row r="6271" spans="1:5" x14ac:dyDescent="0.2">
      <c r="A6271">
        <v>6210</v>
      </c>
      <c r="B6271" s="138">
        <f>'Acct Summary 7-8'!G82</f>
        <v>-58409</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69849</v>
      </c>
      <c r="D6273" s="2" t="str">
        <f t="shared" si="97"/>
        <v>Error?</v>
      </c>
      <c r="E6273" s="2" t="s">
        <v>199</v>
      </c>
    </row>
    <row r="6274" spans="1:5" x14ac:dyDescent="0.2">
      <c r="A6274">
        <v>6213</v>
      </c>
      <c r="B6274" s="138">
        <f>'Acct Summary 7-8'!J82</f>
        <v>-7723</v>
      </c>
      <c r="D6274" s="2" t="str">
        <f t="shared" si="97"/>
        <v>Error?</v>
      </c>
      <c r="E6274" s="2" t="s">
        <v>199</v>
      </c>
    </row>
    <row r="6275" spans="1:5" x14ac:dyDescent="0.2">
      <c r="A6275">
        <v>6214</v>
      </c>
      <c r="B6275" s="138">
        <f>'Acct Summary 7-8'!K82</f>
        <v>441</v>
      </c>
      <c r="D6275" s="2" t="str">
        <f t="shared" si="97"/>
        <v>Error?</v>
      </c>
      <c r="E6275" s="2" t="s">
        <v>199</v>
      </c>
    </row>
    <row r="6276" spans="1:5" x14ac:dyDescent="0.2">
      <c r="A6276">
        <v>6215</v>
      </c>
      <c r="B6276" s="138">
        <f>'Acct Summary 7-8'!C83</f>
        <v>0.17134248121485834</v>
      </c>
      <c r="D6276" s="2" t="str">
        <f t="shared" si="97"/>
        <v>Error?</v>
      </c>
      <c r="E6276" s="2" t="s">
        <v>199</v>
      </c>
    </row>
    <row r="6277" spans="1:5" x14ac:dyDescent="0.2">
      <c r="A6277">
        <v>6216</v>
      </c>
      <c r="B6277" s="138">
        <f>'Acct Summary 7-8'!D83</f>
        <v>-6.0393756651294789E-2</v>
      </c>
      <c r="D6277" s="2" t="str">
        <f t="shared" si="97"/>
        <v>Error?</v>
      </c>
      <c r="E6277" s="2" t="s">
        <v>199</v>
      </c>
    </row>
    <row r="6278" spans="1:5" x14ac:dyDescent="0.2">
      <c r="A6278">
        <v>6217</v>
      </c>
      <c r="B6278" s="138">
        <f>'Acct Summary 7-8'!E83</f>
        <v>6.5665285451197056E-2</v>
      </c>
      <c r="D6278" s="2" t="str">
        <f t="shared" si="97"/>
        <v>Error?</v>
      </c>
      <c r="E6278" s="2" t="s">
        <v>199</v>
      </c>
    </row>
    <row r="6279" spans="1:5" x14ac:dyDescent="0.2">
      <c r="A6279">
        <v>6218</v>
      </c>
      <c r="B6279" s="138">
        <f>'Acct Summary 7-8'!F83</f>
        <v>-0.60724103009259256</v>
      </c>
      <c r="D6279" s="2" t="str">
        <f t="shared" si="97"/>
        <v>Error?</v>
      </c>
      <c r="E6279" s="2" t="s">
        <v>199</v>
      </c>
    </row>
    <row r="6280" spans="1:5" x14ac:dyDescent="0.2">
      <c r="A6280">
        <v>6219</v>
      </c>
      <c r="B6280" s="138">
        <f>'Acct Summary 7-8'!G83</f>
        <v>-0.330730552755852</v>
      </c>
      <c r="D6280" s="2" t="str">
        <f t="shared" si="97"/>
        <v>Error?</v>
      </c>
      <c r="E6280" s="2" t="s">
        <v>199</v>
      </c>
    </row>
    <row r="6281" spans="1:5" x14ac:dyDescent="0.2">
      <c r="A6281">
        <v>6220</v>
      </c>
      <c r="B6281" s="138" t="e">
        <f>'Acct Summary 7-8'!H83</f>
        <v>#DIV/0!</v>
      </c>
      <c r="D6281" s="2" t="e">
        <f t="shared" si="97"/>
        <v>#DIV/0!</v>
      </c>
      <c r="E6281" s="2" t="s">
        <v>199</v>
      </c>
    </row>
    <row r="6282" spans="1:5" x14ac:dyDescent="0.2">
      <c r="A6282">
        <v>6221</v>
      </c>
      <c r="B6282" s="138">
        <f>'Acct Summary 7-8'!I83</f>
        <v>1.7727052275122713E-2</v>
      </c>
      <c r="D6282" s="2" t="str">
        <f t="shared" si="97"/>
        <v>Error?</v>
      </c>
      <c r="E6282" s="2" t="s">
        <v>199</v>
      </c>
    </row>
    <row r="6283" spans="1:5" x14ac:dyDescent="0.2">
      <c r="A6283">
        <v>6222</v>
      </c>
      <c r="B6283" s="138">
        <f>'Acct Summary 7-8'!J83</f>
        <v>-6.7233694327401894E-2</v>
      </c>
      <c r="D6283" s="2" t="str">
        <f t="shared" si="97"/>
        <v>Error?</v>
      </c>
      <c r="E6283" s="2" t="s">
        <v>199</v>
      </c>
    </row>
    <row r="6284" spans="1:5" x14ac:dyDescent="0.2">
      <c r="A6284">
        <v>6223</v>
      </c>
      <c r="B6284" s="138">
        <f>'Acct Summary 7-8'!K83</f>
        <v>8.2974279854747968E-3</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65141</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65141</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2073</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2073</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67214</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0</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168873</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71393</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6404</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229710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77797</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67874</v>
      </c>
      <c r="D6983" s="2" t="str">
        <f t="shared" si="108"/>
        <v>Error?</v>
      </c>
    </row>
    <row r="6984" spans="1:4" x14ac:dyDescent="0.2">
      <c r="A6984">
        <v>6923</v>
      </c>
      <c r="B6984" s="138">
        <f>'Expenditures 15-22'!K86</f>
        <v>67874</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67874</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77797</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5232</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15867</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21099</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21099</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74937</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21099</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67214</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9999</v>
      </c>
      <c r="D7073" s="2" t="str">
        <f t="shared" si="109"/>
        <v>Error?</v>
      </c>
    </row>
    <row r="7074" spans="1:4" x14ac:dyDescent="0.2">
      <c r="A7074">
        <v>7013</v>
      </c>
      <c r="B7074" s="138">
        <f>'Expenditures 15-22'!K216</f>
        <v>9999</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74937</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74937</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74937</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74937</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74937</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74937</v>
      </c>
      <c r="D7224" s="2" t="str">
        <f t="shared" si="111"/>
        <v>Error?</v>
      </c>
    </row>
    <row r="7225" spans="1:4" x14ac:dyDescent="0.2">
      <c r="A7225">
        <v>7164</v>
      </c>
      <c r="B7225" s="138">
        <f>'Expenditures 15-22'!K343</f>
        <v>-7723</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34598</v>
      </c>
      <c r="D7246" s="2" t="str">
        <f t="shared" si="112"/>
        <v>Error?</v>
      </c>
    </row>
    <row r="7247" spans="1:4" x14ac:dyDescent="0.2">
      <c r="A7247">
        <f t="shared" si="113"/>
        <v>7186</v>
      </c>
      <c r="B7247" s="138">
        <f>'Expenditures 15-22'!E7</f>
        <v>2229</v>
      </c>
      <c r="D7247" s="2" t="str">
        <f t="shared" si="112"/>
        <v>Error?</v>
      </c>
    </row>
    <row r="7248" spans="1:4" x14ac:dyDescent="0.2">
      <c r="A7248">
        <f t="shared" si="113"/>
        <v>7187</v>
      </c>
      <c r="B7248" s="138">
        <f>'Expenditures 15-22'!F7</f>
        <v>17606</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98896</v>
      </c>
      <c r="D7624" s="2" t="str">
        <f t="shared" si="124"/>
        <v>Error?</v>
      </c>
      <c r="E7624" s="2" t="s">
        <v>19</v>
      </c>
    </row>
    <row r="7625" spans="1:5" x14ac:dyDescent="0.2">
      <c r="A7625">
        <f t="shared" si="123"/>
        <v>7564</v>
      </c>
      <c r="B7625" s="138">
        <f>'Cap Outlay Deprec 26'!I17</f>
        <v>9889.6</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9889.6</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48242</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1967</v>
      </c>
    </row>
    <row r="7775" spans="1:5" x14ac:dyDescent="0.2">
      <c r="A7775">
        <v>7714</v>
      </c>
      <c r="B7775" s="138">
        <f>'Expenditures 15-22'!H133</f>
        <v>0</v>
      </c>
      <c r="D7775" s="2" t="str">
        <f t="shared" si="127"/>
        <v>Error?</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f>'Expenditures 15-22'!H158</f>
        <v>0</v>
      </c>
      <c r="D7779" s="2" t="str">
        <f t="shared" si="127"/>
        <v>Error?</v>
      </c>
      <c r="E7779" s="4" t="s">
        <v>1967</v>
      </c>
    </row>
    <row r="7780" spans="1:5" x14ac:dyDescent="0.2">
      <c r="A7780">
        <v>7719</v>
      </c>
      <c r="B7780" s="138">
        <f>'Expenditures 15-22'!K158</f>
        <v>0</v>
      </c>
      <c r="D7780" s="2" t="str">
        <f t="shared" si="127"/>
        <v>Error?</v>
      </c>
      <c r="E7780" s="4" t="s">
        <v>1967</v>
      </c>
    </row>
    <row r="7781" spans="1:5" x14ac:dyDescent="0.2">
      <c r="A7781">
        <v>7720</v>
      </c>
      <c r="B7781" s="138">
        <f>'Expenditures 15-22'!H159</f>
        <v>0</v>
      </c>
      <c r="D7781" s="2" t="str">
        <f t="shared" si="127"/>
        <v>Error?</v>
      </c>
      <c r="E7781" s="4" t="s">
        <v>1967</v>
      </c>
    </row>
    <row r="7782" spans="1:5" x14ac:dyDescent="0.2">
      <c r="A7782">
        <v>7721</v>
      </c>
      <c r="B7782" s="138">
        <f>'Expenditures 15-22'!K159</f>
        <v>0</v>
      </c>
      <c r="D7782" s="2" t="str">
        <f t="shared" si="127"/>
        <v>Error?</v>
      </c>
      <c r="E7782" s="4" t="s">
        <v>1967</v>
      </c>
    </row>
    <row r="7783" spans="1:5" x14ac:dyDescent="0.2">
      <c r="A7783">
        <v>7722</v>
      </c>
      <c r="B7783" s="138">
        <f>'Expenditures 15-22'!D282</f>
        <v>0</v>
      </c>
      <c r="D7783" s="2" t="str">
        <f t="shared" si="127"/>
        <v>Error?</v>
      </c>
      <c r="E7783" s="4" t="s">
        <v>1967</v>
      </c>
    </row>
    <row r="7784" spans="1:5" x14ac:dyDescent="0.2">
      <c r="A7784">
        <v>7723</v>
      </c>
      <c r="B7784" s="138">
        <f>'Expenditures 15-22'!K282</f>
        <v>0</v>
      </c>
      <c r="D7784" s="2" t="str">
        <f t="shared" si="127"/>
        <v>Error?</v>
      </c>
      <c r="E7784" s="4" t="s">
        <v>1967</v>
      </c>
    </row>
    <row r="7785" spans="1:5" x14ac:dyDescent="0.2">
      <c r="A7785">
        <v>7724</v>
      </c>
      <c r="B7785" s="138">
        <f>'Expenditures 15-22'!H332</f>
        <v>0</v>
      </c>
      <c r="D7785" s="2" t="str">
        <f t="shared" si="127"/>
        <v>Error?</v>
      </c>
      <c r="E7785" s="4" t="s">
        <v>1967</v>
      </c>
    </row>
    <row r="7786" spans="1:5" x14ac:dyDescent="0.2">
      <c r="A7786">
        <v>7725</v>
      </c>
      <c r="B7786" s="138">
        <f>'Expenditures 15-22'!K332</f>
        <v>0</v>
      </c>
      <c r="D7786" s="2" t="str">
        <f t="shared" si="127"/>
        <v>Error?</v>
      </c>
      <c r="E7786" s="4" t="s">
        <v>1967</v>
      </c>
    </row>
    <row r="7787" spans="1:5" x14ac:dyDescent="0.2">
      <c r="A7787">
        <v>7726</v>
      </c>
      <c r="B7787" s="138">
        <f>'Expenditures 15-22'!H333</f>
        <v>0</v>
      </c>
      <c r="D7787" s="2" t="str">
        <f t="shared" si="127"/>
        <v>Error?</v>
      </c>
      <c r="E7787" s="4" t="s">
        <v>1967</v>
      </c>
    </row>
    <row r="7788" spans="1:5" x14ac:dyDescent="0.2">
      <c r="A7788">
        <v>7727</v>
      </c>
      <c r="B7788" s="138">
        <f>'Expenditures 15-22'!K333</f>
        <v>0</v>
      </c>
      <c r="D7788" s="2" t="str">
        <f t="shared" si="127"/>
        <v>Error?</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f>'Expenditures 15-22'!H354</f>
        <v>0</v>
      </c>
      <c r="D7791" s="2" t="str">
        <f t="shared" si="127"/>
        <v>Error?</v>
      </c>
      <c r="E7791" s="4" t="s">
        <v>1967</v>
      </c>
    </row>
    <row r="7792" spans="1:5" x14ac:dyDescent="0.2">
      <c r="A7792">
        <v>7731</v>
      </c>
      <c r="B7792" s="138">
        <f>'Expenditures 15-22'!K354</f>
        <v>0</v>
      </c>
      <c r="D7792" s="2" t="str">
        <f t="shared" si="127"/>
        <v>Error?</v>
      </c>
      <c r="E7792" s="4" t="s">
        <v>1967</v>
      </c>
    </row>
    <row r="7793" spans="1:5" x14ac:dyDescent="0.2">
      <c r="A7793">
        <v>7732</v>
      </c>
      <c r="B7793" s="138">
        <f>'Expenditures 15-22'!H355</f>
        <v>0</v>
      </c>
      <c r="D7793" s="2" t="str">
        <f t="shared" si="127"/>
        <v>Error?</v>
      </c>
      <c r="E7793" s="4" t="s">
        <v>1967</v>
      </c>
    </row>
    <row r="7794" spans="1:5" x14ac:dyDescent="0.2">
      <c r="A7794">
        <v>7733</v>
      </c>
      <c r="B7794" s="138">
        <f>'Expenditures 15-22'!K355</f>
        <v>0</v>
      </c>
      <c r="D7794" s="2" t="str">
        <f t="shared" si="127"/>
        <v>Error?</v>
      </c>
      <c r="E7794" s="4" t="s">
        <v>1967</v>
      </c>
    </row>
    <row r="7795" spans="1:5" x14ac:dyDescent="0.2">
      <c r="A7795">
        <v>7734</v>
      </c>
      <c r="B7795" s="138">
        <f>'Expenditures 15-22'!E138</f>
        <v>0</v>
      </c>
      <c r="D7795" s="2" t="str">
        <f t="shared" si="127"/>
        <v>Error?</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29'!D141</f>
        <v>1170521.95</v>
      </c>
      <c r="D7797" s="2" t="str">
        <f t="shared" si="127"/>
        <v>Error?</v>
      </c>
      <c r="E7797" s="4" t="s">
        <v>2020</v>
      </c>
    </row>
    <row r="7798" spans="1:5" x14ac:dyDescent="0.2">
      <c r="A7798">
        <v>7737</v>
      </c>
      <c r="B7798" s="138">
        <f>'Contracts Paid in CY 29'!F141</f>
        <v>100000</v>
      </c>
      <c r="D7798" s="2" t="str">
        <f t="shared" si="127"/>
        <v>Error?</v>
      </c>
      <c r="E7798" s="4" t="s">
        <v>2020</v>
      </c>
    </row>
    <row r="7799" spans="1:5" x14ac:dyDescent="0.2">
      <c r="A7799">
        <v>7738</v>
      </c>
      <c r="B7799" s="138">
        <f>'Contracts Paid in CY 29'!G141</f>
        <v>155486</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topLeftCell="A29"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398" t="s">
        <v>1253</v>
      </c>
      <c r="B2" s="2398"/>
      <c r="C2" s="2398"/>
      <c r="D2" s="2398"/>
      <c r="E2" s="2398"/>
      <c r="F2" s="2398"/>
      <c r="G2" s="2398"/>
      <c r="H2" s="2398"/>
      <c r="I2" s="2398"/>
      <c r="J2" s="2398"/>
      <c r="K2" s="2398"/>
      <c r="L2" s="2398"/>
    </row>
    <row r="3" spans="1:29" ht="13.5" customHeight="1" x14ac:dyDescent="0.2">
      <c r="A3" s="2429" t="s">
        <v>1252</v>
      </c>
      <c r="B3" s="2429"/>
      <c r="C3" s="2429"/>
      <c r="D3" s="2429"/>
      <c r="E3" s="2429"/>
      <c r="F3" s="2429"/>
      <c r="G3" s="2429"/>
      <c r="H3" s="2429"/>
      <c r="I3" s="2429"/>
      <c r="J3" s="2429"/>
      <c r="K3" s="2429"/>
      <c r="L3" s="2429"/>
    </row>
    <row r="4" spans="1:29" ht="13.5" customHeight="1" x14ac:dyDescent="0.2">
      <c r="A4" s="2398" t="s">
        <v>1799</v>
      </c>
      <c r="B4" s="2419"/>
      <c r="C4" s="2419"/>
      <c r="D4" s="2419"/>
      <c r="E4" s="2419"/>
      <c r="F4" s="2419"/>
      <c r="G4" s="2419"/>
      <c r="H4" s="2419"/>
      <c r="I4" s="2419"/>
      <c r="J4" s="2419"/>
      <c r="K4" s="2419"/>
      <c r="L4" s="2419"/>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0" t="str">
        <f>COVER!A17</f>
        <v>Union Ridge SD 86</v>
      </c>
      <c r="B7" s="2421"/>
      <c r="C7" s="2421"/>
      <c r="D7" s="2422"/>
      <c r="E7" s="2423">
        <f>COVER!A13</f>
        <v>6016086002</v>
      </c>
      <c r="F7" s="2424"/>
      <c r="G7" s="2430" t="str">
        <f>COVER!T23</f>
        <v>066-005122</v>
      </c>
      <c r="H7" s="2431"/>
      <c r="I7" s="2431"/>
      <c r="J7" s="2431"/>
      <c r="K7" s="2431"/>
      <c r="L7" s="2432"/>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3"/>
      <c r="B9" s="2434"/>
      <c r="C9" s="2434"/>
      <c r="D9" s="2434"/>
      <c r="E9" s="2434"/>
      <c r="F9" s="2435"/>
      <c r="G9" s="2404" t="str">
        <f>COVER!T13</f>
        <v>Knutte &amp; Associates, PC</v>
      </c>
      <c r="H9" s="2436"/>
      <c r="I9" s="2436"/>
      <c r="J9" s="2436"/>
      <c r="K9" s="2436"/>
      <c r="L9" s="2437"/>
    </row>
    <row r="10" spans="1:29" ht="13.5" customHeight="1" x14ac:dyDescent="0.2">
      <c r="A10" s="2410" t="str">
        <f>COVER!A38</f>
        <v>Mike Maguire</v>
      </c>
      <c r="B10" s="2411"/>
      <c r="C10" s="2411"/>
      <c r="D10" s="2411"/>
      <c r="E10" s="2411"/>
      <c r="F10" s="2412"/>
      <c r="G10" s="2404" t="str">
        <f>COVER!T17</f>
        <v>7900 S Cass Avenue</v>
      </c>
      <c r="H10" s="2405"/>
      <c r="I10" s="2405"/>
      <c r="J10" s="2405"/>
      <c r="K10" s="2405"/>
      <c r="L10" s="2406"/>
    </row>
    <row r="11" spans="1:29" ht="13.5" customHeight="1" x14ac:dyDescent="0.2">
      <c r="A11" s="1185" t="s">
        <v>1599</v>
      </c>
      <c r="B11" s="1186"/>
      <c r="C11" s="1187"/>
      <c r="D11" s="1192"/>
      <c r="E11" s="1187"/>
      <c r="F11" s="1191"/>
      <c r="G11" s="2404" t="str">
        <f>COVER!T19</f>
        <v>Darien</v>
      </c>
      <c r="H11" s="2405"/>
      <c r="I11" s="2405"/>
      <c r="J11" s="2405"/>
      <c r="K11" s="2405"/>
      <c r="L11" s="2406"/>
    </row>
    <row r="12" spans="1:29" ht="13.5" customHeight="1" x14ac:dyDescent="0.2">
      <c r="A12" s="2413" t="s">
        <v>1598</v>
      </c>
      <c r="B12" s="2414"/>
      <c r="C12" s="2414"/>
      <c r="D12" s="2414"/>
      <c r="E12" s="2414"/>
      <c r="F12" s="2415"/>
      <c r="G12" s="2407"/>
      <c r="H12" s="2408"/>
      <c r="I12" s="2408"/>
      <c r="J12" s="2408"/>
      <c r="K12" s="2408"/>
      <c r="L12" s="2409"/>
    </row>
    <row r="13" spans="1:29" ht="13.5" customHeight="1" x14ac:dyDescent="0.2">
      <c r="A13" s="2404"/>
      <c r="B13" s="2405"/>
      <c r="C13" s="2405"/>
      <c r="D13" s="2405"/>
      <c r="E13" s="2405"/>
      <c r="F13" s="2406"/>
      <c r="G13" s="2399" t="s">
        <v>1600</v>
      </c>
      <c r="H13" s="2400"/>
      <c r="I13" s="2416" t="str">
        <f>COVER!T25</f>
        <v>davek@knutte.com</v>
      </c>
      <c r="J13" s="2417"/>
      <c r="K13" s="2417"/>
      <c r="L13" s="2418"/>
    </row>
    <row r="14" spans="1:29" ht="13.5" customHeight="1" x14ac:dyDescent="0.2">
      <c r="A14" s="2404" t="str">
        <f>COVER!A19</f>
        <v>4600 N. Oak Park Avenue</v>
      </c>
      <c r="B14" s="2405"/>
      <c r="C14" s="2405"/>
      <c r="D14" s="2405"/>
      <c r="E14" s="2405"/>
      <c r="F14" s="2406"/>
      <c r="G14" s="1196" t="s">
        <v>1247</v>
      </c>
      <c r="H14" s="1194"/>
      <c r="I14" s="1194"/>
      <c r="J14" s="1194"/>
      <c r="K14" s="1194"/>
      <c r="L14" s="1195"/>
    </row>
    <row r="15" spans="1:29" ht="13.5" customHeight="1" x14ac:dyDescent="0.2">
      <c r="A15" s="2404" t="str">
        <f>COVER!A21</f>
        <v>Harwood Heights, IL</v>
      </c>
      <c r="B15" s="2405"/>
      <c r="C15" s="2405"/>
      <c r="D15" s="2405"/>
      <c r="E15" s="2405"/>
      <c r="F15" s="2406"/>
      <c r="G15" s="2401" t="str">
        <f>COVER!T15</f>
        <v>David Knutte, CPA</v>
      </c>
      <c r="H15" s="2402"/>
      <c r="I15" s="2402"/>
      <c r="J15" s="2402"/>
      <c r="K15" s="2402"/>
      <c r="L15" s="2403"/>
    </row>
    <row r="16" spans="1:29" ht="12.2" customHeight="1" x14ac:dyDescent="0.2">
      <c r="A16" s="2426">
        <f>COVER!A25</f>
        <v>60706</v>
      </c>
      <c r="B16" s="2427"/>
      <c r="C16" s="2427"/>
      <c r="D16" s="2427"/>
      <c r="E16" s="2427"/>
      <c r="F16" s="2428"/>
      <c r="G16" s="2438"/>
      <c r="H16" s="2439"/>
      <c r="I16" s="2439"/>
      <c r="J16" s="2439"/>
      <c r="K16" s="2439"/>
      <c r="L16" s="2440"/>
    </row>
    <row r="17" spans="1:13" ht="12.2" customHeight="1" x14ac:dyDescent="0.2">
      <c r="A17" s="2441"/>
      <c r="B17" s="2427"/>
      <c r="C17" s="2427"/>
      <c r="D17" s="2427"/>
      <c r="E17" s="2427"/>
      <c r="F17" s="2428"/>
      <c r="G17" s="1196" t="s">
        <v>1246</v>
      </c>
      <c r="H17" s="1194"/>
      <c r="I17" s="1194"/>
      <c r="J17" s="1194"/>
      <c r="K17" s="1198" t="s">
        <v>1245</v>
      </c>
      <c r="L17" s="1191"/>
      <c r="M17" s="1184"/>
    </row>
    <row r="18" spans="1:13" ht="12.2" customHeight="1" x14ac:dyDescent="0.2">
      <c r="A18" s="2410"/>
      <c r="B18" s="2411"/>
      <c r="C18" s="2411"/>
      <c r="D18" s="2411"/>
      <c r="E18" s="2411"/>
      <c r="F18" s="2412"/>
      <c r="G18" s="2420" t="str">
        <f>COVER!T21</f>
        <v>630-960-3317</v>
      </c>
      <c r="H18" s="2421"/>
      <c r="I18" s="2421"/>
      <c r="J18" s="2421"/>
      <c r="K18" s="2420" t="str">
        <f>COVER!X21</f>
        <v>630-960-9960</v>
      </c>
      <c r="L18" s="2425"/>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1947</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2" t="str">
        <f>'Single Audit Cover'!A7</f>
        <v>Union Ridge SD 86</v>
      </c>
      <c r="B1" s="2419"/>
      <c r="C1" s="2419"/>
      <c r="D1" s="2419"/>
    </row>
    <row r="2" spans="1:11" s="1215" customFormat="1" ht="12.75" x14ac:dyDescent="0.2">
      <c r="A2" s="2443">
        <f>'Single Audit Cover'!E7</f>
        <v>6016086002</v>
      </c>
      <c r="B2" s="2444"/>
      <c r="C2" s="2444"/>
      <c r="D2" s="2444"/>
    </row>
    <row r="3" spans="1:11" s="1215" customFormat="1" ht="12.75" x14ac:dyDescent="0.2">
      <c r="A3" s="2442" t="s">
        <v>1593</v>
      </c>
      <c r="B3" s="2419"/>
      <c r="C3" s="2419"/>
      <c r="D3" s="2419"/>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1948</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6" t="str">
        <f>'Single Audit Cover'!A7</f>
        <v>Union Ridge SD 86</v>
      </c>
      <c r="B1" s="2446"/>
      <c r="C1" s="2446"/>
      <c r="D1" s="2446"/>
      <c r="E1" s="2446"/>
    </row>
    <row r="2" spans="1:5" x14ac:dyDescent="0.2">
      <c r="A2" s="2447">
        <f>'Single Audit Cover'!E7</f>
        <v>6016086002</v>
      </c>
      <c r="B2" s="2447"/>
      <c r="C2" s="2447"/>
      <c r="D2" s="2447"/>
      <c r="E2" s="2447"/>
    </row>
    <row r="3" spans="1:5" ht="4.5" customHeight="1" x14ac:dyDescent="0.2"/>
    <row r="4" spans="1:5" x14ac:dyDescent="0.2">
      <c r="A4" s="2446" t="s">
        <v>1307</v>
      </c>
      <c r="B4" s="2446"/>
      <c r="C4" s="2446"/>
      <c r="D4" s="2446"/>
      <c r="E4" s="2446"/>
    </row>
    <row r="5" spans="1:5" x14ac:dyDescent="0.2">
      <c r="A5" s="2449" t="str">
        <f>'Single Audit Cover'!A4</f>
        <v>Year Ending June 30, 2018</v>
      </c>
      <c r="B5" s="2449"/>
      <c r="C5" s="2449"/>
      <c r="D5" s="2449"/>
      <c r="E5" s="2449"/>
    </row>
    <row r="6" spans="1:5" x14ac:dyDescent="0.2">
      <c r="A6" s="2446" t="s">
        <v>1306</v>
      </c>
      <c r="B6" s="2446"/>
      <c r="C6" s="2446"/>
      <c r="D6" s="2446"/>
      <c r="E6" s="2446"/>
    </row>
    <row r="8" spans="1:5" x14ac:dyDescent="0.2">
      <c r="A8" s="1260" t="s">
        <v>1305</v>
      </c>
    </row>
    <row r="10" spans="1:5" x14ac:dyDescent="0.2">
      <c r="A10" s="1261" t="s">
        <v>1304</v>
      </c>
      <c r="B10" s="1262" t="s">
        <v>1303</v>
      </c>
      <c r="C10" s="1262"/>
      <c r="D10" s="1263">
        <f>SUM('Acct Summary 7-8'!C7:K7)</f>
        <v>359946</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12961</v>
      </c>
    </row>
    <row r="15" spans="1:5" x14ac:dyDescent="0.2">
      <c r="A15" s="1261"/>
      <c r="B15" s="1262"/>
      <c r="C15" s="1262"/>
    </row>
    <row r="16" spans="1:5" x14ac:dyDescent="0.2">
      <c r="A16" s="1261" t="s">
        <v>1956</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372907</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8"/>
      <c r="B24" s="2448"/>
      <c r="D24" s="1268"/>
    </row>
    <row r="25" spans="1:4" x14ac:dyDescent="0.2">
      <c r="A25" s="2445"/>
      <c r="B25" s="2445"/>
      <c r="D25" s="1268"/>
    </row>
    <row r="26" spans="1:4" x14ac:dyDescent="0.2">
      <c r="A26" s="2445"/>
      <c r="B26" s="2445"/>
      <c r="D26" s="1268"/>
    </row>
    <row r="27" spans="1:4" x14ac:dyDescent="0.2">
      <c r="A27" s="2445"/>
      <c r="B27" s="2445"/>
      <c r="D27" s="1268"/>
    </row>
    <row r="28" spans="1:4" x14ac:dyDescent="0.2">
      <c r="A28" s="2445"/>
      <c r="B28" s="2445"/>
      <c r="D28" s="1268"/>
    </row>
    <row r="29" spans="1:4" x14ac:dyDescent="0.2">
      <c r="A29" s="2445"/>
      <c r="B29" s="2445"/>
      <c r="D29" s="1268"/>
    </row>
    <row r="30" spans="1:4" x14ac:dyDescent="0.2">
      <c r="A30" s="2445"/>
      <c r="B30" s="2445"/>
      <c r="D30" s="1268"/>
    </row>
    <row r="32" spans="1:4" x14ac:dyDescent="0.2">
      <c r="A32" s="1260" t="s">
        <v>1295</v>
      </c>
      <c r="D32" s="1263">
        <f>SUM(D19:D30)</f>
        <v>372907</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5"/>
      <c r="B40" s="2445"/>
      <c r="D40" s="1268"/>
    </row>
    <row r="41" spans="1:4" x14ac:dyDescent="0.2">
      <c r="A41" s="2445"/>
      <c r="B41" s="2445"/>
      <c r="D41" s="1271"/>
    </row>
    <row r="42" spans="1:4" x14ac:dyDescent="0.2">
      <c r="A42" s="2445"/>
      <c r="B42" s="2445"/>
      <c r="D42" s="1271"/>
    </row>
    <row r="43" spans="1:4" x14ac:dyDescent="0.2">
      <c r="A43" s="2445"/>
      <c r="B43" s="2445"/>
      <c r="D43" s="1271"/>
    </row>
    <row r="44" spans="1:4" x14ac:dyDescent="0.2">
      <c r="A44" s="2445"/>
      <c r="B44" s="2445"/>
      <c r="D44" s="1271"/>
    </row>
    <row r="45" spans="1:4" x14ac:dyDescent="0.2">
      <c r="A45" s="2445"/>
      <c r="B45" s="2445"/>
      <c r="D45" s="1271"/>
    </row>
    <row r="47" spans="1:4" x14ac:dyDescent="0.2">
      <c r="B47" s="1272" t="s">
        <v>1289</v>
      </c>
      <c r="C47" s="1272"/>
      <c r="D47" s="1273">
        <f>SUM(D35:D45)</f>
        <v>0</v>
      </c>
    </row>
    <row r="49" spans="2:4" x14ac:dyDescent="0.2">
      <c r="B49" s="1272" t="s">
        <v>1288</v>
      </c>
      <c r="C49" s="1272"/>
      <c r="D49" s="1273">
        <f>D32-D47</f>
        <v>372907</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9" t="str">
        <f>'Single Audit Cover'!A7</f>
        <v>Union Ridge SD 86</v>
      </c>
      <c r="B1" s="2459"/>
      <c r="C1" s="2459"/>
      <c r="D1" s="2459"/>
      <c r="E1" s="2459"/>
      <c r="F1" s="2459"/>
    </row>
    <row r="2" spans="1:7" ht="13.5" customHeight="1" x14ac:dyDescent="0.2">
      <c r="A2" s="2460">
        <f>'Single Audit Cover'!E7</f>
        <v>6016086002</v>
      </c>
      <c r="B2" s="2460"/>
      <c r="C2" s="2460"/>
      <c r="D2" s="2460"/>
      <c r="E2" s="2460"/>
      <c r="F2" s="2460"/>
      <c r="G2" s="1275"/>
    </row>
    <row r="3" spans="1:7" ht="15.75" customHeight="1" x14ac:dyDescent="0.2">
      <c r="A3" s="2461" t="s">
        <v>1333</v>
      </c>
      <c r="B3" s="2461"/>
      <c r="C3" s="2461"/>
      <c r="D3" s="2461"/>
      <c r="E3" s="2461"/>
      <c r="F3" s="2461"/>
    </row>
    <row r="4" spans="1:7" ht="13.5" customHeight="1" x14ac:dyDescent="0.2">
      <c r="A4" s="2462" t="str">
        <f>'Single Audit Cover'!A4</f>
        <v>Year Ending June 30, 2018</v>
      </c>
      <c r="B4" s="2462"/>
      <c r="C4" s="2462"/>
      <c r="D4" s="2462"/>
      <c r="E4" s="2462"/>
      <c r="F4" s="2462"/>
    </row>
    <row r="5" spans="1:7" ht="8.25" customHeight="1" x14ac:dyDescent="0.2">
      <c r="C5" s="317"/>
      <c r="D5" s="317"/>
    </row>
    <row r="6" spans="1:7" ht="13.5" customHeight="1" x14ac:dyDescent="0.2">
      <c r="A6" s="1276" t="s">
        <v>1831</v>
      </c>
      <c r="C6" s="317"/>
      <c r="D6" s="317"/>
    </row>
    <row r="7" spans="1:7" ht="60.95" customHeight="1" x14ac:dyDescent="0.2">
      <c r="A7" s="2458" t="s">
        <v>1832</v>
      </c>
      <c r="B7" s="2458"/>
      <c r="C7" s="2458"/>
      <c r="D7" s="2458"/>
      <c r="E7" s="2458"/>
      <c r="F7" s="2458"/>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5"/>
      <c r="D11" s="1280"/>
      <c r="E11" s="1925"/>
      <c r="F11" s="1280"/>
      <c r="G11" s="1278"/>
    </row>
    <row r="12" spans="1:7" x14ac:dyDescent="0.2">
      <c r="A12" s="1276" t="s">
        <v>1669</v>
      </c>
      <c r="C12" s="1260"/>
      <c r="D12" s="1260"/>
    </row>
    <row r="13" spans="1:7" ht="15" customHeight="1" x14ac:dyDescent="0.2">
      <c r="A13" s="2458" t="s">
        <v>1834</v>
      </c>
      <c r="B13" s="2458"/>
      <c r="C13" s="2458"/>
      <c r="D13" s="2458"/>
      <c r="E13" s="2458"/>
      <c r="F13" s="2458"/>
    </row>
    <row r="14" spans="1:7" ht="9.75" customHeight="1" x14ac:dyDescent="0.2">
      <c r="C14" s="1260"/>
      <c r="D14" s="1260"/>
    </row>
    <row r="15" spans="1:7" ht="13.5" customHeight="1" x14ac:dyDescent="0.2">
      <c r="C15" s="1869" t="s">
        <v>1332</v>
      </c>
      <c r="D15" s="2456" t="s">
        <v>1331</v>
      </c>
      <c r="E15" s="2456"/>
      <c r="F15" s="2456"/>
    </row>
    <row r="16" spans="1:7" ht="13.5" customHeight="1" x14ac:dyDescent="0.2">
      <c r="A16" s="1282"/>
      <c r="B16" s="1276" t="s">
        <v>1330</v>
      </c>
      <c r="C16" s="1869" t="s">
        <v>1329</v>
      </c>
      <c r="D16" s="2457" t="s">
        <v>1670</v>
      </c>
      <c r="E16" s="2457"/>
      <c r="F16" s="2457"/>
    </row>
    <row r="17" spans="1:6" ht="20.45" customHeight="1" x14ac:dyDescent="0.2">
      <c r="A17" s="1283"/>
      <c r="B17" s="1284"/>
      <c r="C17" s="1285"/>
      <c r="D17" s="2451"/>
      <c r="E17" s="2451"/>
      <c r="F17" s="2451"/>
    </row>
    <row r="18" spans="1:6" ht="20.65" customHeight="1" x14ac:dyDescent="0.2">
      <c r="A18" s="1283"/>
      <c r="B18" s="1284"/>
      <c r="C18" s="1285"/>
      <c r="D18" s="2451"/>
      <c r="E18" s="2451"/>
      <c r="F18" s="2451"/>
    </row>
    <row r="19" spans="1:6" ht="20.65" customHeight="1" x14ac:dyDescent="0.2">
      <c r="A19" s="1283"/>
      <c r="B19" s="1284"/>
      <c r="C19" s="1285"/>
      <c r="D19" s="2451"/>
      <c r="E19" s="2451"/>
      <c r="F19" s="2451"/>
    </row>
    <row r="20" spans="1:6" ht="20.65" customHeight="1" x14ac:dyDescent="0.2">
      <c r="A20" s="1283"/>
      <c r="B20" s="1284"/>
      <c r="C20" s="1285"/>
      <c r="D20" s="2451"/>
      <c r="E20" s="2451"/>
      <c r="F20" s="2451"/>
    </row>
    <row r="21" spans="1:6" ht="20.65" customHeight="1" x14ac:dyDescent="0.2">
      <c r="A21" s="1283"/>
      <c r="B21" s="1284"/>
      <c r="C21" s="1285"/>
      <c r="D21" s="2451"/>
      <c r="E21" s="2451"/>
      <c r="F21" s="2451"/>
    </row>
    <row r="22" spans="1:6" ht="20.65" customHeight="1" x14ac:dyDescent="0.2">
      <c r="A22" s="1283"/>
      <c r="B22" s="1284"/>
      <c r="C22" s="1285"/>
      <c r="D22" s="2451"/>
      <c r="E22" s="2451"/>
      <c r="F22" s="2451"/>
    </row>
    <row r="23" spans="1:6" ht="20.65" customHeight="1" x14ac:dyDescent="0.2">
      <c r="A23" s="1283"/>
      <c r="B23" s="1284"/>
      <c r="C23" s="1285"/>
      <c r="D23" s="2451"/>
      <c r="E23" s="2451"/>
      <c r="F23" s="2451"/>
    </row>
    <row r="24" spans="1:6" ht="20.65" customHeight="1" x14ac:dyDescent="0.2">
      <c r="A24" s="1283"/>
      <c r="B24" s="1284"/>
      <c r="C24" s="1285"/>
      <c r="D24" s="2451"/>
      <c r="E24" s="2451"/>
      <c r="F24" s="2451"/>
    </row>
    <row r="25" spans="1:6" ht="20.65" customHeight="1" x14ac:dyDescent="0.2">
      <c r="A25" s="1283"/>
      <c r="B25" s="1284"/>
      <c r="C25" s="1285"/>
      <c r="D25" s="2451"/>
      <c r="E25" s="2451"/>
      <c r="F25" s="2451"/>
    </row>
    <row r="26" spans="1:6" ht="20.65" customHeight="1" x14ac:dyDescent="0.2">
      <c r="A26" s="1283"/>
      <c r="B26" s="1284"/>
      <c r="C26" s="1285"/>
      <c r="D26" s="2451"/>
      <c r="E26" s="2451"/>
      <c r="F26" s="2451"/>
    </row>
    <row r="27" spans="1:6" ht="20.65" customHeight="1" x14ac:dyDescent="0.2">
      <c r="A27" s="1283"/>
      <c r="B27" s="1284"/>
      <c r="C27" s="1285"/>
      <c r="D27" s="2451"/>
      <c r="E27" s="2451"/>
      <c r="F27" s="2451"/>
    </row>
    <row r="28" spans="1:6" ht="20.65" customHeight="1" x14ac:dyDescent="0.2">
      <c r="A28" s="1283"/>
      <c r="B28" s="1284"/>
      <c r="C28" s="1285"/>
      <c r="D28" s="2451"/>
      <c r="E28" s="2451"/>
      <c r="F28" s="2451"/>
    </row>
    <row r="29" spans="1:6" ht="20.65" customHeight="1" x14ac:dyDescent="0.2">
      <c r="A29" s="1283"/>
      <c r="B29" s="1284"/>
      <c r="C29" s="1285"/>
      <c r="D29" s="2451"/>
      <c r="E29" s="2451"/>
      <c r="F29" s="2451"/>
    </row>
    <row r="30" spans="1:6" ht="12" customHeight="1" x14ac:dyDescent="0.2">
      <c r="A30" s="328"/>
      <c r="B30" s="328"/>
      <c r="C30" s="1478"/>
      <c r="D30" s="1926"/>
      <c r="E30" s="1286"/>
    </row>
    <row r="31" spans="1:6" ht="12" customHeight="1" x14ac:dyDescent="0.2">
      <c r="A31" s="1287" t="s">
        <v>1630</v>
      </c>
      <c r="B31" s="328"/>
      <c r="C31" s="1478"/>
      <c r="D31" s="1926"/>
      <c r="E31" s="1286"/>
    </row>
    <row r="32" spans="1:6" ht="30" customHeight="1" x14ac:dyDescent="0.2">
      <c r="A32" s="2452" t="s">
        <v>1835</v>
      </c>
      <c r="B32" s="2452"/>
      <c r="C32" s="2452"/>
      <c r="D32" s="2452"/>
      <c r="E32" s="2452"/>
      <c r="F32" s="2452"/>
    </row>
    <row r="33" spans="1:6" ht="13.5" customHeight="1" x14ac:dyDescent="0.2">
      <c r="A33" s="328" t="s">
        <v>1509</v>
      </c>
      <c r="B33" s="328"/>
      <c r="C33" s="1288">
        <v>0</v>
      </c>
      <c r="D33" s="1926"/>
      <c r="E33" s="1286"/>
    </row>
    <row r="34" spans="1:6" ht="13.5" customHeight="1" x14ac:dyDescent="0.2">
      <c r="A34" s="328" t="s">
        <v>1949</v>
      </c>
      <c r="B34" s="328"/>
      <c r="C34" s="1289">
        <v>0</v>
      </c>
      <c r="D34" s="1926" t="s">
        <v>1671</v>
      </c>
      <c r="E34" s="2453">
        <f>+C33+C34</f>
        <v>0</v>
      </c>
      <c r="F34" s="2454"/>
    </row>
    <row r="35" spans="1:6" ht="12" customHeight="1" x14ac:dyDescent="0.2">
      <c r="A35" s="328"/>
      <c r="B35" s="328"/>
      <c r="C35" s="1927"/>
      <c r="D35" s="1926"/>
      <c r="E35" s="1290"/>
      <c r="F35" s="1291"/>
    </row>
    <row r="36" spans="1:6" ht="13.5" customHeight="1" x14ac:dyDescent="0.2">
      <c r="A36" s="1287" t="s">
        <v>1631</v>
      </c>
      <c r="B36" s="328"/>
      <c r="C36" s="1478"/>
      <c r="D36" s="1926"/>
      <c r="E36" s="1286"/>
    </row>
    <row r="37" spans="1:6" ht="14.25" customHeight="1" x14ac:dyDescent="0.2">
      <c r="A37" s="328" t="s">
        <v>1563</v>
      </c>
      <c r="B37" s="328"/>
      <c r="C37" s="1928"/>
      <c r="D37" s="1926"/>
      <c r="E37" s="1286"/>
    </row>
    <row r="38" spans="1:6" ht="14.25" customHeight="1" x14ac:dyDescent="0.2">
      <c r="A38" s="328"/>
      <c r="B38" s="328" t="s">
        <v>1510</v>
      </c>
      <c r="C38" s="1292"/>
      <c r="D38" s="1926"/>
      <c r="E38" s="1286"/>
    </row>
    <row r="39" spans="1:6" ht="14.25" customHeight="1" x14ac:dyDescent="0.2">
      <c r="A39" s="328"/>
      <c r="B39" s="328" t="s">
        <v>1511</v>
      </c>
      <c r="C39" s="1292"/>
      <c r="D39" s="1926"/>
      <c r="E39" s="1286"/>
    </row>
    <row r="40" spans="1:6" ht="14.25" customHeight="1" x14ac:dyDescent="0.2">
      <c r="A40" s="328"/>
      <c r="B40" s="328" t="s">
        <v>1512</v>
      </c>
      <c r="C40" s="1292"/>
      <c r="D40" s="1926"/>
      <c r="E40" s="1286"/>
    </row>
    <row r="41" spans="1:6" ht="14.25" customHeight="1" x14ac:dyDescent="0.2">
      <c r="A41" s="328"/>
      <c r="B41" s="328" t="s">
        <v>1513</v>
      </c>
      <c r="C41" s="1292"/>
      <c r="D41" s="1926"/>
      <c r="E41" s="1286"/>
    </row>
    <row r="42" spans="1:6" ht="14.25" customHeight="1" x14ac:dyDescent="0.2">
      <c r="A42" s="328" t="s">
        <v>1514</v>
      </c>
      <c r="B42" s="328"/>
      <c r="C42" s="1924"/>
      <c r="D42" s="1926"/>
      <c r="E42" s="1286"/>
    </row>
    <row r="43" spans="1:6" ht="14.25" customHeight="1" x14ac:dyDescent="0.2">
      <c r="A43" s="328" t="s">
        <v>1515</v>
      </c>
      <c r="B43" s="328"/>
      <c r="C43" s="1293"/>
      <c r="D43" s="1926"/>
      <c r="E43" s="1286"/>
    </row>
    <row r="44" spans="1:6" ht="14.25" customHeight="1" x14ac:dyDescent="0.2">
      <c r="A44" s="328"/>
      <c r="B44" s="328"/>
      <c r="C44" s="1928" t="s">
        <v>1516</v>
      </c>
      <c r="D44" s="1926"/>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5" t="s">
        <v>1672</v>
      </c>
      <c r="C49" s="2455"/>
      <c r="D49" s="2455"/>
      <c r="E49" s="1399"/>
    </row>
    <row r="50" spans="1:5" s="1300" customFormat="1" ht="3.75" customHeight="1" x14ac:dyDescent="0.2">
      <c r="A50" s="1299"/>
      <c r="B50" s="1868"/>
      <c r="C50" s="1868"/>
      <c r="D50" s="1868"/>
      <c r="E50" s="1399"/>
    </row>
    <row r="51" spans="1:5" s="1300" customFormat="1" ht="20.25" customHeight="1" x14ac:dyDescent="0.2">
      <c r="A51" s="1301">
        <v>6</v>
      </c>
      <c r="B51" s="2450" t="s">
        <v>1632</v>
      </c>
      <c r="C51" s="2450"/>
      <c r="D51" s="2450"/>
    </row>
    <row r="52" spans="1:5" ht="14.25" customHeight="1" x14ac:dyDescent="0.2">
      <c r="A52" s="1301"/>
      <c r="B52" s="2450"/>
      <c r="C52" s="2450"/>
      <c r="D52" s="2450"/>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9" t="str">
        <f>'Single Audit Cover'!A7</f>
        <v>Union Ridge SD 86</v>
      </c>
      <c r="C1" s="2463"/>
      <c r="D1" s="2463"/>
      <c r="E1" s="2463"/>
      <c r="F1" s="2463"/>
      <c r="G1" s="2463"/>
      <c r="H1" s="2463"/>
      <c r="I1" s="2463"/>
      <c r="J1" s="2463"/>
      <c r="K1" s="2463"/>
      <c r="L1" s="2463"/>
      <c r="M1" s="2463"/>
    </row>
    <row r="2" spans="2:14" ht="15" x14ac:dyDescent="0.2">
      <c r="B2" s="2460">
        <f>'Single Audit Cover'!E7</f>
        <v>6016086002</v>
      </c>
      <c r="C2" s="2460"/>
      <c r="D2" s="2460"/>
      <c r="E2" s="2460"/>
      <c r="F2" s="2460"/>
      <c r="G2" s="2460"/>
      <c r="H2" s="2460"/>
      <c r="I2" s="2460"/>
      <c r="J2" s="2460"/>
      <c r="K2" s="2460"/>
      <c r="L2" s="2460"/>
      <c r="M2" s="2460"/>
      <c r="N2" s="1302"/>
    </row>
    <row r="3" spans="2:14" ht="15" x14ac:dyDescent="0.2">
      <c r="B3" s="2464" t="s">
        <v>1281</v>
      </c>
      <c r="C3" s="2464"/>
      <c r="D3" s="2464"/>
      <c r="E3" s="2464"/>
      <c r="F3" s="2464"/>
      <c r="G3" s="2464"/>
      <c r="H3" s="2464"/>
      <c r="I3" s="2464"/>
      <c r="J3" s="2464"/>
      <c r="K3" s="2464"/>
      <c r="L3" s="2464"/>
      <c r="M3" s="2464"/>
      <c r="N3" s="1302"/>
    </row>
    <row r="4" spans="2:14" ht="15" x14ac:dyDescent="0.2">
      <c r="B4" s="2465" t="str">
        <f>'Single Audit Cover'!A4</f>
        <v>Year Ending June 30, 2018</v>
      </c>
      <c r="C4" s="2465"/>
      <c r="D4" s="2465"/>
      <c r="E4" s="2465"/>
      <c r="F4" s="2465"/>
      <c r="G4" s="2465"/>
      <c r="H4" s="2465"/>
      <c r="I4" s="2465"/>
      <c r="J4" s="2465"/>
      <c r="K4" s="2465"/>
      <c r="L4" s="2465"/>
      <c r="M4" s="2465"/>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1950</v>
      </c>
      <c r="K8" s="1319" t="s">
        <v>1323</v>
      </c>
      <c r="L8" s="1320" t="s">
        <v>1319</v>
      </c>
      <c r="M8" s="1321" t="s">
        <v>30</v>
      </c>
    </row>
    <row r="9" spans="2:14" ht="14.25" x14ac:dyDescent="0.2">
      <c r="B9" s="1325" t="s">
        <v>1321</v>
      </c>
      <c r="C9" s="1313" t="s">
        <v>1838</v>
      </c>
      <c r="D9" s="1314" t="s">
        <v>1839</v>
      </c>
      <c r="E9" s="1322" t="s">
        <v>1663</v>
      </c>
      <c r="F9" s="1323" t="s">
        <v>1950</v>
      </c>
      <c r="G9" s="1324" t="s">
        <v>1663</v>
      </c>
      <c r="H9" s="1317" t="s">
        <v>1664</v>
      </c>
      <c r="I9" s="1319" t="s">
        <v>1950</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1951</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7" colorId="8" zoomScale="110" zoomScaleNormal="110" workbookViewId="0">
      <selection activeCell="G118" sqref="G118"/>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1" t="s">
        <v>1230</v>
      </c>
      <c r="B2" s="2071"/>
      <c r="C2" s="2071"/>
      <c r="D2" s="2071"/>
      <c r="E2" s="2071"/>
      <c r="F2" s="2071"/>
      <c r="G2" s="2071"/>
      <c r="H2" s="2071"/>
      <c r="I2" s="2071"/>
      <c r="J2" s="2071"/>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5" t="s">
        <v>1731</v>
      </c>
      <c r="B35" s="2086"/>
      <c r="C35" s="2086"/>
      <c r="D35" s="2086"/>
      <c r="E35" s="2087"/>
      <c r="F35" s="2087"/>
      <c r="G35" s="2087"/>
      <c r="H35" s="2087"/>
      <c r="I35" s="2087"/>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5" t="s">
        <v>331</v>
      </c>
      <c r="B47" s="2088"/>
      <c r="C47" s="2088"/>
      <c r="D47" s="2088"/>
      <c r="E47" s="2089"/>
      <c r="F47" s="2089"/>
      <c r="G47" s="2089"/>
      <c r="H47" s="2089"/>
      <c r="I47" s="2089"/>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v>33239</v>
      </c>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2"/>
      <c r="C57" s="2093"/>
      <c r="D57" s="2093"/>
      <c r="E57" s="2093"/>
      <c r="F57" s="2093"/>
      <c r="G57" s="2093"/>
      <c r="H57" s="2093"/>
      <c r="I57" s="2093"/>
      <c r="J57" s="2094"/>
    </row>
    <row r="58" spans="1:10" s="181" customFormat="1" x14ac:dyDescent="0.2">
      <c r="A58" s="253"/>
      <c r="B58" s="2095"/>
      <c r="C58" s="2096"/>
      <c r="D58" s="2096"/>
      <c r="E58" s="2096"/>
      <c r="F58" s="2096"/>
      <c r="G58" s="2096"/>
      <c r="H58" s="2096"/>
      <c r="I58" s="2096"/>
      <c r="J58" s="2097"/>
    </row>
    <row r="59" spans="1:10" s="181" customFormat="1" x14ac:dyDescent="0.2">
      <c r="A59" s="253"/>
      <c r="B59" s="2095"/>
      <c r="C59" s="2096"/>
      <c r="D59" s="2096"/>
      <c r="E59" s="2096"/>
      <c r="F59" s="2096"/>
      <c r="G59" s="2096"/>
      <c r="H59" s="2096"/>
      <c r="I59" s="2096"/>
      <c r="J59" s="2097"/>
    </row>
    <row r="60" spans="1:10" s="181" customFormat="1" x14ac:dyDescent="0.2">
      <c r="A60" s="253"/>
      <c r="B60" s="2095"/>
      <c r="C60" s="2096"/>
      <c r="D60" s="2096"/>
      <c r="E60" s="2096"/>
      <c r="F60" s="2096"/>
      <c r="G60" s="2096"/>
      <c r="H60" s="2096"/>
      <c r="I60" s="2096"/>
      <c r="J60" s="2097"/>
    </row>
    <row r="61" spans="1:10" s="181" customFormat="1" x14ac:dyDescent="0.2">
      <c r="A61" s="253"/>
      <c r="B61" s="2095"/>
      <c r="C61" s="2096"/>
      <c r="D61" s="2096"/>
      <c r="E61" s="2096"/>
      <c r="F61" s="2096"/>
      <c r="G61" s="2096"/>
      <c r="H61" s="2096"/>
      <c r="I61" s="2096"/>
      <c r="J61" s="2097"/>
    </row>
    <row r="62" spans="1:10" s="181" customFormat="1" x14ac:dyDescent="0.2">
      <c r="A62" s="253"/>
      <c r="B62" s="2095"/>
      <c r="C62" s="2096"/>
      <c r="D62" s="2096"/>
      <c r="E62" s="2096"/>
      <c r="F62" s="2096"/>
      <c r="G62" s="2096"/>
      <c r="H62" s="2096"/>
      <c r="I62" s="2096"/>
      <c r="J62" s="2097"/>
    </row>
    <row r="63" spans="1:10" s="181" customFormat="1" x14ac:dyDescent="0.2">
      <c r="A63" s="253"/>
      <c r="B63" s="2095"/>
      <c r="C63" s="2096"/>
      <c r="D63" s="2096"/>
      <c r="E63" s="2096"/>
      <c r="F63" s="2096"/>
      <c r="G63" s="2096"/>
      <c r="H63" s="2096"/>
      <c r="I63" s="2096"/>
      <c r="J63" s="2097"/>
    </row>
    <row r="64" spans="1:10" s="181" customFormat="1" x14ac:dyDescent="0.2">
      <c r="A64" s="253"/>
      <c r="B64" s="2095"/>
      <c r="C64" s="2096"/>
      <c r="D64" s="2096"/>
      <c r="E64" s="2096"/>
      <c r="F64" s="2096"/>
      <c r="G64" s="2096"/>
      <c r="H64" s="2096"/>
      <c r="I64" s="2096"/>
      <c r="J64" s="2097"/>
    </row>
    <row r="65" spans="1:10" s="181" customFormat="1" x14ac:dyDescent="0.2">
      <c r="A65" s="253"/>
      <c r="B65" s="2095"/>
      <c r="C65" s="2096"/>
      <c r="D65" s="2096"/>
      <c r="E65" s="2096"/>
      <c r="F65" s="2096"/>
      <c r="G65" s="2096"/>
      <c r="H65" s="2096"/>
      <c r="I65" s="2096"/>
      <c r="J65" s="2097"/>
    </row>
    <row r="66" spans="1:10" s="181" customFormat="1" x14ac:dyDescent="0.2">
      <c r="A66" s="253"/>
      <c r="B66" s="2095"/>
      <c r="C66" s="2096"/>
      <c r="D66" s="2096"/>
      <c r="E66" s="2096"/>
      <c r="F66" s="2096"/>
      <c r="G66" s="2096"/>
      <c r="H66" s="2096"/>
      <c r="I66" s="2096"/>
      <c r="J66" s="2097"/>
    </row>
    <row r="67" spans="1:10" s="181" customFormat="1" ht="9" customHeight="1" x14ac:dyDescent="0.2">
      <c r="A67" s="254"/>
      <c r="B67" s="2098"/>
      <c r="C67" s="2099"/>
      <c r="D67" s="2099"/>
      <c r="E67" s="2099"/>
      <c r="F67" s="2099"/>
      <c r="G67" s="2099"/>
      <c r="H67" s="2099"/>
      <c r="I67" s="2099"/>
      <c r="J67" s="210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5" t="s">
        <v>1390</v>
      </c>
      <c r="B70" s="2088"/>
      <c r="C70" s="2088"/>
      <c r="D70" s="2088"/>
      <c r="E70" s="2089"/>
      <c r="F70" s="2089"/>
      <c r="G70" s="2089"/>
      <c r="H70" s="2089"/>
      <c r="I70" s="2089"/>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0" t="s">
        <v>1387</v>
      </c>
      <c r="B83" s="2090"/>
      <c r="C83" s="2090"/>
      <c r="D83" s="2091"/>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2"/>
      <c r="C102" s="2073"/>
      <c r="D102" s="2073"/>
      <c r="E102" s="2073"/>
      <c r="F102" s="2073"/>
      <c r="G102" s="2073"/>
      <c r="H102" s="2073"/>
      <c r="I102" s="2074"/>
    </row>
    <row r="103" spans="1:9" s="181" customFormat="1" ht="11.25" customHeight="1" x14ac:dyDescent="0.2">
      <c r="A103" s="316"/>
      <c r="B103" s="2075"/>
      <c r="C103" s="2076"/>
      <c r="D103" s="2076"/>
      <c r="E103" s="2076"/>
      <c r="F103" s="2076"/>
      <c r="G103" s="2076"/>
      <c r="H103" s="2076"/>
      <c r="I103" s="2077"/>
    </row>
    <row r="104" spans="1:9" s="181" customFormat="1" ht="11.25" customHeight="1" x14ac:dyDescent="0.2">
      <c r="A104" s="316"/>
      <c r="B104" s="2075"/>
      <c r="C104" s="2076"/>
      <c r="D104" s="2076"/>
      <c r="E104" s="2076"/>
      <c r="F104" s="2076"/>
      <c r="G104" s="2076"/>
      <c r="H104" s="2076"/>
      <c r="I104" s="2077"/>
    </row>
    <row r="105" spans="1:9" s="181" customFormat="1" x14ac:dyDescent="0.2">
      <c r="A105" s="316"/>
      <c r="B105" s="2075"/>
      <c r="C105" s="2076"/>
      <c r="D105" s="2076"/>
      <c r="E105" s="2076"/>
      <c r="F105" s="2076"/>
      <c r="G105" s="2076"/>
      <c r="H105" s="2076"/>
      <c r="I105" s="2077"/>
    </row>
    <row r="106" spans="1:9" s="181" customFormat="1" ht="11.25" customHeight="1" x14ac:dyDescent="0.2">
      <c r="A106" s="316"/>
      <c r="B106" s="2075"/>
      <c r="C106" s="2076"/>
      <c r="D106" s="2076"/>
      <c r="E106" s="2076"/>
      <c r="F106" s="2076"/>
      <c r="G106" s="2076"/>
      <c r="H106" s="2076"/>
      <c r="I106" s="2077"/>
    </row>
    <row r="107" spans="1:9" s="181" customFormat="1" ht="11.25" customHeight="1" x14ac:dyDescent="0.2">
      <c r="A107" s="316"/>
      <c r="B107" s="2075"/>
      <c r="C107" s="2076"/>
      <c r="D107" s="2076"/>
      <c r="E107" s="2076"/>
      <c r="F107" s="2076"/>
      <c r="G107" s="2076"/>
      <c r="H107" s="2076"/>
      <c r="I107" s="2077"/>
    </row>
    <row r="108" spans="1:9" s="181" customFormat="1" ht="11.25" customHeight="1" x14ac:dyDescent="0.2">
      <c r="A108" s="316"/>
      <c r="B108" s="2075"/>
      <c r="C108" s="2076"/>
      <c r="D108" s="2076"/>
      <c r="E108" s="2076"/>
      <c r="F108" s="2076"/>
      <c r="G108" s="2076"/>
      <c r="H108" s="2076"/>
      <c r="I108" s="2077"/>
    </row>
    <row r="109" spans="1:9" s="181" customFormat="1" ht="11.25" customHeight="1" x14ac:dyDescent="0.2">
      <c r="A109" s="316"/>
      <c r="B109" s="2075"/>
      <c r="C109" s="2076"/>
      <c r="D109" s="2076"/>
      <c r="E109" s="2076"/>
      <c r="F109" s="2076"/>
      <c r="G109" s="2076"/>
      <c r="H109" s="2076"/>
      <c r="I109" s="2077"/>
    </row>
    <row r="110" spans="1:9" s="181" customFormat="1" ht="11.25" customHeight="1" x14ac:dyDescent="0.2">
      <c r="A110" s="316"/>
      <c r="B110" s="2075"/>
      <c r="C110" s="2076"/>
      <c r="D110" s="2076"/>
      <c r="E110" s="2076"/>
      <c r="F110" s="2076"/>
      <c r="G110" s="2076"/>
      <c r="H110" s="2076"/>
      <c r="I110" s="2077"/>
    </row>
    <row r="111" spans="1:9" s="181" customFormat="1" ht="11.25" customHeight="1" x14ac:dyDescent="0.2">
      <c r="A111" s="316"/>
      <c r="B111" s="2075"/>
      <c r="C111" s="2076"/>
      <c r="D111" s="2076"/>
      <c r="E111" s="2076"/>
      <c r="F111" s="2076"/>
      <c r="G111" s="2076"/>
      <c r="H111" s="2076"/>
      <c r="I111" s="2077"/>
    </row>
    <row r="112" spans="1:9" s="181" customFormat="1" ht="11.25" customHeight="1" x14ac:dyDescent="0.2">
      <c r="A112" s="316"/>
      <c r="B112" s="2078"/>
      <c r="C112" s="2079"/>
      <c r="D112" s="2079"/>
      <c r="E112" s="2079"/>
      <c r="F112" s="2079"/>
      <c r="G112" s="2079"/>
      <c r="H112" s="2079"/>
      <c r="I112" s="208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1" t="s">
        <v>2157</v>
      </c>
      <c r="D114" s="2081"/>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2" t="s">
        <v>1397</v>
      </c>
      <c r="D117" s="2083"/>
      <c r="E117" s="2084"/>
      <c r="F117" s="2084"/>
      <c r="G117" s="2084"/>
      <c r="H117" s="2084"/>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2022</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7" t="str">
        <f>'Single Audit Cover'!A7</f>
        <v>Union Ridge SD 86</v>
      </c>
      <c r="C1" s="2478"/>
      <c r="D1" s="2478"/>
      <c r="E1" s="2478"/>
      <c r="F1" s="2478"/>
      <c r="G1" s="2478"/>
      <c r="H1" s="2478"/>
      <c r="I1" s="2478"/>
      <c r="J1" s="1422"/>
    </row>
    <row r="2" spans="2:10" s="317" customFormat="1" ht="12.75" customHeight="1" x14ac:dyDescent="0.2">
      <c r="B2" s="2479">
        <f>'Single Audit Cover'!E7</f>
        <v>6016086002</v>
      </c>
      <c r="C2" s="2480"/>
      <c r="D2" s="2480"/>
      <c r="E2" s="2480"/>
      <c r="F2" s="2480"/>
      <c r="G2" s="2480"/>
      <c r="H2" s="2480"/>
      <c r="I2" s="2480"/>
      <c r="J2" s="1422"/>
    </row>
    <row r="3" spans="2:10" s="317" customFormat="1" ht="12.75" customHeight="1" x14ac:dyDescent="0.2">
      <c r="B3" s="2481" t="s">
        <v>1347</v>
      </c>
      <c r="C3" s="2482"/>
      <c r="D3" s="2482"/>
      <c r="E3" s="2482"/>
      <c r="F3" s="2482"/>
      <c r="G3" s="2482"/>
      <c r="H3" s="2482"/>
      <c r="I3" s="2482"/>
      <c r="J3" s="1423"/>
    </row>
    <row r="4" spans="2:10" s="317" customFormat="1" ht="12.75" customHeight="1" x14ac:dyDescent="0.2">
      <c r="B4" s="2481" t="str">
        <f>'Single Audit Cover'!A4</f>
        <v>Year Ending June 30, 2018</v>
      </c>
      <c r="C4" s="2482"/>
      <c r="D4" s="2482"/>
      <c r="E4" s="2482"/>
      <c r="F4" s="2482"/>
      <c r="G4" s="2482"/>
      <c r="H4" s="2482"/>
      <c r="I4" s="2482"/>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1" t="s">
        <v>1346</v>
      </c>
      <c r="C7" s="2482"/>
      <c r="D7" s="2482"/>
      <c r="E7" s="2482"/>
      <c r="F7" s="2482"/>
      <c r="G7" s="2482"/>
      <c r="H7" s="2482"/>
      <c r="I7" s="2482"/>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3"/>
      <c r="D11" s="2483"/>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4"/>
      <c r="E29" s="2484"/>
      <c r="F29" s="2484"/>
      <c r="G29" s="2484"/>
      <c r="H29" s="2484"/>
      <c r="I29" s="2484"/>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85" t="s">
        <v>1854</v>
      </c>
      <c r="D37" s="2486"/>
      <c r="E37" s="2486"/>
      <c r="F37" s="2487"/>
      <c r="G37" s="2485" t="s">
        <v>1674</v>
      </c>
      <c r="H37" s="2486"/>
      <c r="I37" s="2487"/>
    </row>
    <row r="38" spans="2:9" ht="16.5" customHeight="1" x14ac:dyDescent="0.2">
      <c r="B38" s="1444"/>
      <c r="C38" s="2473"/>
      <c r="D38" s="2474"/>
      <c r="E38" s="2474"/>
      <c r="F38" s="2475"/>
      <c r="G38" s="2488"/>
      <c r="H38" s="2489"/>
      <c r="I38" s="2490"/>
    </row>
    <row r="39" spans="2:9" ht="16.5" customHeight="1" x14ac:dyDescent="0.2">
      <c r="B39" s="1444"/>
      <c r="C39" s="2473"/>
      <c r="D39" s="2474"/>
      <c r="E39" s="2474"/>
      <c r="F39" s="2475"/>
      <c r="G39" s="2476"/>
      <c r="H39" s="2476"/>
      <c r="I39" s="2476"/>
    </row>
    <row r="40" spans="2:9" ht="16.5" customHeight="1" x14ac:dyDescent="0.2">
      <c r="B40" s="1444"/>
      <c r="C40" s="2473"/>
      <c r="D40" s="2474"/>
      <c r="E40" s="2474"/>
      <c r="F40" s="2475"/>
      <c r="G40" s="2476"/>
      <c r="H40" s="2476"/>
      <c r="I40" s="2476"/>
    </row>
    <row r="41" spans="2:9" ht="16.5" customHeight="1" x14ac:dyDescent="0.2">
      <c r="B41" s="1444"/>
      <c r="C41" s="2473"/>
      <c r="D41" s="2474"/>
      <c r="E41" s="2474"/>
      <c r="F41" s="2475"/>
      <c r="G41" s="2476"/>
      <c r="H41" s="2476"/>
      <c r="I41" s="2476"/>
    </row>
    <row r="42" spans="2:9" ht="16.5" customHeight="1" x14ac:dyDescent="0.2">
      <c r="B42" s="1444"/>
      <c r="C42" s="2473"/>
      <c r="D42" s="2474"/>
      <c r="E42" s="2474"/>
      <c r="F42" s="2475"/>
      <c r="G42" s="2476"/>
      <c r="H42" s="2476"/>
      <c r="I42" s="2476"/>
    </row>
    <row r="43" spans="2:9" ht="16.5" customHeight="1" x14ac:dyDescent="0.2">
      <c r="B43" s="1444"/>
      <c r="C43" s="2466" t="s">
        <v>1675</v>
      </c>
      <c r="D43" s="2467"/>
      <c r="E43" s="2467"/>
      <c r="F43" s="2468"/>
      <c r="G43" s="2469">
        <f>SUM(G38:I42)</f>
        <v>0</v>
      </c>
      <c r="H43" s="2469"/>
      <c r="I43" s="2469"/>
    </row>
    <row r="44" spans="2:9" ht="12.75" customHeight="1" x14ac:dyDescent="0.2"/>
    <row r="45" spans="2:9" ht="12.75" customHeight="1" x14ac:dyDescent="0.2">
      <c r="B45" s="1435" t="s">
        <v>1952</v>
      </c>
      <c r="D45" s="2470">
        <v>0</v>
      </c>
      <c r="E45" s="2471"/>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72"/>
      <c r="F49" s="2472"/>
      <c r="G49" s="2472"/>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7" t="str">
        <f>'Single Audit Cover'!A7</f>
        <v>Union Ridge SD 86</v>
      </c>
      <c r="C1" s="2477"/>
      <c r="D1" s="2477"/>
      <c r="E1" s="2477"/>
      <c r="F1" s="2477"/>
      <c r="G1" s="2477"/>
      <c r="H1" s="2477"/>
      <c r="I1" s="2477"/>
      <c r="J1" s="2477"/>
      <c r="K1" s="2477"/>
      <c r="L1" s="1374"/>
      <c r="M1" s="1374"/>
    </row>
    <row r="2" spans="1:13" ht="12" customHeight="1" x14ac:dyDescent="0.2">
      <c r="B2" s="2479">
        <f>'Single Audit Cover'!E7</f>
        <v>6016086002</v>
      </c>
      <c r="C2" s="2479"/>
      <c r="D2" s="2479"/>
      <c r="E2" s="2479"/>
      <c r="F2" s="2479"/>
      <c r="G2" s="2479"/>
      <c r="H2" s="2479"/>
      <c r="I2" s="2479"/>
      <c r="J2" s="2479"/>
      <c r="K2" s="2479"/>
      <c r="L2" s="1375"/>
      <c r="M2" s="1376"/>
    </row>
    <row r="3" spans="1:13" ht="10.35" customHeight="1" x14ac:dyDescent="0.2">
      <c r="B3" s="2493" t="s">
        <v>1347</v>
      </c>
      <c r="C3" s="2493"/>
      <c r="D3" s="2493"/>
      <c r="E3" s="2493"/>
      <c r="F3" s="2493"/>
      <c r="G3" s="2493"/>
      <c r="H3" s="2493"/>
      <c r="I3" s="2493"/>
      <c r="J3" s="2493"/>
      <c r="K3" s="2493"/>
      <c r="L3" s="1377"/>
      <c r="M3" s="1377"/>
    </row>
    <row r="4" spans="1:13" ht="14.25" customHeight="1" x14ac:dyDescent="0.2">
      <c r="B4" s="2494" t="str">
        <f>'Single Audit Cover'!A4</f>
        <v>Year Ending June 30, 2018</v>
      </c>
      <c r="C4" s="2494"/>
      <c r="D4" s="2494"/>
      <c r="E4" s="2494"/>
      <c r="F4" s="2494"/>
      <c r="G4" s="2494"/>
      <c r="H4" s="2494"/>
      <c r="I4" s="2494"/>
      <c r="J4" s="2494"/>
      <c r="K4" s="2494"/>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4" t="s">
        <v>1363</v>
      </c>
      <c r="C7" s="2494"/>
      <c r="D7" s="2495"/>
      <c r="E7" s="2495"/>
      <c r="F7" s="2495"/>
      <c r="G7" s="2495"/>
      <c r="H7" s="2495"/>
      <c r="I7" s="2495"/>
      <c r="J7" s="2495"/>
      <c r="K7" s="2495"/>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1953</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2"/>
      <c r="C14" s="2492"/>
      <c r="D14" s="2492"/>
      <c r="E14" s="2492"/>
      <c r="F14" s="2492"/>
      <c r="G14" s="2492"/>
      <c r="H14" s="2492"/>
      <c r="I14" s="2492"/>
      <c r="J14" s="2492"/>
      <c r="K14" s="2492"/>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2"/>
      <c r="C17" s="2492"/>
      <c r="D17" s="2492"/>
      <c r="E17" s="2492"/>
      <c r="F17" s="2492"/>
      <c r="G17" s="2492"/>
      <c r="H17" s="2492"/>
      <c r="I17" s="2492"/>
      <c r="J17" s="2492"/>
      <c r="K17" s="2492"/>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6"/>
      <c r="C20" s="2496"/>
      <c r="D20" s="2492"/>
      <c r="E20" s="2492"/>
      <c r="F20" s="2492"/>
      <c r="G20" s="2492"/>
      <c r="H20" s="2492"/>
      <c r="I20" s="2492"/>
      <c r="J20" s="2492"/>
      <c r="K20" s="2492"/>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2"/>
      <c r="C23" s="2492"/>
      <c r="D23" s="2492"/>
      <c r="E23" s="2492"/>
      <c r="F23" s="2492"/>
      <c r="G23" s="2492"/>
      <c r="H23" s="2492"/>
      <c r="I23" s="2492"/>
      <c r="J23" s="2492"/>
      <c r="K23" s="2492"/>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2"/>
      <c r="C26" s="2492"/>
      <c r="D26" s="2492"/>
      <c r="E26" s="2492"/>
      <c r="F26" s="2492"/>
      <c r="G26" s="2492"/>
      <c r="H26" s="2492"/>
      <c r="I26" s="2492"/>
      <c r="J26" s="2492"/>
      <c r="K26" s="2492"/>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1"/>
      <c r="C29" s="2491"/>
      <c r="D29" s="2492"/>
      <c r="E29" s="2492"/>
      <c r="F29" s="2492"/>
      <c r="G29" s="2492"/>
      <c r="H29" s="2492"/>
      <c r="I29" s="2492"/>
      <c r="J29" s="2492"/>
      <c r="K29" s="2492"/>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1"/>
      <c r="C32" s="2491"/>
      <c r="D32" s="2492"/>
      <c r="E32" s="2492"/>
      <c r="F32" s="2492"/>
      <c r="G32" s="2492"/>
      <c r="H32" s="2492"/>
      <c r="I32" s="2492"/>
      <c r="J32" s="2492"/>
      <c r="K32" s="2492"/>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1954</v>
      </c>
      <c r="C36" s="1300"/>
      <c r="L36" s="1381"/>
    </row>
    <row r="37" spans="1:13" ht="9.6" customHeight="1" x14ac:dyDescent="0.2">
      <c r="B37" s="1300" t="s">
        <v>1955</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0" t="str">
        <f>'Single Audit Cover'!A7</f>
        <v>Union Ridge SD 86</v>
      </c>
      <c r="C1" s="2500"/>
      <c r="D1" s="2500"/>
      <c r="E1" s="2500"/>
      <c r="F1" s="2500"/>
      <c r="G1" s="2500"/>
      <c r="H1" s="2500"/>
      <c r="I1" s="2500"/>
      <c r="J1" s="2500"/>
      <c r="K1" s="2500"/>
      <c r="L1" s="1465"/>
    </row>
    <row r="2" spans="1:12" ht="12.75" customHeight="1" x14ac:dyDescent="0.2">
      <c r="B2" s="2501">
        <f>'Single Audit Cover'!E7</f>
        <v>6016086002</v>
      </c>
      <c r="C2" s="2501"/>
      <c r="D2" s="2501"/>
      <c r="E2" s="2501"/>
      <c r="F2" s="2501"/>
      <c r="G2" s="2501"/>
      <c r="H2" s="2501"/>
      <c r="I2" s="2501"/>
      <c r="J2" s="2501"/>
      <c r="K2" s="2501"/>
      <c r="L2" s="1466"/>
    </row>
    <row r="3" spans="1:12" ht="12.75" customHeight="1" x14ac:dyDescent="0.2">
      <c r="B3" s="2493" t="s">
        <v>1347</v>
      </c>
      <c r="C3" s="2493"/>
      <c r="D3" s="2493"/>
      <c r="E3" s="2493"/>
      <c r="F3" s="2493"/>
      <c r="G3" s="2493"/>
      <c r="H3" s="2493"/>
      <c r="I3" s="2493"/>
      <c r="J3" s="2493"/>
      <c r="K3" s="2493"/>
      <c r="L3" s="1377"/>
    </row>
    <row r="4" spans="1:12" ht="12.75" customHeight="1" x14ac:dyDescent="0.2">
      <c r="B4" s="2493" t="str">
        <f>'Single Audit Cover'!A4</f>
        <v>Year Ending June 30, 2018</v>
      </c>
      <c r="C4" s="2493"/>
      <c r="D4" s="2493"/>
      <c r="E4" s="2493"/>
      <c r="F4" s="2493"/>
      <c r="G4" s="2493"/>
      <c r="H4" s="2493"/>
      <c r="I4" s="2493"/>
      <c r="J4" s="2493"/>
      <c r="K4" s="2493"/>
      <c r="L4" s="1377"/>
    </row>
    <row r="5" spans="1:12" ht="5.25" customHeight="1" x14ac:dyDescent="0.2">
      <c r="B5" s="1260" t="s">
        <v>1231</v>
      </c>
      <c r="C5" s="1260"/>
      <c r="L5" s="322"/>
    </row>
    <row r="6" spans="1:12" ht="30.75" customHeight="1" x14ac:dyDescent="0.2">
      <c r="A6" s="322"/>
      <c r="B6" s="2502" t="s">
        <v>1375</v>
      </c>
      <c r="C6" s="2502"/>
      <c r="D6" s="2502"/>
      <c r="E6" s="2502"/>
      <c r="F6" s="2502"/>
      <c r="G6" s="2502"/>
      <c r="H6" s="2502"/>
      <c r="I6" s="2502"/>
      <c r="J6" s="2502"/>
      <c r="K6" s="2502"/>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1953</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4"/>
      <c r="G12" s="2484"/>
      <c r="H12" s="2484"/>
      <c r="I12" s="2484"/>
      <c r="J12" s="2484"/>
      <c r="K12" s="2484"/>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7"/>
      <c r="E14" s="2497"/>
      <c r="F14" s="2497"/>
      <c r="H14" s="1475" t="s">
        <v>1370</v>
      </c>
      <c r="I14" s="2498"/>
      <c r="J14" s="2498"/>
      <c r="K14" s="2498"/>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498"/>
      <c r="E16" s="2498"/>
      <c r="F16" s="2498"/>
      <c r="G16" s="2498"/>
      <c r="H16" s="2498"/>
      <c r="I16" s="2498"/>
      <c r="J16" s="2498"/>
      <c r="K16" s="2498"/>
      <c r="L16" s="322"/>
    </row>
    <row r="17" spans="2:12" ht="13.5" customHeight="1" x14ac:dyDescent="0.2">
      <c r="B17" s="1387" t="s">
        <v>1368</v>
      </c>
      <c r="C17" s="1387"/>
      <c r="D17" s="2499"/>
      <c r="E17" s="2499"/>
      <c r="F17" s="2499"/>
      <c r="G17" s="2499"/>
      <c r="H17" s="2499"/>
      <c r="I17" s="2499"/>
      <c r="J17" s="2499"/>
      <c r="K17" s="2499"/>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2"/>
      <c r="C20" s="2492"/>
      <c r="D20" s="2492"/>
      <c r="E20" s="2492"/>
      <c r="F20" s="2492"/>
      <c r="G20" s="2492"/>
      <c r="H20" s="2492"/>
      <c r="I20" s="2492"/>
      <c r="J20" s="2492"/>
      <c r="K20" s="2492"/>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2"/>
      <c r="C23" s="2492"/>
      <c r="D23" s="2492"/>
      <c r="E23" s="2492"/>
      <c r="F23" s="2492"/>
      <c r="G23" s="2492"/>
      <c r="H23" s="2492"/>
      <c r="I23" s="2492"/>
      <c r="J23" s="2492"/>
      <c r="K23" s="2492"/>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2"/>
      <c r="C26" s="2492"/>
      <c r="D26" s="2492"/>
      <c r="E26" s="2492"/>
      <c r="F26" s="2492"/>
      <c r="G26" s="2492"/>
      <c r="H26" s="2492"/>
      <c r="I26" s="2492"/>
      <c r="J26" s="2492"/>
      <c r="K26" s="2492"/>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2"/>
      <c r="C29" s="2492"/>
      <c r="D29" s="2492"/>
      <c r="E29" s="2492"/>
      <c r="F29" s="2492"/>
      <c r="G29" s="2492"/>
      <c r="H29" s="2492"/>
      <c r="I29" s="2492"/>
      <c r="J29" s="2492"/>
      <c r="K29" s="2492"/>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2"/>
      <c r="C32" s="2492"/>
      <c r="D32" s="2492"/>
      <c r="E32" s="2492"/>
      <c r="F32" s="2492"/>
      <c r="G32" s="2492"/>
      <c r="H32" s="2492"/>
      <c r="I32" s="2492"/>
      <c r="J32" s="2492"/>
      <c r="K32" s="2492"/>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2"/>
      <c r="C35" s="2492"/>
      <c r="D35" s="2492"/>
      <c r="E35" s="2492"/>
      <c r="F35" s="2492"/>
      <c r="G35" s="2492"/>
      <c r="H35" s="2492"/>
      <c r="I35" s="2492"/>
      <c r="J35" s="2492"/>
      <c r="K35" s="2492"/>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2"/>
      <c r="C38" s="2492"/>
      <c r="D38" s="2492"/>
      <c r="E38" s="2492"/>
      <c r="F38" s="2492"/>
      <c r="G38" s="2492"/>
      <c r="H38" s="2492"/>
      <c r="I38" s="2492"/>
      <c r="J38" s="2492"/>
      <c r="K38" s="2492"/>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2"/>
      <c r="C41" s="2492"/>
      <c r="D41" s="2492"/>
      <c r="E41" s="2492"/>
      <c r="F41" s="2492"/>
      <c r="G41" s="2492"/>
      <c r="H41" s="2492"/>
      <c r="I41" s="2492"/>
      <c r="J41" s="2492"/>
      <c r="K41" s="2492"/>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7" t="str">
        <f>'Single Audit Cover'!A7</f>
        <v>Union Ridge SD 86</v>
      </c>
      <c r="C1" s="2477"/>
      <c r="D1" s="2477"/>
      <c r="E1" s="1491"/>
    </row>
    <row r="2" spans="2:5" s="1282" customFormat="1" ht="12.75" customHeight="1" x14ac:dyDescent="0.2">
      <c r="B2" s="2479">
        <f>'Single Audit Cover'!E7</f>
        <v>6016086002</v>
      </c>
      <c r="C2" s="2479"/>
      <c r="D2" s="2479"/>
      <c r="E2" s="1492"/>
    </row>
    <row r="3" spans="2:5" ht="12.75" customHeight="1" x14ac:dyDescent="0.2">
      <c r="B3" s="2493" t="s">
        <v>1869</v>
      </c>
      <c r="C3" s="2493"/>
      <c r="D3" s="2493"/>
      <c r="E3" s="1274"/>
    </row>
    <row r="4" spans="2:5" s="1282" customFormat="1" ht="12.75" customHeight="1" x14ac:dyDescent="0.2">
      <c r="B4" s="2503" t="str">
        <f>'Single Audit Cover'!A4</f>
        <v>Year Ending June 30, 2018</v>
      </c>
      <c r="C4" s="2503"/>
      <c r="D4" s="2503"/>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1" t="s">
        <v>404</v>
      </c>
      <c r="B1" s="2101"/>
      <c r="C1" s="2101"/>
      <c r="D1" s="2101"/>
      <c r="E1" s="2101"/>
      <c r="F1" s="2101"/>
      <c r="G1" s="2101"/>
      <c r="H1" s="2101"/>
      <c r="I1" s="2101"/>
      <c r="J1" s="2101"/>
      <c r="K1" s="2101"/>
      <c r="L1" s="2101"/>
      <c r="M1" s="2101"/>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201745478</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2.3199999999999998E-2</v>
      </c>
      <c r="E10" s="356" t="s">
        <v>1062</v>
      </c>
      <c r="F10" s="355">
        <v>3.4749999999999998E-3</v>
      </c>
      <c r="G10" s="356" t="s">
        <v>1062</v>
      </c>
      <c r="H10" s="355">
        <v>2.6200000000000003E-4</v>
      </c>
      <c r="I10" s="356" t="s">
        <v>1063</v>
      </c>
      <c r="J10" s="1754">
        <f>ROUND(D10+F10+H10,5)</f>
        <v>2.6939999999999999E-2</v>
      </c>
      <c r="K10" s="222"/>
      <c r="L10" s="355">
        <v>2.9999999999999997E-4</v>
      </c>
      <c r="M10" s="222"/>
    </row>
    <row r="11" spans="1:14" ht="7.5" customHeight="1" x14ac:dyDescent="0.2">
      <c r="B11" s="222"/>
      <c r="C11" s="222"/>
      <c r="D11" s="2111" t="str">
        <f>IF(SUM(J10)&lt;=0.0999999,"","Enter the Tax Rates by moving the decimal two places to the left.")</f>
        <v/>
      </c>
      <c r="E11" s="2112"/>
      <c r="F11" s="2112"/>
      <c r="G11" s="2112"/>
      <c r="H11" s="2112"/>
      <c r="I11" s="2112"/>
      <c r="J11" s="211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7369884</v>
      </c>
      <c r="E16" s="356"/>
      <c r="F16" s="1755">
        <f>SUM('Acct Summary 7-8'!C17,'Acct Summary 7-8'!D17,'Acct Summary 7-8'!F17)</f>
        <v>7116444</v>
      </c>
      <c r="G16" s="356"/>
      <c r="H16" s="1755">
        <f>SUM(D16-F16)</f>
        <v>253440</v>
      </c>
      <c r="I16" s="222"/>
      <c r="J16" s="1755">
        <f>SUM('Acct Summary 7-8'!C81,'Acct Summary 7-8'!D81,'Acct Summary 7-8'!F81,'Acct Summary 7-8'!I81)</f>
        <v>5640634</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2081</v>
      </c>
      <c r="C31" s="367" t="s">
        <v>607</v>
      </c>
      <c r="D31" s="237" t="s">
        <v>1132</v>
      </c>
      <c r="E31" s="222"/>
      <c r="F31" s="222"/>
      <c r="G31" s="363"/>
      <c r="H31" s="1757">
        <f>IF(B31="X",(J7*0.069),IF(B32="X",(J7*0.138),"Enter x in a.or b."))</f>
        <v>13920437.982000001</v>
      </c>
      <c r="I31" s="368"/>
      <c r="J31" s="222"/>
      <c r="K31" s="222"/>
      <c r="L31" s="222"/>
      <c r="M31" s="222"/>
    </row>
    <row r="32" spans="1:13" ht="13.35" customHeight="1" x14ac:dyDescent="0.2">
      <c r="B32" s="369"/>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1746652</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2"/>
      <c r="C54" s="2103"/>
      <c r="D54" s="2103"/>
      <c r="E54" s="2103"/>
      <c r="F54" s="2103"/>
      <c r="G54" s="2103"/>
      <c r="H54" s="2103"/>
      <c r="I54" s="2103"/>
      <c r="J54" s="2103"/>
      <c r="K54" s="2103"/>
      <c r="L54" s="2104"/>
      <c r="M54" s="380"/>
    </row>
    <row r="55" spans="1:13" ht="12.75" customHeight="1" x14ac:dyDescent="0.2">
      <c r="B55" s="2105"/>
      <c r="C55" s="2106"/>
      <c r="D55" s="2106"/>
      <c r="E55" s="2106"/>
      <c r="F55" s="2106"/>
      <c r="G55" s="2106"/>
      <c r="H55" s="2106"/>
      <c r="I55" s="2106"/>
      <c r="J55" s="2106"/>
      <c r="K55" s="2106"/>
      <c r="L55" s="2107"/>
      <c r="M55" s="380"/>
    </row>
    <row r="56" spans="1:13" ht="12.75" customHeight="1" x14ac:dyDescent="0.2">
      <c r="B56" s="2105"/>
      <c r="C56" s="2106"/>
      <c r="D56" s="2106"/>
      <c r="E56" s="2106"/>
      <c r="F56" s="2106"/>
      <c r="G56" s="2106"/>
      <c r="H56" s="2106"/>
      <c r="I56" s="2106"/>
      <c r="J56" s="2106"/>
      <c r="K56" s="2106"/>
      <c r="L56" s="2107"/>
      <c r="M56" s="222"/>
    </row>
    <row r="57" spans="1:13" ht="12.75" customHeight="1" x14ac:dyDescent="0.2">
      <c r="B57" s="2105"/>
      <c r="C57" s="2106"/>
      <c r="D57" s="2106"/>
      <c r="E57" s="2106"/>
      <c r="F57" s="2106"/>
      <c r="G57" s="2106"/>
      <c r="H57" s="2106"/>
      <c r="I57" s="2106"/>
      <c r="J57" s="2106"/>
      <c r="K57" s="2106"/>
      <c r="L57" s="2107"/>
      <c r="M57" s="222"/>
    </row>
    <row r="58" spans="1:13" x14ac:dyDescent="0.2">
      <c r="B58" s="2108"/>
      <c r="C58" s="2109"/>
      <c r="D58" s="2109"/>
      <c r="E58" s="2109"/>
      <c r="F58" s="2109"/>
      <c r="G58" s="2109"/>
      <c r="H58" s="2109"/>
      <c r="I58" s="2109"/>
      <c r="J58" s="2109"/>
      <c r="K58" s="2109"/>
      <c r="L58" s="211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3"/>
      <c r="D61" s="211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topLeftCell="A2" zoomScale="110" zoomScaleNormal="110" workbookViewId="0">
      <selection activeCell="A2" sqref="A2:R2"/>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6"/>
      <c r="B1" s="2117"/>
      <c r="C1" s="2117"/>
      <c r="D1" s="384"/>
      <c r="E1" s="384"/>
      <c r="F1" s="384"/>
      <c r="G1" s="384"/>
      <c r="H1" s="384"/>
      <c r="I1" s="384"/>
      <c r="J1" s="384"/>
      <c r="K1" s="384"/>
      <c r="L1" s="384"/>
      <c r="M1" s="384"/>
      <c r="N1" s="384"/>
      <c r="O1" s="2116"/>
      <c r="P1" s="2117"/>
      <c r="Q1" s="2117"/>
    </row>
    <row r="2" spans="1:18" ht="15" x14ac:dyDescent="0.2">
      <c r="A2" s="2120" t="s">
        <v>577</v>
      </c>
      <c r="B2" s="2120"/>
      <c r="C2" s="2120"/>
      <c r="D2" s="2120"/>
      <c r="E2" s="2120"/>
      <c r="F2" s="2120"/>
      <c r="G2" s="2120"/>
      <c r="H2" s="2120"/>
      <c r="I2" s="2120"/>
      <c r="J2" s="2120"/>
      <c r="K2" s="2120"/>
      <c r="L2" s="2120"/>
      <c r="M2" s="2120"/>
      <c r="N2" s="2120"/>
      <c r="O2" s="2120"/>
      <c r="P2" s="2120"/>
      <c r="Q2" s="2120"/>
      <c r="R2" s="2120"/>
    </row>
    <row r="3" spans="1:18" ht="12.75" x14ac:dyDescent="0.2">
      <c r="A3" s="2121" t="s">
        <v>1480</v>
      </c>
      <c r="B3" s="2121"/>
      <c r="C3" s="2121"/>
      <c r="D3" s="2121"/>
      <c r="E3" s="2121"/>
      <c r="F3" s="2121"/>
      <c r="G3" s="2121"/>
      <c r="H3" s="2121"/>
      <c r="I3" s="2121"/>
      <c r="J3" s="2121"/>
      <c r="K3" s="2121"/>
      <c r="L3" s="2121"/>
      <c r="M3" s="2121"/>
      <c r="N3" s="2121"/>
      <c r="O3" s="2121"/>
      <c r="P3" s="2121"/>
      <c r="Q3" s="2121"/>
      <c r="R3" s="2121"/>
    </row>
    <row r="4" spans="1:18" x14ac:dyDescent="0.2">
      <c r="A4" s="2122" t="s">
        <v>1635</v>
      </c>
      <c r="B4" s="2122"/>
      <c r="C4" s="2122"/>
      <c r="D4" s="2122"/>
      <c r="E4" s="2122"/>
      <c r="F4" s="2122"/>
      <c r="G4" s="2122"/>
      <c r="H4" s="2122"/>
      <c r="I4" s="2122"/>
      <c r="J4" s="2122"/>
      <c r="K4" s="2122"/>
      <c r="L4" s="2122"/>
      <c r="M4" s="2122"/>
      <c r="N4" s="2122"/>
      <c r="O4" s="2122"/>
      <c r="P4" s="2122"/>
      <c r="Q4" s="2122"/>
      <c r="R4" s="212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Union Ridge SD 86</v>
      </c>
      <c r="E7" s="391"/>
      <c r="G7" s="252"/>
      <c r="H7" s="387"/>
      <c r="I7" s="387"/>
      <c r="J7" s="387"/>
      <c r="K7" s="387"/>
      <c r="L7" s="329"/>
      <c r="M7" s="329"/>
      <c r="N7" s="329"/>
      <c r="O7" s="329"/>
      <c r="P7" s="329"/>
    </row>
    <row r="8" spans="1:18" ht="12.75" x14ac:dyDescent="0.2">
      <c r="A8" s="329"/>
      <c r="B8" s="329"/>
      <c r="C8" s="389" t="s">
        <v>1187</v>
      </c>
      <c r="D8" s="392">
        <f>COVER!A13</f>
        <v>6016086002</v>
      </c>
      <c r="E8" s="393"/>
      <c r="G8" s="329"/>
      <c r="H8" s="329"/>
      <c r="I8" s="329"/>
      <c r="J8" s="329"/>
      <c r="K8" s="329"/>
      <c r="L8" s="329"/>
      <c r="M8" s="329"/>
      <c r="N8" s="329"/>
      <c r="O8" s="329"/>
      <c r="P8" s="329"/>
    </row>
    <row r="9" spans="1:18" ht="12.75" x14ac:dyDescent="0.2">
      <c r="A9" s="329"/>
      <c r="B9" s="329"/>
      <c r="C9" s="389" t="s">
        <v>737</v>
      </c>
      <c r="D9" s="394" t="str">
        <f>COVER!A15</f>
        <v>Cook</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5640634</v>
      </c>
      <c r="I12" s="404"/>
      <c r="J12" s="404"/>
      <c r="K12" s="405">
        <f>TRUNC((H12/H13*100000),5)/100000</f>
        <v>0.76536265690000005</v>
      </c>
      <c r="L12" s="406"/>
      <c r="M12" s="360" t="s">
        <v>1206</v>
      </c>
      <c r="N12" s="360"/>
      <c r="O12" s="407">
        <v>0.35</v>
      </c>
      <c r="P12" s="218"/>
      <c r="Q12" s="218"/>
    </row>
    <row r="13" spans="1:18" s="408" customFormat="1" ht="12.75" x14ac:dyDescent="0.2">
      <c r="A13" s="218"/>
      <c r="B13" s="401"/>
      <c r="C13" s="2118" t="s">
        <v>1391</v>
      </c>
      <c r="D13" s="2119"/>
      <c r="E13" s="218"/>
      <c r="F13" s="409" t="s">
        <v>826</v>
      </c>
      <c r="G13" s="402"/>
      <c r="H13" s="403">
        <f>SUM('Acct Summary 7-8'!C8+'Acct Summary 7-8'!D8+'Acct Summary 7-8'!F8+'Acct Summary 7-8'!I8)+H14</f>
        <v>7369884</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7116444</v>
      </c>
      <c r="I17" s="404"/>
      <c r="J17" s="416"/>
      <c r="K17" s="405">
        <f>TRUNC((H17/H18*100000),5)/100000</f>
        <v>0.96561139899999993</v>
      </c>
      <c r="L17" s="406"/>
      <c r="M17" s="417" t="s">
        <v>1233</v>
      </c>
      <c r="O17" s="418" t="str">
        <f>IF(AND(O16="2", J20 &gt; 2),"1",IF(AND(O16 = "1", J20 &gt; 2),"2",IF(AND(O16="1", J20 &gt;1),"1","0")))</f>
        <v>0</v>
      </c>
      <c r="P17" s="218"/>
    </row>
    <row r="18" spans="1:18" s="408" customFormat="1" ht="11.25" x14ac:dyDescent="0.2">
      <c r="A18" s="218"/>
      <c r="B18" s="401"/>
      <c r="C18" s="2118" t="s">
        <v>1384</v>
      </c>
      <c r="D18" s="2119"/>
      <c r="E18" s="218"/>
      <c r="F18" s="419" t="s">
        <v>827</v>
      </c>
      <c r="G18" s="402"/>
      <c r="H18" s="403">
        <f>SUM('Acct Summary 7-8'!C8+'Acct Summary 7-8'!D8+'Acct Summary 7-8'!F8+'Acct Summary 7-8'!I8)+H19</f>
        <v>7369884</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5" t="s">
        <v>1479</v>
      </c>
      <c r="D24" s="2115"/>
      <c r="E24" s="218"/>
      <c r="F24" s="218" t="s">
        <v>465</v>
      </c>
      <c r="G24" s="402"/>
      <c r="H24" s="403">
        <f>SUM('Assets-Liab 5-6'!C4+'Assets-Liab 5-6'!D4+'Assets-Liab 5-6'!F4+'Assets-Liab 5-6'!I4+'Assets-Liab 5-6'!C5+'Assets-Liab 5-6'!D5+'Assets-Liab 5-6'!F5+'Assets-Liab 5-6'!I5)</f>
        <v>5640634</v>
      </c>
      <c r="I24" s="422"/>
      <c r="J24" s="422"/>
      <c r="K24" s="423">
        <f>TRUNC(((H24/H25*100000)/100000),2)</f>
        <v>285.33999999999997</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19767.900000000001</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4619769.7007200001</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1746652</v>
      </c>
      <c r="I32" s="420"/>
      <c r="J32" s="420"/>
      <c r="K32" s="423">
        <f>TRUNC(100-((((H32/H33*100))*100)/100),2)</f>
        <v>87.45</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13920437.982000001</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3.9999999999999996</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D1" colorId="8" zoomScale="110" zoomScaleNormal="110" workbookViewId="0">
      <pane ySplit="2" topLeftCell="A40" activePane="bottomLeft" state="frozen"/>
      <selection activeCell="A47" sqref="A47"/>
      <selection pane="bottomLeft" activeCell="K46" sqref="K46"/>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3"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4"/>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5" t="s">
        <v>1030</v>
      </c>
      <c r="B3" s="2126"/>
      <c r="C3" s="1581"/>
      <c r="D3" s="1582"/>
      <c r="E3" s="1582"/>
      <c r="F3" s="1582"/>
      <c r="G3" s="1582"/>
      <c r="H3" s="1582"/>
      <c r="I3" s="1582"/>
      <c r="J3" s="1582"/>
      <c r="K3" s="1582"/>
      <c r="L3" s="1582"/>
      <c r="M3" s="1583"/>
      <c r="N3" s="1584"/>
    </row>
    <row r="4" spans="1:14" ht="13.5" customHeight="1" x14ac:dyDescent="0.2">
      <c r="A4" s="463" t="s">
        <v>1750</v>
      </c>
      <c r="B4" s="464"/>
      <c r="C4" s="465">
        <v>1300629</v>
      </c>
      <c r="D4" s="466">
        <v>372108</v>
      </c>
      <c r="E4" s="466">
        <v>69504</v>
      </c>
      <c r="F4" s="466">
        <v>27648</v>
      </c>
      <c r="G4" s="466">
        <v>176606</v>
      </c>
      <c r="H4" s="466"/>
      <c r="I4" s="466">
        <v>3940249</v>
      </c>
      <c r="J4" s="467">
        <v>114868</v>
      </c>
      <c r="K4" s="466">
        <v>53149</v>
      </c>
      <c r="L4" s="466">
        <v>35313</v>
      </c>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1300629</v>
      </c>
      <c r="D13" s="1759">
        <f t="shared" ref="D13:L13" si="0">SUM(D4:D12)</f>
        <v>372108</v>
      </c>
      <c r="E13" s="1759">
        <f t="shared" si="0"/>
        <v>69504</v>
      </c>
      <c r="F13" s="1759">
        <f t="shared" si="0"/>
        <v>27648</v>
      </c>
      <c r="G13" s="1759">
        <f t="shared" si="0"/>
        <v>176606</v>
      </c>
      <c r="H13" s="1759">
        <f t="shared" si="0"/>
        <v>0</v>
      </c>
      <c r="I13" s="1759">
        <f t="shared" si="0"/>
        <v>3940249</v>
      </c>
      <c r="J13" s="1759">
        <f t="shared" si="0"/>
        <v>114868</v>
      </c>
      <c r="K13" s="1759">
        <f t="shared" si="0"/>
        <v>53149</v>
      </c>
      <c r="L13" s="1759">
        <f t="shared" si="0"/>
        <v>35313</v>
      </c>
      <c r="M13" s="468"/>
      <c r="N13" s="469"/>
    </row>
    <row r="14" spans="1:14" ht="18" customHeight="1" thickTop="1" x14ac:dyDescent="0.2">
      <c r="A14" s="2127" t="s">
        <v>149</v>
      </c>
      <c r="B14" s="2128"/>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49573</v>
      </c>
      <c r="N16" s="484"/>
    </row>
    <row r="17" spans="1:14" s="485" customFormat="1" ht="12.75" customHeight="1" x14ac:dyDescent="0.2">
      <c r="A17" s="482" t="s">
        <v>1470</v>
      </c>
      <c r="B17" s="483">
        <v>230</v>
      </c>
      <c r="C17" s="477"/>
      <c r="D17" s="477"/>
      <c r="E17" s="477"/>
      <c r="F17" s="477"/>
      <c r="G17" s="477"/>
      <c r="H17" s="477"/>
      <c r="I17" s="477"/>
      <c r="J17" s="477"/>
      <c r="K17" s="477"/>
      <c r="L17" s="477"/>
      <c r="M17" s="467">
        <v>7941805</v>
      </c>
      <c r="N17" s="484"/>
    </row>
    <row r="18" spans="1:14" s="485" customFormat="1" ht="12.75" customHeight="1" x14ac:dyDescent="0.2">
      <c r="A18" s="482" t="s">
        <v>1471</v>
      </c>
      <c r="B18" s="483">
        <v>240</v>
      </c>
      <c r="C18" s="477"/>
      <c r="D18" s="477"/>
      <c r="E18" s="477"/>
      <c r="F18" s="477"/>
      <c r="G18" s="477"/>
      <c r="H18" s="477"/>
      <c r="I18" s="477"/>
      <c r="J18" s="477"/>
      <c r="K18" s="477"/>
      <c r="L18" s="477"/>
      <c r="M18" s="467">
        <v>1183269</v>
      </c>
      <c r="N18" s="484"/>
    </row>
    <row r="19" spans="1:14" s="485" customFormat="1" ht="12.75" customHeight="1" x14ac:dyDescent="0.2">
      <c r="A19" s="482" t="s">
        <v>1472</v>
      </c>
      <c r="B19" s="483">
        <v>250</v>
      </c>
      <c r="C19" s="477"/>
      <c r="D19" s="477"/>
      <c r="E19" s="477"/>
      <c r="F19" s="477"/>
      <c r="G19" s="477"/>
      <c r="H19" s="477"/>
      <c r="I19" s="477"/>
      <c r="J19" s="477"/>
      <c r="K19" s="477"/>
      <c r="L19" s="477"/>
      <c r="M19" s="467">
        <v>479537</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69504</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1677148</v>
      </c>
    </row>
    <row r="23" spans="1:14" ht="13.5" customHeight="1" thickBot="1" x14ac:dyDescent="0.25">
      <c r="A23" s="1758" t="s">
        <v>664</v>
      </c>
      <c r="B23" s="1763"/>
      <c r="C23" s="468"/>
      <c r="D23" s="468"/>
      <c r="E23" s="468"/>
      <c r="F23" s="468"/>
      <c r="G23" s="468"/>
      <c r="H23" s="468"/>
      <c r="I23" s="468"/>
      <c r="J23" s="468"/>
      <c r="K23" s="468"/>
      <c r="L23" s="468"/>
      <c r="M23" s="1710">
        <f>SUM(M15:M22)</f>
        <v>9654184</v>
      </c>
      <c r="N23" s="1710">
        <f>SUM(N21:N22)</f>
        <v>1746652</v>
      </c>
    </row>
    <row r="24" spans="1:14" ht="18" customHeight="1" thickTop="1" x14ac:dyDescent="0.2">
      <c r="A24" s="2129" t="s">
        <v>619</v>
      </c>
      <c r="B24" s="2130"/>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35313</v>
      </c>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35313</v>
      </c>
      <c r="M34" s="468"/>
      <c r="N34" s="480"/>
    </row>
    <row r="35" spans="1:14" ht="18" customHeight="1" thickTop="1" x14ac:dyDescent="0.2">
      <c r="A35" s="2131" t="s">
        <v>550</v>
      </c>
      <c r="B35" s="2132"/>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1746652</v>
      </c>
    </row>
    <row r="37" spans="1:14" ht="13.5" thickBot="1" x14ac:dyDescent="0.25">
      <c r="A37" s="1758" t="s">
        <v>674</v>
      </c>
      <c r="B37" s="1763"/>
      <c r="C37" s="477"/>
      <c r="D37" s="477"/>
      <c r="E37" s="477"/>
      <c r="F37" s="477"/>
      <c r="G37" s="477"/>
      <c r="H37" s="477"/>
      <c r="I37" s="477"/>
      <c r="J37" s="477"/>
      <c r="K37" s="477"/>
      <c r="L37" s="480"/>
      <c r="M37" s="468"/>
      <c r="N37" s="1710">
        <f>SUM(N36:N36)</f>
        <v>1746652</v>
      </c>
    </row>
    <row r="38" spans="1:14" s="329" customFormat="1" ht="13.5" customHeight="1" thickTop="1" x14ac:dyDescent="0.2">
      <c r="A38" s="496" t="s">
        <v>440</v>
      </c>
      <c r="B38" s="483">
        <v>714</v>
      </c>
      <c r="C38" s="466"/>
      <c r="D38" s="466"/>
      <c r="E38" s="466"/>
      <c r="F38" s="466"/>
      <c r="G38" s="466"/>
      <c r="H38" s="466"/>
      <c r="I38" s="466"/>
      <c r="J38" s="467"/>
      <c r="K38" s="466"/>
      <c r="L38" s="481"/>
      <c r="M38" s="497"/>
      <c r="N38" s="497"/>
    </row>
    <row r="39" spans="1:14" s="329" customFormat="1" ht="13.5" customHeight="1" x14ac:dyDescent="0.2">
      <c r="A39" s="496" t="s">
        <v>360</v>
      </c>
      <c r="B39" s="483">
        <v>730</v>
      </c>
      <c r="C39" s="466">
        <v>1300629</v>
      </c>
      <c r="D39" s="466">
        <v>372108</v>
      </c>
      <c r="E39" s="466">
        <v>69504</v>
      </c>
      <c r="F39" s="466">
        <v>27648</v>
      </c>
      <c r="G39" s="466">
        <v>176606</v>
      </c>
      <c r="H39" s="466"/>
      <c r="I39" s="466">
        <v>3940249</v>
      </c>
      <c r="J39" s="467">
        <v>114868</v>
      </c>
      <c r="K39" s="466">
        <v>53149</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9654184</v>
      </c>
      <c r="N40" s="497"/>
    </row>
    <row r="41" spans="1:14" ht="13.5" customHeight="1" thickBot="1" x14ac:dyDescent="0.25">
      <c r="A41" s="1758" t="s">
        <v>676</v>
      </c>
      <c r="B41" s="1728"/>
      <c r="C41" s="1710">
        <f>(SUM(C34,C37,C38,C39))</f>
        <v>1300629</v>
      </c>
      <c r="D41" s="1710">
        <f t="shared" ref="D41:L41" si="2">SUM(D34,D37,D38:D39)</f>
        <v>372108</v>
      </c>
      <c r="E41" s="1710">
        <f t="shared" si="2"/>
        <v>69504</v>
      </c>
      <c r="F41" s="1710">
        <f t="shared" si="2"/>
        <v>27648</v>
      </c>
      <c r="G41" s="1710">
        <f t="shared" si="2"/>
        <v>176606</v>
      </c>
      <c r="H41" s="1710">
        <f t="shared" si="2"/>
        <v>0</v>
      </c>
      <c r="I41" s="1710">
        <f t="shared" si="2"/>
        <v>3940249</v>
      </c>
      <c r="J41" s="1710">
        <f t="shared" si="2"/>
        <v>114868</v>
      </c>
      <c r="K41" s="1710">
        <f t="shared" si="2"/>
        <v>53149</v>
      </c>
      <c r="L41" s="1710">
        <f t="shared" si="2"/>
        <v>35313</v>
      </c>
      <c r="M41" s="1710">
        <f>SUM(M40)</f>
        <v>9654184</v>
      </c>
      <c r="N41" s="1710">
        <f>SUM(N37)</f>
        <v>1746652</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47" sqref="A47"/>
      <selection pane="bottomLeft" activeCell="C13" sqref="C13"/>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1"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2"/>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3" t="s">
        <v>1237</v>
      </c>
      <c r="B3" s="2154"/>
      <c r="C3" s="1595"/>
      <c r="D3" s="1596"/>
      <c r="E3" s="1596"/>
      <c r="F3" s="1596"/>
      <c r="G3" s="1596"/>
      <c r="H3" s="1596"/>
      <c r="I3" s="1596"/>
      <c r="J3" s="1596"/>
      <c r="K3" s="1597"/>
      <c r="L3" s="506"/>
    </row>
    <row r="4" spans="1:13" ht="15.75" customHeight="1" x14ac:dyDescent="0.2">
      <c r="A4" s="1952" t="s">
        <v>1579</v>
      </c>
      <c r="B4" s="1953">
        <v>1000</v>
      </c>
      <c r="C4" s="1764">
        <f>'Revenues 9-14'!C109</f>
        <v>4781180</v>
      </c>
      <c r="D4" s="1764">
        <f>'Revenues 9-14'!D109</f>
        <v>718899</v>
      </c>
      <c r="E4" s="1764">
        <f>'Revenues 9-14'!E109</f>
        <v>155109</v>
      </c>
      <c r="F4" s="1764">
        <f>'Revenues 9-14'!F109</f>
        <v>70365</v>
      </c>
      <c r="G4" s="1764">
        <f>'Revenues 9-14'!G109</f>
        <v>202328</v>
      </c>
      <c r="H4" s="1764">
        <f>'Revenues 9-14'!H109</f>
        <v>0</v>
      </c>
      <c r="I4" s="1764">
        <f>'Revenues 9-14'!I109</f>
        <v>69849</v>
      </c>
      <c r="J4" s="1764">
        <f>'Revenues 9-14'!J109</f>
        <v>67214</v>
      </c>
      <c r="K4" s="1764">
        <f>'Revenues 9-14'!K109</f>
        <v>441</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1334865</v>
      </c>
      <c r="D6" s="1765">
        <f>'Revenues 9-14'!D173</f>
        <v>0</v>
      </c>
      <c r="E6" s="1765">
        <f>'Revenues 9-14'!E173</f>
        <v>0</v>
      </c>
      <c r="F6" s="1765">
        <f>'Revenues 9-14'!F173</f>
        <v>34780</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359946</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6475991</v>
      </c>
      <c r="D8" s="1710">
        <f t="shared" ref="D8:K8" si="0">SUM(D4:D7)</f>
        <v>718899</v>
      </c>
      <c r="E8" s="1710">
        <f t="shared" si="0"/>
        <v>155109</v>
      </c>
      <c r="F8" s="1710">
        <f t="shared" si="0"/>
        <v>105145</v>
      </c>
      <c r="G8" s="1710">
        <f t="shared" si="0"/>
        <v>202328</v>
      </c>
      <c r="H8" s="1710">
        <f t="shared" si="0"/>
        <v>0</v>
      </c>
      <c r="I8" s="1710">
        <f t="shared" si="0"/>
        <v>69849</v>
      </c>
      <c r="J8" s="1710">
        <f t="shared" si="0"/>
        <v>67214</v>
      </c>
      <c r="K8" s="1710">
        <f t="shared" si="0"/>
        <v>441</v>
      </c>
      <c r="L8" s="347"/>
    </row>
    <row r="9" spans="1:13" ht="15.75" thickTop="1" x14ac:dyDescent="0.2">
      <c r="A9" s="514" t="s">
        <v>1752</v>
      </c>
      <c r="B9" s="515">
        <v>3998</v>
      </c>
      <c r="C9" s="481">
        <v>463429</v>
      </c>
      <c r="D9" s="516"/>
      <c r="E9" s="481"/>
      <c r="F9" s="481"/>
      <c r="G9" s="517"/>
      <c r="H9" s="481"/>
      <c r="I9" s="509" t="s">
        <v>1231</v>
      </c>
      <c r="J9" s="478"/>
      <c r="K9" s="481"/>
      <c r="L9" s="347"/>
    </row>
    <row r="10" spans="1:13" s="519" customFormat="1" ht="13.5" thickBot="1" x14ac:dyDescent="0.25">
      <c r="A10" s="1758" t="s">
        <v>1235</v>
      </c>
      <c r="B10" s="1731"/>
      <c r="C10" s="1710">
        <f>SUM(C8:C9)</f>
        <v>6939420</v>
      </c>
      <c r="D10" s="1710">
        <f t="shared" ref="D10:K10" si="1">SUM(D8:D9)</f>
        <v>718899</v>
      </c>
      <c r="E10" s="1710">
        <f t="shared" si="1"/>
        <v>155109</v>
      </c>
      <c r="F10" s="1710">
        <f t="shared" si="1"/>
        <v>105145</v>
      </c>
      <c r="G10" s="1710">
        <f t="shared" si="1"/>
        <v>202328</v>
      </c>
      <c r="H10" s="1710">
        <f t="shared" si="1"/>
        <v>0</v>
      </c>
      <c r="I10" s="1710">
        <f t="shared" si="1"/>
        <v>69849</v>
      </c>
      <c r="J10" s="1710">
        <f t="shared" si="1"/>
        <v>67214</v>
      </c>
      <c r="K10" s="1710">
        <f t="shared" si="1"/>
        <v>441</v>
      </c>
      <c r="L10" s="518"/>
    </row>
    <row r="11" spans="1:13" s="519" customFormat="1" ht="16.7" customHeight="1" thickTop="1" x14ac:dyDescent="0.2">
      <c r="A11" s="2127" t="s">
        <v>1238</v>
      </c>
      <c r="B11" s="2128"/>
      <c r="C11" s="1592"/>
      <c r="D11" s="1593"/>
      <c r="E11" s="1593"/>
      <c r="F11" s="1593"/>
      <c r="G11" s="1593"/>
      <c r="H11" s="1593"/>
      <c r="I11" s="1593"/>
      <c r="J11" s="1593"/>
      <c r="K11" s="1594"/>
      <c r="L11" s="518"/>
    </row>
    <row r="12" spans="1:13" ht="15.75" customHeight="1" x14ac:dyDescent="0.2">
      <c r="A12" s="1598" t="s">
        <v>476</v>
      </c>
      <c r="B12" s="1600">
        <v>1000</v>
      </c>
      <c r="C12" s="1764">
        <f>'Expenditures 15-22'!K33</f>
        <v>4627274</v>
      </c>
      <c r="D12" s="520" t="s">
        <v>1231</v>
      </c>
      <c r="E12" s="468" t="s">
        <v>1231</v>
      </c>
      <c r="F12" s="468" t="s">
        <v>1231</v>
      </c>
      <c r="G12" s="1764">
        <f>'Expenditures 15-22'!K229</f>
        <v>110234</v>
      </c>
      <c r="H12" s="521"/>
      <c r="I12" s="468" t="s">
        <v>1231</v>
      </c>
      <c r="J12" s="468" t="s">
        <v>1231</v>
      </c>
      <c r="K12" s="521" t="s">
        <v>1231</v>
      </c>
      <c r="L12" s="347"/>
    </row>
    <row r="13" spans="1:13" ht="15.75" customHeight="1" x14ac:dyDescent="0.2">
      <c r="A13" s="1598" t="s">
        <v>477</v>
      </c>
      <c r="B13" s="1600">
        <v>2000</v>
      </c>
      <c r="C13" s="1765">
        <f>'Expenditures 15-22'!K74</f>
        <v>1358347</v>
      </c>
      <c r="D13" s="1765">
        <f>'Expenditures 15-22'!K129</f>
        <v>741372</v>
      </c>
      <c r="E13" s="469" t="s">
        <v>1231</v>
      </c>
      <c r="F13" s="1765">
        <f>'Expenditures 15-22'!K184</f>
        <v>121934</v>
      </c>
      <c r="G13" s="1765">
        <f>'Expenditures 15-22'!K279</f>
        <v>150503</v>
      </c>
      <c r="H13" s="1765">
        <f>'Expenditures 15-22'!K303</f>
        <v>0</v>
      </c>
      <c r="I13" s="468" t="s">
        <v>1231</v>
      </c>
      <c r="J13" s="1765">
        <f>'Expenditures 15-22'!K330</f>
        <v>74937</v>
      </c>
      <c r="K13" s="1769">
        <f>'Expenditures 15-22'!K352</f>
        <v>0</v>
      </c>
      <c r="L13" s="347"/>
    </row>
    <row r="14" spans="1:13" ht="15.75" customHeight="1" x14ac:dyDescent="0.2">
      <c r="A14" s="1598" t="s">
        <v>469</v>
      </c>
      <c r="B14" s="1600">
        <v>3000</v>
      </c>
      <c r="C14" s="1765">
        <f>'Expenditures 15-22'!K75</f>
        <v>0</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267517</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150545</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6253138</v>
      </c>
      <c r="D17" s="1710">
        <f t="shared" si="2"/>
        <v>741372</v>
      </c>
      <c r="E17" s="1710">
        <f t="shared" si="2"/>
        <v>150545</v>
      </c>
      <c r="F17" s="1710">
        <f t="shared" si="2"/>
        <v>121934</v>
      </c>
      <c r="G17" s="1710">
        <f t="shared" si="2"/>
        <v>260737</v>
      </c>
      <c r="H17" s="1710">
        <f t="shared" si="2"/>
        <v>0</v>
      </c>
      <c r="I17" s="468"/>
      <c r="J17" s="1710">
        <f>SUM(J12:J16)</f>
        <v>74937</v>
      </c>
      <c r="K17" s="1710">
        <f>SUM(K12:K16)</f>
        <v>0</v>
      </c>
      <c r="L17" s="347"/>
    </row>
    <row r="18" spans="1:12" ht="15" customHeight="1" thickTop="1" x14ac:dyDescent="0.2">
      <c r="A18" s="1766" t="s">
        <v>1753</v>
      </c>
      <c r="B18" s="1767">
        <v>4180</v>
      </c>
      <c r="C18" s="1764">
        <f t="shared" ref="C18:H18" si="3">C9</f>
        <v>463429</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6716567</v>
      </c>
      <c r="D19" s="1710">
        <f t="shared" si="4"/>
        <v>741372</v>
      </c>
      <c r="E19" s="1710">
        <f t="shared" si="4"/>
        <v>150545</v>
      </c>
      <c r="F19" s="1710">
        <f t="shared" si="4"/>
        <v>121934</v>
      </c>
      <c r="G19" s="1710">
        <f t="shared" si="4"/>
        <v>260737</v>
      </c>
      <c r="H19" s="1710">
        <f t="shared" si="4"/>
        <v>0</v>
      </c>
      <c r="I19" s="468"/>
      <c r="J19" s="1710">
        <f>SUM(J17:J18)</f>
        <v>74937</v>
      </c>
      <c r="K19" s="1710">
        <f>SUM(K17:K18)</f>
        <v>0</v>
      </c>
      <c r="L19" s="347"/>
    </row>
    <row r="20" spans="1:12" ht="16.5" thickTop="1" thickBot="1" x14ac:dyDescent="0.25">
      <c r="A20" s="2143" t="s">
        <v>1754</v>
      </c>
      <c r="B20" s="2144"/>
      <c r="C20" s="1768">
        <f>C8-C17</f>
        <v>222853</v>
      </c>
      <c r="D20" s="1768">
        <f t="shared" ref="D20:K20" si="5">D8-D17</f>
        <v>-22473</v>
      </c>
      <c r="E20" s="1768">
        <f t="shared" si="5"/>
        <v>4564</v>
      </c>
      <c r="F20" s="1768">
        <f t="shared" si="5"/>
        <v>-16789</v>
      </c>
      <c r="G20" s="1768">
        <f t="shared" si="5"/>
        <v>-58409</v>
      </c>
      <c r="H20" s="1768">
        <f t="shared" si="5"/>
        <v>0</v>
      </c>
      <c r="I20" s="1768">
        <f t="shared" si="5"/>
        <v>69849</v>
      </c>
      <c r="J20" s="1768">
        <f t="shared" si="5"/>
        <v>-7723</v>
      </c>
      <c r="K20" s="1768">
        <f t="shared" si="5"/>
        <v>441</v>
      </c>
      <c r="L20" s="347"/>
    </row>
    <row r="21" spans="1:12" ht="16.7" customHeight="1" thickTop="1" x14ac:dyDescent="0.2">
      <c r="A21" s="2155" t="s">
        <v>616</v>
      </c>
      <c r="B21" s="2156"/>
      <c r="C21" s="1592"/>
      <c r="D21" s="1593"/>
      <c r="E21" s="1593"/>
      <c r="F21" s="1593"/>
      <c r="G21" s="1593"/>
      <c r="H21" s="1593"/>
      <c r="I21" s="1593"/>
      <c r="J21" s="1593"/>
      <c r="K21" s="1594"/>
      <c r="L21" s="524"/>
    </row>
    <row r="22" spans="1:12" ht="15.75" customHeight="1" collapsed="1" x14ac:dyDescent="0.2">
      <c r="A22" s="2151" t="s">
        <v>617</v>
      </c>
      <c r="B22" s="2152"/>
      <c r="C22" s="477"/>
      <c r="D22" s="477"/>
      <c r="E22" s="477"/>
      <c r="F22" s="477"/>
      <c r="G22" s="477"/>
      <c r="H22" s="477"/>
      <c r="I22" s="477"/>
      <c r="J22" s="477"/>
      <c r="K22" s="477"/>
      <c r="L22" s="347"/>
    </row>
    <row r="23" spans="1:12" s="485" customFormat="1" ht="15.75" customHeight="1" x14ac:dyDescent="0.2">
      <c r="A23" s="2147" t="s">
        <v>311</v>
      </c>
      <c r="B23" s="2148"/>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49" t="s">
        <v>1038</v>
      </c>
      <c r="B32" s="2150"/>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7" t="s">
        <v>392</v>
      </c>
      <c r="B44" s="2158"/>
      <c r="C44" s="1725">
        <f>SUM(C24:C43)</f>
        <v>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1" t="s">
        <v>110</v>
      </c>
      <c r="B45" s="2152"/>
      <c r="C45" s="528"/>
      <c r="D45" s="528"/>
      <c r="E45" s="528"/>
      <c r="F45" s="528"/>
      <c r="G45" s="528"/>
      <c r="H45" s="528"/>
      <c r="I45" s="528"/>
      <c r="J45" s="528"/>
      <c r="K45" s="528"/>
      <c r="L45" s="347"/>
    </row>
    <row r="46" spans="1:12" s="485" customFormat="1" ht="15.75" customHeight="1" x14ac:dyDescent="0.2">
      <c r="A46" s="2159" t="s">
        <v>111</v>
      </c>
      <c r="B46" s="2160"/>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3" t="s">
        <v>460</v>
      </c>
      <c r="B76" s="2134"/>
      <c r="C76" s="1725">
        <f t="shared" ref="C76:K76" si="7">SUM(C47:C75)</f>
        <v>0</v>
      </c>
      <c r="D76" s="1725">
        <f t="shared" si="7"/>
        <v>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5" t="s">
        <v>1239</v>
      </c>
      <c r="B77" s="2136"/>
      <c r="C77" s="1725">
        <f t="shared" ref="C77:K77" si="8">C44-C76</f>
        <v>0</v>
      </c>
      <c r="D77" s="1725">
        <f t="shared" si="8"/>
        <v>0</v>
      </c>
      <c r="E77" s="1725">
        <f t="shared" si="8"/>
        <v>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39" t="s">
        <v>618</v>
      </c>
      <c r="B78" s="2140"/>
      <c r="C78" s="1724">
        <f t="shared" ref="C78:K78" si="9">C20+C77</f>
        <v>222853</v>
      </c>
      <c r="D78" s="1724">
        <f t="shared" si="9"/>
        <v>-22473</v>
      </c>
      <c r="E78" s="1724">
        <f t="shared" si="9"/>
        <v>4564</v>
      </c>
      <c r="F78" s="1724">
        <f t="shared" si="9"/>
        <v>-16789</v>
      </c>
      <c r="G78" s="1724">
        <f t="shared" si="9"/>
        <v>-58409</v>
      </c>
      <c r="H78" s="1724">
        <f t="shared" si="9"/>
        <v>0</v>
      </c>
      <c r="I78" s="1724">
        <f t="shared" si="9"/>
        <v>69849</v>
      </c>
      <c r="J78" s="1724">
        <f t="shared" si="9"/>
        <v>-7723</v>
      </c>
      <c r="K78" s="1724">
        <f t="shared" si="9"/>
        <v>441</v>
      </c>
      <c r="L78" s="533"/>
    </row>
    <row r="79" spans="1:12" ht="13.5" thickTop="1" x14ac:dyDescent="0.2">
      <c r="A79" s="1516" t="s">
        <v>2073</v>
      </c>
      <c r="B79" s="534"/>
      <c r="C79" s="478">
        <v>1077776</v>
      </c>
      <c r="D79" s="535">
        <v>394581</v>
      </c>
      <c r="E79" s="535">
        <v>64940</v>
      </c>
      <c r="F79" s="535">
        <v>44437</v>
      </c>
      <c r="G79" s="535">
        <v>235015</v>
      </c>
      <c r="H79" s="535"/>
      <c r="I79" s="535">
        <v>3870400</v>
      </c>
      <c r="J79" s="535">
        <v>122591</v>
      </c>
      <c r="K79" s="535">
        <v>52708</v>
      </c>
      <c r="L79" s="347"/>
    </row>
    <row r="80" spans="1:12" x14ac:dyDescent="0.2">
      <c r="A80" s="2145" t="s">
        <v>1898</v>
      </c>
      <c r="B80" s="2146"/>
      <c r="C80" s="467"/>
      <c r="D80" s="467"/>
      <c r="E80" s="467"/>
      <c r="F80" s="467"/>
      <c r="G80" s="467"/>
      <c r="H80" s="467"/>
      <c r="I80" s="467"/>
      <c r="J80" s="467"/>
      <c r="K80" s="467"/>
      <c r="L80" s="347"/>
    </row>
    <row r="81" spans="1:12" ht="13.5" thickBot="1" x14ac:dyDescent="0.25">
      <c r="A81" s="2137" t="s">
        <v>2074</v>
      </c>
      <c r="B81" s="2138"/>
      <c r="C81" s="1710">
        <f>(SUM(C78:C80))</f>
        <v>1300629</v>
      </c>
      <c r="D81" s="1710">
        <f>SUM(D78:D80)</f>
        <v>372108</v>
      </c>
      <c r="E81" s="1710">
        <f t="shared" ref="E81:K81" si="10">SUM(E78:E80)</f>
        <v>69504</v>
      </c>
      <c r="F81" s="1710">
        <f t="shared" si="10"/>
        <v>27648</v>
      </c>
      <c r="G81" s="1710">
        <f t="shared" si="10"/>
        <v>176606</v>
      </c>
      <c r="H81" s="1710">
        <f t="shared" si="10"/>
        <v>0</v>
      </c>
      <c r="I81" s="1710">
        <f t="shared" si="10"/>
        <v>3940249</v>
      </c>
      <c r="J81" s="1710">
        <f t="shared" si="10"/>
        <v>114868</v>
      </c>
      <c r="K81" s="1710">
        <f t="shared" si="10"/>
        <v>53149</v>
      </c>
      <c r="L81" s="347"/>
    </row>
    <row r="82" spans="1:12" ht="0.75" customHeight="1" thickTop="1" thickBot="1" x14ac:dyDescent="0.25">
      <c r="A82" s="536" t="s">
        <v>361</v>
      </c>
      <c r="B82" s="537"/>
      <c r="C82" s="538">
        <f>(C81-C79)</f>
        <v>222853</v>
      </c>
      <c r="D82" s="538">
        <f t="shared" ref="D82:K82" si="11">(D81-D79)</f>
        <v>-22473</v>
      </c>
      <c r="E82" s="538">
        <f t="shared" si="11"/>
        <v>4564</v>
      </c>
      <c r="F82" s="538">
        <f t="shared" si="11"/>
        <v>-16789</v>
      </c>
      <c r="G82" s="538">
        <f t="shared" si="11"/>
        <v>-58409</v>
      </c>
      <c r="H82" s="538">
        <f t="shared" si="11"/>
        <v>0</v>
      </c>
      <c r="I82" s="538">
        <f t="shared" si="11"/>
        <v>69849</v>
      </c>
      <c r="J82" s="538">
        <f t="shared" si="11"/>
        <v>-7723</v>
      </c>
      <c r="K82" s="538">
        <f t="shared" si="11"/>
        <v>441</v>
      </c>
    </row>
    <row r="83" spans="1:12" ht="14.25" hidden="1" thickTop="1" thickBot="1" x14ac:dyDescent="0.25">
      <c r="A83" s="539" t="s">
        <v>362</v>
      </c>
      <c r="B83" s="464"/>
      <c r="C83" s="540">
        <f>C82/C81</f>
        <v>0.17134248121485834</v>
      </c>
      <c r="D83" s="540">
        <f t="shared" ref="D83:K83" si="12">D82/D81</f>
        <v>-6.0393756651294789E-2</v>
      </c>
      <c r="E83" s="540">
        <f t="shared" si="12"/>
        <v>6.5665285451197056E-2</v>
      </c>
      <c r="F83" s="540">
        <f t="shared" si="12"/>
        <v>-0.60724103009259256</v>
      </c>
      <c r="G83" s="540">
        <f t="shared" si="12"/>
        <v>-0.330730552755852</v>
      </c>
      <c r="H83" s="540" t="e">
        <f t="shared" si="12"/>
        <v>#DIV/0!</v>
      </c>
      <c r="I83" s="540">
        <f t="shared" si="12"/>
        <v>1.7727052275122713E-2</v>
      </c>
      <c r="J83" s="540">
        <f t="shared" si="12"/>
        <v>-6.7233694327401894E-2</v>
      </c>
      <c r="K83" s="540">
        <f t="shared" si="12"/>
        <v>8.2974279854747968E-3</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7" sqref="A47"/>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1" t="s">
        <v>1905</v>
      </c>
      <c r="B1" s="452"/>
      <c r="C1" s="453" t="s">
        <v>445</v>
      </c>
      <c r="D1" s="453" t="s">
        <v>446</v>
      </c>
      <c r="E1" s="453" t="s">
        <v>447</v>
      </c>
      <c r="F1" s="453" t="s">
        <v>448</v>
      </c>
      <c r="G1" s="453" t="s">
        <v>449</v>
      </c>
      <c r="H1" s="453" t="s">
        <v>450</v>
      </c>
      <c r="I1" s="453" t="s">
        <v>451</v>
      </c>
      <c r="J1" s="453" t="s">
        <v>452</v>
      </c>
      <c r="K1" s="453" t="s">
        <v>780</v>
      </c>
    </row>
    <row r="2" spans="1:12" ht="36" x14ac:dyDescent="0.2">
      <c r="A2" s="2142"/>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4310808</v>
      </c>
      <c r="D5" s="481">
        <v>672422</v>
      </c>
      <c r="E5" s="466">
        <v>154150</v>
      </c>
      <c r="F5" s="548">
        <v>57689</v>
      </c>
      <c r="G5" s="466">
        <v>121178</v>
      </c>
      <c r="H5" s="466"/>
      <c r="I5" s="466">
        <v>22527</v>
      </c>
      <c r="J5" s="467">
        <v>65141</v>
      </c>
      <c r="K5" s="466">
        <v>441</v>
      </c>
    </row>
    <row r="6" spans="1:12" ht="15" x14ac:dyDescent="0.2">
      <c r="A6" s="463" t="s">
        <v>1761</v>
      </c>
      <c r="B6" s="470">
        <v>1130</v>
      </c>
      <c r="C6" s="466"/>
      <c r="D6" s="466"/>
      <c r="E6" s="475"/>
      <c r="F6" s="475"/>
      <c r="G6" s="468"/>
      <c r="H6" s="468"/>
      <c r="I6" s="468"/>
      <c r="J6" s="468"/>
      <c r="K6" s="468"/>
    </row>
    <row r="7" spans="1:12" x14ac:dyDescent="0.2">
      <c r="A7" s="463" t="s">
        <v>112</v>
      </c>
      <c r="B7" s="549">
        <v>1140</v>
      </c>
      <c r="C7" s="466">
        <v>48242</v>
      </c>
      <c r="D7" s="466"/>
      <c r="E7" s="468"/>
      <c r="F7" s="467"/>
      <c r="G7" s="467"/>
      <c r="H7" s="467"/>
      <c r="I7" s="468"/>
      <c r="J7" s="468"/>
      <c r="K7" s="468"/>
    </row>
    <row r="8" spans="1:12" x14ac:dyDescent="0.2">
      <c r="A8" s="463" t="s">
        <v>433</v>
      </c>
      <c r="B8" s="470">
        <v>1150</v>
      </c>
      <c r="C8" s="475"/>
      <c r="D8" s="475"/>
      <c r="E8" s="477"/>
      <c r="F8" s="477"/>
      <c r="G8" s="481">
        <v>79166</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4359050</v>
      </c>
      <c r="D12" s="1729">
        <f t="shared" si="0"/>
        <v>672422</v>
      </c>
      <c r="E12" s="1729">
        <f t="shared" si="0"/>
        <v>154150</v>
      </c>
      <c r="F12" s="1729">
        <f t="shared" si="0"/>
        <v>57689</v>
      </c>
      <c r="G12" s="1729">
        <f t="shared" si="0"/>
        <v>200344</v>
      </c>
      <c r="H12" s="1729">
        <f t="shared" si="0"/>
        <v>0</v>
      </c>
      <c r="I12" s="1729">
        <f t="shared" si="0"/>
        <v>22527</v>
      </c>
      <c r="J12" s="1729">
        <f t="shared" si="0"/>
        <v>65141</v>
      </c>
      <c r="K12" s="1710">
        <f t="shared" si="0"/>
        <v>441</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66276</v>
      </c>
      <c r="D16" s="466"/>
      <c r="E16" s="466"/>
      <c r="F16" s="466"/>
      <c r="G16" s="466"/>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66276</v>
      </c>
      <c r="D18" s="1732">
        <f t="shared" ref="D18:K18" si="1">SUM(D14:D17)</f>
        <v>0</v>
      </c>
      <c r="E18" s="1732">
        <f t="shared" si="1"/>
        <v>0</v>
      </c>
      <c r="F18" s="1732">
        <f t="shared" si="1"/>
        <v>0</v>
      </c>
      <c r="G18" s="1732">
        <f t="shared" si="1"/>
        <v>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31761</v>
      </c>
      <c r="D65" s="466">
        <v>4768</v>
      </c>
      <c r="E65" s="466">
        <v>959</v>
      </c>
      <c r="F65" s="467">
        <v>2860</v>
      </c>
      <c r="G65" s="466">
        <v>1984</v>
      </c>
      <c r="H65" s="466"/>
      <c r="I65" s="466">
        <v>47322</v>
      </c>
      <c r="J65" s="467">
        <v>2073</v>
      </c>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31761</v>
      </c>
      <c r="D67" s="1710">
        <f t="shared" ref="D67:K67" si="2">SUM(D65:D66)</f>
        <v>4768</v>
      </c>
      <c r="E67" s="1710">
        <f t="shared" si="2"/>
        <v>959</v>
      </c>
      <c r="F67" s="1710">
        <f t="shared" si="2"/>
        <v>2860</v>
      </c>
      <c r="G67" s="1710">
        <f t="shared" si="2"/>
        <v>1984</v>
      </c>
      <c r="H67" s="1710">
        <f t="shared" si="2"/>
        <v>0</v>
      </c>
      <c r="I67" s="1710">
        <f t="shared" si="2"/>
        <v>47322</v>
      </c>
      <c r="J67" s="1710">
        <f t="shared" si="2"/>
        <v>2073</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37788</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37788</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72112</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72112</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102466</v>
      </c>
      <c r="D84" s="468"/>
      <c r="E84" s="468"/>
      <c r="F84" s="468"/>
      <c r="G84" s="468"/>
      <c r="H84" s="468"/>
      <c r="I84" s="468"/>
      <c r="J84" s="468"/>
      <c r="K84" s="468"/>
    </row>
    <row r="85" spans="1:11" ht="12.75" customHeight="1" x14ac:dyDescent="0.2">
      <c r="A85" s="463" t="s">
        <v>574</v>
      </c>
      <c r="B85" s="470">
        <v>1812</v>
      </c>
      <c r="C85" s="551">
        <v>1480</v>
      </c>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103946</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c r="E95" s="521"/>
      <c r="F95" s="521"/>
      <c r="G95" s="521"/>
      <c r="H95" s="521"/>
      <c r="I95" s="521"/>
      <c r="J95" s="521"/>
      <c r="K95" s="521"/>
    </row>
    <row r="96" spans="1:11" ht="12.75" customHeight="1" x14ac:dyDescent="0.2">
      <c r="A96" s="463" t="s">
        <v>409</v>
      </c>
      <c r="B96" s="470">
        <v>1920</v>
      </c>
      <c r="C96" s="551">
        <v>22100</v>
      </c>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88147</v>
      </c>
      <c r="D107" s="466">
        <v>41709</v>
      </c>
      <c r="E107" s="466"/>
      <c r="F107" s="466">
        <v>9816</v>
      </c>
      <c r="G107" s="466"/>
      <c r="H107" s="466"/>
      <c r="I107" s="466"/>
      <c r="J107" s="467"/>
      <c r="K107" s="466"/>
    </row>
    <row r="108" spans="1:12" ht="12.75" customHeight="1" thickBot="1" x14ac:dyDescent="0.25">
      <c r="A108" s="1730" t="s">
        <v>508</v>
      </c>
      <c r="B108" s="1734"/>
      <c r="C108" s="1729">
        <f>SUM(C95:C107)</f>
        <v>110247</v>
      </c>
      <c r="D108" s="1729">
        <f t="shared" ref="D108:K108" si="3">SUM(D95:D107)</f>
        <v>41709</v>
      </c>
      <c r="E108" s="1729">
        <f t="shared" si="3"/>
        <v>0</v>
      </c>
      <c r="F108" s="1729">
        <f t="shared" si="3"/>
        <v>9816</v>
      </c>
      <c r="G108" s="1729">
        <f t="shared" si="3"/>
        <v>0</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4781180</v>
      </c>
      <c r="D109" s="1737">
        <f t="shared" si="4"/>
        <v>718899</v>
      </c>
      <c r="E109" s="1737">
        <f t="shared" si="4"/>
        <v>155109</v>
      </c>
      <c r="F109" s="1737">
        <f t="shared" si="4"/>
        <v>70365</v>
      </c>
      <c r="G109" s="1737">
        <f t="shared" si="4"/>
        <v>202328</v>
      </c>
      <c r="H109" s="1737">
        <f t="shared" si="4"/>
        <v>0</v>
      </c>
      <c r="I109" s="1737">
        <f t="shared" si="4"/>
        <v>69849</v>
      </c>
      <c r="J109" s="1737">
        <f t="shared" si="4"/>
        <v>67214</v>
      </c>
      <c r="K109" s="1724">
        <f t="shared" si="4"/>
        <v>441</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857056</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857056</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v>1770</v>
      </c>
      <c r="D124" s="561"/>
      <c r="E124" s="468"/>
      <c r="F124" s="548"/>
      <c r="G124" s="468"/>
      <c r="H124" s="468"/>
      <c r="I124" s="468"/>
      <c r="J124" s="468"/>
      <c r="K124" s="468"/>
    </row>
    <row r="125" spans="1:11" ht="12.75" customHeight="1" x14ac:dyDescent="0.2">
      <c r="A125" s="463" t="s">
        <v>1521</v>
      </c>
      <c r="B125" s="562">
        <v>3105</v>
      </c>
      <c r="C125" s="466">
        <v>41731</v>
      </c>
      <c r="D125" s="561"/>
      <c r="E125" s="468"/>
      <c r="F125" s="466"/>
      <c r="G125" s="468"/>
      <c r="H125" s="468"/>
      <c r="I125" s="468"/>
      <c r="J125" s="468"/>
      <c r="K125" s="468"/>
    </row>
    <row r="126" spans="1:11" ht="12.75" customHeight="1" x14ac:dyDescent="0.2">
      <c r="A126" s="463" t="s">
        <v>922</v>
      </c>
      <c r="B126" s="562">
        <v>3110</v>
      </c>
      <c r="C126" s="551">
        <v>35910</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79411</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0</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v>56281</v>
      </c>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56281</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1876</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125</v>
      </c>
      <c r="G151" s="467"/>
      <c r="H151" s="468"/>
      <c r="I151" s="468"/>
      <c r="J151" s="468"/>
      <c r="K151" s="468"/>
    </row>
    <row r="152" spans="1:11" ht="12.75" customHeight="1" x14ac:dyDescent="0.2">
      <c r="A152" s="463" t="s">
        <v>1117</v>
      </c>
      <c r="B152" s="562">
        <v>3510</v>
      </c>
      <c r="C152" s="551"/>
      <c r="D152" s="466"/>
      <c r="E152" s="561"/>
      <c r="F152" s="466">
        <v>34655</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34780</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v>340241</v>
      </c>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61" t="s">
        <v>418</v>
      </c>
      <c r="B172" s="2162"/>
      <c r="C172" s="1744">
        <f t="shared" ref="C172:K172" si="6">SUM(C131,C140,C144,C145:C149,C154,C155:C170,C171)</f>
        <v>477809</v>
      </c>
      <c r="D172" s="1744">
        <f t="shared" si="6"/>
        <v>0</v>
      </c>
      <c r="E172" s="1744">
        <f t="shared" si="6"/>
        <v>0</v>
      </c>
      <c r="F172" s="1744">
        <f t="shared" si="6"/>
        <v>34780</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1334865</v>
      </c>
      <c r="D173" s="1737">
        <f>SUM(D121,D172)</f>
        <v>0</v>
      </c>
      <c r="E173" s="1737">
        <f>SUM(E121,E172)</f>
        <v>0</v>
      </c>
      <c r="F173" s="1737">
        <f t="shared" ref="F173:K173" si="7">SUM(F121,F172)</f>
        <v>34780</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3" t="s">
        <v>1572</v>
      </c>
      <c r="B175" s="2164"/>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7" t="s">
        <v>1764</v>
      </c>
      <c r="B178" s="2168"/>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1" t="s">
        <v>1763</v>
      </c>
      <c r="B179" s="2172"/>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9" t="s">
        <v>818</v>
      </c>
      <c r="B184" s="2170"/>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5" t="s">
        <v>1906</v>
      </c>
      <c r="B185" s="2166"/>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105621</v>
      </c>
      <c r="D194" s="468"/>
      <c r="E194" s="561"/>
      <c r="F194" s="468"/>
      <c r="G194" s="585"/>
      <c r="H194" s="468"/>
      <c r="I194" s="468"/>
      <c r="J194" s="468"/>
      <c r="K194" s="468"/>
    </row>
    <row r="195" spans="1:11" ht="12.75" customHeight="1" x14ac:dyDescent="0.2">
      <c r="A195" s="463" t="s">
        <v>1107</v>
      </c>
      <c r="B195" s="470">
        <v>4215</v>
      </c>
      <c r="C195" s="551">
        <v>1626</v>
      </c>
      <c r="D195" s="468"/>
      <c r="E195" s="561"/>
      <c r="F195" s="468"/>
      <c r="G195" s="585"/>
      <c r="H195" s="468"/>
      <c r="I195" s="468"/>
      <c r="J195" s="468"/>
      <c r="K195" s="468"/>
    </row>
    <row r="196" spans="1:11" ht="12.75" customHeight="1" x14ac:dyDescent="0.2">
      <c r="A196" s="463" t="s">
        <v>1119</v>
      </c>
      <c r="B196" s="470">
        <v>4220</v>
      </c>
      <c r="C196" s="551">
        <v>15614</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122861</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122554</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122554</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v>1394</v>
      </c>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23392</v>
      </c>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24786</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v>30342</v>
      </c>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10414</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48989</v>
      </c>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359946</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359946</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6475991</v>
      </c>
      <c r="D275" s="1737">
        <f t="shared" si="12"/>
        <v>718899</v>
      </c>
      <c r="E275" s="1737">
        <f t="shared" si="12"/>
        <v>155109</v>
      </c>
      <c r="F275" s="1737">
        <f t="shared" si="12"/>
        <v>105145</v>
      </c>
      <c r="G275" s="1737">
        <f t="shared" si="12"/>
        <v>202328</v>
      </c>
      <c r="H275" s="1737">
        <f t="shared" si="12"/>
        <v>0</v>
      </c>
      <c r="I275" s="1737">
        <f t="shared" si="12"/>
        <v>69849</v>
      </c>
      <c r="J275" s="1737">
        <f t="shared" si="12"/>
        <v>67214</v>
      </c>
      <c r="K275" s="1724">
        <f t="shared" si="12"/>
        <v>441</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49" activePane="bottomLeft" state="frozen"/>
      <selection activeCell="A47" sqref="A47"/>
      <selection pane="bottomLeft" activeCell="A59" sqref="A59"/>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1"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3"/>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9" t="s">
        <v>315</v>
      </c>
      <c r="B3" s="2180"/>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2814207</v>
      </c>
      <c r="D5" s="466">
        <v>347260</v>
      </c>
      <c r="E5" s="466">
        <v>7100</v>
      </c>
      <c r="F5" s="466">
        <v>118341</v>
      </c>
      <c r="G5" s="466"/>
      <c r="H5" s="466"/>
      <c r="I5" s="467">
        <v>71393</v>
      </c>
      <c r="J5" s="467"/>
      <c r="K5" s="1693">
        <f>SUM(C5:J5)</f>
        <v>3358301</v>
      </c>
      <c r="L5" s="466">
        <v>3587958</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v>168873</v>
      </c>
      <c r="D7" s="467">
        <v>34598</v>
      </c>
      <c r="E7" s="467">
        <v>2229</v>
      </c>
      <c r="F7" s="467">
        <v>17606</v>
      </c>
      <c r="G7" s="467"/>
      <c r="H7" s="467"/>
      <c r="I7" s="467">
        <v>6404</v>
      </c>
      <c r="J7" s="467"/>
      <c r="K7" s="1693">
        <f t="shared" ref="K7:K32" si="0">SUM(C7:J7)</f>
        <v>229710</v>
      </c>
      <c r="L7" s="466">
        <v>233667</v>
      </c>
    </row>
    <row r="8" spans="1:14" x14ac:dyDescent="0.2">
      <c r="A8" s="1526" t="s">
        <v>166</v>
      </c>
      <c r="B8" s="615">
        <v>1200</v>
      </c>
      <c r="C8" s="466">
        <v>408443</v>
      </c>
      <c r="D8" s="466">
        <v>66349</v>
      </c>
      <c r="E8" s="466">
        <v>10355</v>
      </c>
      <c r="F8" s="466">
        <v>2621</v>
      </c>
      <c r="G8" s="466"/>
      <c r="H8" s="466"/>
      <c r="I8" s="467"/>
      <c r="J8" s="467"/>
      <c r="K8" s="1693">
        <f t="shared" si="0"/>
        <v>487768</v>
      </c>
      <c r="L8" s="466">
        <v>483134</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129409</v>
      </c>
      <c r="D10" s="466">
        <v>8324</v>
      </c>
      <c r="E10" s="466"/>
      <c r="F10" s="466">
        <v>4285</v>
      </c>
      <c r="G10" s="466"/>
      <c r="H10" s="466"/>
      <c r="I10" s="467"/>
      <c r="J10" s="467"/>
      <c r="K10" s="1693">
        <f t="shared" si="0"/>
        <v>142018</v>
      </c>
      <c r="L10" s="466">
        <v>137525</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c r="D13" s="466"/>
      <c r="E13" s="466"/>
      <c r="F13" s="466"/>
      <c r="G13" s="466"/>
      <c r="H13" s="466"/>
      <c r="I13" s="467"/>
      <c r="J13" s="467"/>
      <c r="K13" s="1693">
        <f t="shared" si="0"/>
        <v>0</v>
      </c>
      <c r="L13" s="466"/>
    </row>
    <row r="14" spans="1:14" x14ac:dyDescent="0.2">
      <c r="A14" s="1526" t="s">
        <v>1020</v>
      </c>
      <c r="B14" s="615">
        <v>1500</v>
      </c>
      <c r="C14" s="466">
        <v>18567</v>
      </c>
      <c r="D14" s="466">
        <v>271</v>
      </c>
      <c r="E14" s="466">
        <v>15279</v>
      </c>
      <c r="F14" s="466">
        <v>13595</v>
      </c>
      <c r="G14" s="466"/>
      <c r="H14" s="466"/>
      <c r="I14" s="467"/>
      <c r="J14" s="467"/>
      <c r="K14" s="1693">
        <f t="shared" si="0"/>
        <v>47712</v>
      </c>
      <c r="L14" s="466">
        <v>93140</v>
      </c>
    </row>
    <row r="15" spans="1:14" x14ac:dyDescent="0.2">
      <c r="A15" s="1526" t="s">
        <v>1021</v>
      </c>
      <c r="B15" s="615">
        <v>1600</v>
      </c>
      <c r="C15" s="466">
        <v>7576</v>
      </c>
      <c r="D15" s="466">
        <v>104</v>
      </c>
      <c r="E15" s="466"/>
      <c r="F15" s="466"/>
      <c r="G15" s="466"/>
      <c r="H15" s="466"/>
      <c r="I15" s="467"/>
      <c r="J15" s="467"/>
      <c r="K15" s="1693">
        <f t="shared" si="0"/>
        <v>7680</v>
      </c>
      <c r="L15" s="466"/>
    </row>
    <row r="16" spans="1:14" x14ac:dyDescent="0.2">
      <c r="A16" s="1526" t="s">
        <v>1044</v>
      </c>
      <c r="B16" s="615" t="s">
        <v>444</v>
      </c>
      <c r="C16" s="466">
        <v>86698</v>
      </c>
      <c r="D16" s="466">
        <v>9904</v>
      </c>
      <c r="E16" s="466"/>
      <c r="F16" s="466">
        <v>903</v>
      </c>
      <c r="G16" s="466"/>
      <c r="H16" s="466"/>
      <c r="I16" s="467"/>
      <c r="J16" s="467"/>
      <c r="K16" s="1693">
        <f t="shared" si="0"/>
        <v>97505</v>
      </c>
      <c r="L16" s="466">
        <v>97098</v>
      </c>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v>217002</v>
      </c>
      <c r="D18" s="466">
        <v>37418</v>
      </c>
      <c r="E18" s="466"/>
      <c r="F18" s="466">
        <v>2160</v>
      </c>
      <c r="G18" s="466"/>
      <c r="H18" s="466"/>
      <c r="I18" s="467"/>
      <c r="J18" s="467"/>
      <c r="K18" s="1693">
        <f t="shared" si="0"/>
        <v>256580</v>
      </c>
      <c r="L18" s="466">
        <v>257113</v>
      </c>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3850775</v>
      </c>
      <c r="D33" s="1692">
        <f t="shared" ref="D33:L33" si="1">SUM(D5:D32)</f>
        <v>504228</v>
      </c>
      <c r="E33" s="1692">
        <f t="shared" si="1"/>
        <v>34963</v>
      </c>
      <c r="F33" s="1692">
        <f t="shared" si="1"/>
        <v>159511</v>
      </c>
      <c r="G33" s="1692">
        <f t="shared" si="1"/>
        <v>0</v>
      </c>
      <c r="H33" s="1692">
        <f t="shared" si="1"/>
        <v>0</v>
      </c>
      <c r="I33" s="1692">
        <f t="shared" si="1"/>
        <v>77797</v>
      </c>
      <c r="J33" s="1692">
        <f t="shared" si="1"/>
        <v>0</v>
      </c>
      <c r="K33" s="1692">
        <f t="shared" si="1"/>
        <v>4627274</v>
      </c>
      <c r="L33" s="1692">
        <f t="shared" si="1"/>
        <v>4889635</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61316</v>
      </c>
      <c r="D36" s="481">
        <v>9457</v>
      </c>
      <c r="E36" s="481"/>
      <c r="F36" s="481">
        <v>139</v>
      </c>
      <c r="G36" s="481"/>
      <c r="H36" s="481"/>
      <c r="I36" s="467"/>
      <c r="J36" s="467"/>
      <c r="K36" s="1693">
        <f t="shared" ref="K36:K41" si="2">SUM(C36:J36)</f>
        <v>70912</v>
      </c>
      <c r="L36" s="466">
        <v>66316</v>
      </c>
    </row>
    <row r="37" spans="1:14" x14ac:dyDescent="0.2">
      <c r="A37" s="1526" t="s">
        <v>1151</v>
      </c>
      <c r="B37" s="615">
        <v>2120</v>
      </c>
      <c r="C37" s="466"/>
      <c r="D37" s="466"/>
      <c r="E37" s="466"/>
      <c r="F37" s="466">
        <v>6858</v>
      </c>
      <c r="G37" s="466"/>
      <c r="H37" s="466"/>
      <c r="I37" s="467"/>
      <c r="J37" s="467"/>
      <c r="K37" s="1693">
        <f t="shared" si="2"/>
        <v>6858</v>
      </c>
      <c r="L37" s="466">
        <v>10000</v>
      </c>
    </row>
    <row r="38" spans="1:14" x14ac:dyDescent="0.2">
      <c r="A38" s="1526" t="s">
        <v>207</v>
      </c>
      <c r="B38" s="615">
        <v>2130</v>
      </c>
      <c r="C38" s="466">
        <v>49068</v>
      </c>
      <c r="D38" s="466">
        <v>6836</v>
      </c>
      <c r="E38" s="466"/>
      <c r="F38" s="466">
        <v>1879</v>
      </c>
      <c r="G38" s="466"/>
      <c r="H38" s="466"/>
      <c r="I38" s="467"/>
      <c r="J38" s="467"/>
      <c r="K38" s="1693">
        <f t="shared" si="2"/>
        <v>57783</v>
      </c>
      <c r="L38" s="466">
        <v>64355</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v>63106</v>
      </c>
      <c r="D40" s="466">
        <v>9559</v>
      </c>
      <c r="E40" s="466">
        <v>14105</v>
      </c>
      <c r="F40" s="466">
        <v>719</v>
      </c>
      <c r="G40" s="466"/>
      <c r="H40" s="466"/>
      <c r="I40" s="467"/>
      <c r="J40" s="467"/>
      <c r="K40" s="1693">
        <f t="shared" si="2"/>
        <v>87489</v>
      </c>
      <c r="L40" s="466">
        <v>93800</v>
      </c>
    </row>
    <row r="41" spans="1:14" x14ac:dyDescent="0.2">
      <c r="A41" s="1526" t="s">
        <v>1768</v>
      </c>
      <c r="B41" s="615">
        <v>2190</v>
      </c>
      <c r="C41" s="466">
        <v>104038</v>
      </c>
      <c r="D41" s="466">
        <v>1821</v>
      </c>
      <c r="E41" s="466"/>
      <c r="F41" s="466"/>
      <c r="G41" s="466"/>
      <c r="H41" s="466"/>
      <c r="I41" s="467"/>
      <c r="J41" s="467"/>
      <c r="K41" s="1693">
        <f t="shared" si="2"/>
        <v>105859</v>
      </c>
      <c r="L41" s="466">
        <v>122800</v>
      </c>
    </row>
    <row r="42" spans="1:14" ht="12.75" customHeight="1" thickBot="1" x14ac:dyDescent="0.25">
      <c r="A42" s="1690" t="s">
        <v>581</v>
      </c>
      <c r="B42" s="1691" t="s">
        <v>740</v>
      </c>
      <c r="C42" s="1692">
        <f>SUM(C36:C41)</f>
        <v>277528</v>
      </c>
      <c r="D42" s="1692">
        <f t="shared" ref="D42:L42" si="3">SUM(D36:D41)</f>
        <v>27673</v>
      </c>
      <c r="E42" s="1692">
        <f t="shared" si="3"/>
        <v>14105</v>
      </c>
      <c r="F42" s="1692">
        <f t="shared" si="3"/>
        <v>9595</v>
      </c>
      <c r="G42" s="1692">
        <f t="shared" si="3"/>
        <v>0</v>
      </c>
      <c r="H42" s="1692">
        <f t="shared" si="3"/>
        <v>0</v>
      </c>
      <c r="I42" s="1692">
        <f t="shared" si="3"/>
        <v>0</v>
      </c>
      <c r="J42" s="1692">
        <f t="shared" si="3"/>
        <v>0</v>
      </c>
      <c r="K42" s="1692">
        <f t="shared" si="3"/>
        <v>328901</v>
      </c>
      <c r="L42" s="1692">
        <f t="shared" si="3"/>
        <v>357271</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12261</v>
      </c>
      <c r="D44" s="481">
        <v>416</v>
      </c>
      <c r="E44" s="481">
        <v>31057</v>
      </c>
      <c r="F44" s="481"/>
      <c r="G44" s="481"/>
      <c r="H44" s="481"/>
      <c r="I44" s="467"/>
      <c r="J44" s="467"/>
      <c r="K44" s="1694">
        <f>SUM(C44:J44)</f>
        <v>43734</v>
      </c>
      <c r="L44" s="481">
        <v>64010</v>
      </c>
    </row>
    <row r="45" spans="1:14" x14ac:dyDescent="0.2">
      <c r="A45" s="1526" t="s">
        <v>869</v>
      </c>
      <c r="B45" s="615">
        <v>2220</v>
      </c>
      <c r="C45" s="466">
        <v>22060</v>
      </c>
      <c r="D45" s="466">
        <v>4804</v>
      </c>
      <c r="E45" s="466">
        <v>9487</v>
      </c>
      <c r="F45" s="466"/>
      <c r="G45" s="466"/>
      <c r="H45" s="466"/>
      <c r="I45" s="467"/>
      <c r="J45" s="467"/>
      <c r="K45" s="1694">
        <f>SUM(C45:J45)</f>
        <v>36351</v>
      </c>
      <c r="L45" s="466">
        <v>36100</v>
      </c>
    </row>
    <row r="46" spans="1:14" x14ac:dyDescent="0.2">
      <c r="A46" s="1526" t="s">
        <v>870</v>
      </c>
      <c r="B46" s="615">
        <v>2230</v>
      </c>
      <c r="C46" s="466"/>
      <c r="D46" s="466"/>
      <c r="E46" s="466"/>
      <c r="F46" s="466"/>
      <c r="G46" s="466"/>
      <c r="H46" s="466"/>
      <c r="I46" s="467"/>
      <c r="J46" s="467"/>
      <c r="K46" s="1694">
        <f>SUM(C46:J46)</f>
        <v>0</v>
      </c>
      <c r="L46" s="466"/>
    </row>
    <row r="47" spans="1:14" ht="12.75" customHeight="1" thickBot="1" x14ac:dyDescent="0.25">
      <c r="A47" s="1690" t="s">
        <v>582</v>
      </c>
      <c r="B47" s="1691" t="s">
        <v>32</v>
      </c>
      <c r="C47" s="1692">
        <f>SUM(C44:C46)</f>
        <v>34321</v>
      </c>
      <c r="D47" s="1692">
        <f t="shared" ref="D47:K47" si="4">SUM(D44:D46)</f>
        <v>5220</v>
      </c>
      <c r="E47" s="1692">
        <f t="shared" si="4"/>
        <v>40544</v>
      </c>
      <c r="F47" s="1692">
        <f t="shared" si="4"/>
        <v>0</v>
      </c>
      <c r="G47" s="1692">
        <f t="shared" si="4"/>
        <v>0</v>
      </c>
      <c r="H47" s="1692">
        <f t="shared" si="4"/>
        <v>0</v>
      </c>
      <c r="I47" s="1692">
        <f t="shared" si="4"/>
        <v>0</v>
      </c>
      <c r="J47" s="1692">
        <f t="shared" si="4"/>
        <v>0</v>
      </c>
      <c r="K47" s="1692">
        <f t="shared" si="4"/>
        <v>80085</v>
      </c>
      <c r="L47" s="1692">
        <f>SUM(L44:L46)</f>
        <v>100110</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1650</v>
      </c>
      <c r="D49" s="481">
        <v>117</v>
      </c>
      <c r="E49" s="481">
        <v>16026</v>
      </c>
      <c r="F49" s="481"/>
      <c r="G49" s="481"/>
      <c r="H49" s="481"/>
      <c r="I49" s="467"/>
      <c r="J49" s="467"/>
      <c r="K49" s="1694">
        <f>SUM(C49:J49)</f>
        <v>17793</v>
      </c>
      <c r="L49" s="481">
        <v>32750</v>
      </c>
    </row>
    <row r="50" spans="1:14" x14ac:dyDescent="0.2">
      <c r="A50" s="1526" t="s">
        <v>872</v>
      </c>
      <c r="B50" s="615">
        <v>2320</v>
      </c>
      <c r="C50" s="466">
        <v>218831</v>
      </c>
      <c r="D50" s="466">
        <v>52482</v>
      </c>
      <c r="E50" s="466">
        <v>1822</v>
      </c>
      <c r="F50" s="466">
        <v>28310</v>
      </c>
      <c r="G50" s="466"/>
      <c r="H50" s="466"/>
      <c r="I50" s="467"/>
      <c r="J50" s="467"/>
      <c r="K50" s="1694">
        <f>SUM(C50:J50)</f>
        <v>301445</v>
      </c>
      <c r="L50" s="466">
        <v>322331</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220481</v>
      </c>
      <c r="D53" s="1692">
        <f t="shared" ref="D53:L53" si="5">SUM(D49:D52)</f>
        <v>52599</v>
      </c>
      <c r="E53" s="1692">
        <f t="shared" si="5"/>
        <v>17848</v>
      </c>
      <c r="F53" s="1692">
        <f t="shared" si="5"/>
        <v>28310</v>
      </c>
      <c r="G53" s="1692">
        <f t="shared" si="5"/>
        <v>0</v>
      </c>
      <c r="H53" s="1692">
        <f t="shared" si="5"/>
        <v>0</v>
      </c>
      <c r="I53" s="1692">
        <f t="shared" si="5"/>
        <v>0</v>
      </c>
      <c r="J53" s="1692">
        <f t="shared" si="5"/>
        <v>0</v>
      </c>
      <c r="K53" s="1692">
        <f t="shared" si="5"/>
        <v>319238</v>
      </c>
      <c r="L53" s="1692">
        <f t="shared" si="5"/>
        <v>355081</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238354</v>
      </c>
      <c r="D55" s="481">
        <v>40484</v>
      </c>
      <c r="E55" s="481">
        <v>14375</v>
      </c>
      <c r="F55" s="481">
        <v>2087</v>
      </c>
      <c r="G55" s="481"/>
      <c r="H55" s="481"/>
      <c r="I55" s="467"/>
      <c r="J55" s="467"/>
      <c r="K55" s="1694">
        <f>SUM(C55:J55)</f>
        <v>295300</v>
      </c>
      <c r="L55" s="481">
        <v>299888</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238354</v>
      </c>
      <c r="D57" s="1696">
        <f t="shared" ref="D57:K57" si="6">SUM(D55:D56)</f>
        <v>40484</v>
      </c>
      <c r="E57" s="1696">
        <f t="shared" si="6"/>
        <v>14375</v>
      </c>
      <c r="F57" s="1696">
        <f t="shared" si="6"/>
        <v>2087</v>
      </c>
      <c r="G57" s="1696">
        <f t="shared" si="6"/>
        <v>0</v>
      </c>
      <c r="H57" s="1696">
        <f t="shared" si="6"/>
        <v>0</v>
      </c>
      <c r="I57" s="1696">
        <f t="shared" si="6"/>
        <v>0</v>
      </c>
      <c r="J57" s="1696">
        <f t="shared" si="6"/>
        <v>0</v>
      </c>
      <c r="K57" s="1696">
        <f t="shared" si="6"/>
        <v>295300</v>
      </c>
      <c r="L57" s="1692">
        <f>SUM(L55:L56)</f>
        <v>299888</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95111</v>
      </c>
      <c r="D60" s="466">
        <v>10027</v>
      </c>
      <c r="E60" s="466">
        <v>100</v>
      </c>
      <c r="F60" s="466">
        <v>1414</v>
      </c>
      <c r="G60" s="466"/>
      <c r="H60" s="466"/>
      <c r="I60" s="467"/>
      <c r="J60" s="467"/>
      <c r="K60" s="1694">
        <f t="shared" si="7"/>
        <v>106652</v>
      </c>
      <c r="L60" s="466">
        <v>116124</v>
      </c>
      <c r="M60" s="610"/>
      <c r="N60" s="610"/>
    </row>
    <row r="61" spans="1:14" s="343" customFormat="1" x14ac:dyDescent="0.2">
      <c r="A61" s="1526" t="s">
        <v>206</v>
      </c>
      <c r="B61" s="615">
        <v>2540</v>
      </c>
      <c r="C61" s="466"/>
      <c r="D61" s="466"/>
      <c r="E61" s="466"/>
      <c r="F61" s="466"/>
      <c r="G61" s="466"/>
      <c r="H61" s="466"/>
      <c r="I61" s="467"/>
      <c r="J61" s="467"/>
      <c r="K61" s="1694">
        <f t="shared" si="7"/>
        <v>0</v>
      </c>
      <c r="L61" s="466">
        <v>100</v>
      </c>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35366</v>
      </c>
      <c r="D63" s="466">
        <v>532</v>
      </c>
      <c r="E63" s="466">
        <f>159154-12961</f>
        <v>146193</v>
      </c>
      <c r="F63" s="466"/>
      <c r="G63" s="466"/>
      <c r="H63" s="466"/>
      <c r="I63" s="467"/>
      <c r="J63" s="467"/>
      <c r="K63" s="1694">
        <f t="shared" si="7"/>
        <v>182091</v>
      </c>
      <c r="L63" s="466">
        <v>163650</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130477</v>
      </c>
      <c r="D65" s="1692">
        <f t="shared" ref="D65:L65" si="8">SUM(D59:D64)</f>
        <v>10559</v>
      </c>
      <c r="E65" s="1692">
        <f t="shared" si="8"/>
        <v>146293</v>
      </c>
      <c r="F65" s="1692">
        <f t="shared" si="8"/>
        <v>1414</v>
      </c>
      <c r="G65" s="1692">
        <f t="shared" si="8"/>
        <v>0</v>
      </c>
      <c r="H65" s="1692">
        <f t="shared" si="8"/>
        <v>0</v>
      </c>
      <c r="I65" s="1692">
        <f t="shared" si="8"/>
        <v>0</v>
      </c>
      <c r="J65" s="1692">
        <f t="shared" si="8"/>
        <v>0</v>
      </c>
      <c r="K65" s="1692">
        <f t="shared" si="8"/>
        <v>288743</v>
      </c>
      <c r="L65" s="1692">
        <f t="shared" si="8"/>
        <v>279874</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v>18210</v>
      </c>
      <c r="F68" s="466"/>
      <c r="G68" s="466"/>
      <c r="H68" s="466"/>
      <c r="I68" s="467"/>
      <c r="J68" s="467"/>
      <c r="K68" s="1694">
        <f>SUM(C68:J68)</f>
        <v>18210</v>
      </c>
      <c r="L68" s="466">
        <v>18210</v>
      </c>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v>19807</v>
      </c>
      <c r="F71" s="466">
        <v>8063</v>
      </c>
      <c r="G71" s="466"/>
      <c r="H71" s="466"/>
      <c r="I71" s="467"/>
      <c r="J71" s="467"/>
      <c r="K71" s="1694">
        <f>SUM(C71:J71)</f>
        <v>27870</v>
      </c>
      <c r="L71" s="466">
        <v>31500</v>
      </c>
      <c r="M71" s="610"/>
      <c r="N71" s="610"/>
    </row>
    <row r="72" spans="1:14" s="343" customFormat="1" ht="12.75" customHeight="1" thickBot="1" x14ac:dyDescent="0.25">
      <c r="A72" s="1690" t="s">
        <v>37</v>
      </c>
      <c r="B72" s="1697" t="s">
        <v>36</v>
      </c>
      <c r="C72" s="1692">
        <f>SUM(C67:C71)</f>
        <v>0</v>
      </c>
      <c r="D72" s="1692">
        <f t="shared" ref="D72:K72" si="9">SUM(D67:D71)</f>
        <v>0</v>
      </c>
      <c r="E72" s="1692">
        <f t="shared" si="9"/>
        <v>38017</v>
      </c>
      <c r="F72" s="1692">
        <f t="shared" si="9"/>
        <v>8063</v>
      </c>
      <c r="G72" s="1692">
        <f t="shared" si="9"/>
        <v>0</v>
      </c>
      <c r="H72" s="1692">
        <f t="shared" si="9"/>
        <v>0</v>
      </c>
      <c r="I72" s="1692">
        <f t="shared" si="9"/>
        <v>0</v>
      </c>
      <c r="J72" s="1692">
        <f t="shared" si="9"/>
        <v>0</v>
      </c>
      <c r="K72" s="1692">
        <f t="shared" si="9"/>
        <v>46080</v>
      </c>
      <c r="L72" s="1692">
        <f>SUM(L67:L71)</f>
        <v>49710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901161</v>
      </c>
      <c r="D74" s="1699">
        <f t="shared" ref="D74:K74" si="10">SUM(D42,D47,D53,D57,D65,D72,D73)</f>
        <v>136535</v>
      </c>
      <c r="E74" s="1699">
        <f t="shared" si="10"/>
        <v>271182</v>
      </c>
      <c r="F74" s="1699">
        <f t="shared" si="10"/>
        <v>49469</v>
      </c>
      <c r="G74" s="1699">
        <f t="shared" si="10"/>
        <v>0</v>
      </c>
      <c r="H74" s="1699">
        <f t="shared" si="10"/>
        <v>0</v>
      </c>
      <c r="I74" s="1699">
        <f t="shared" si="10"/>
        <v>0</v>
      </c>
      <c r="J74" s="1699">
        <f t="shared" si="10"/>
        <v>0</v>
      </c>
      <c r="K74" s="1699">
        <f t="shared" si="10"/>
        <v>1358347</v>
      </c>
      <c r="L74" s="1699">
        <f>SUM(L42,L47,L53,L57,L65,L72,L73)</f>
        <v>1441934</v>
      </c>
    </row>
    <row r="75" spans="1:14" s="259" customFormat="1" ht="15.75" customHeight="1" thickTop="1" thickBot="1" x14ac:dyDescent="0.25">
      <c r="A75" s="1632" t="s">
        <v>49</v>
      </c>
      <c r="B75" s="1633" t="s">
        <v>596</v>
      </c>
      <c r="C75" s="573"/>
      <c r="D75" s="573"/>
      <c r="E75" s="573"/>
      <c r="F75" s="573"/>
      <c r="G75" s="573"/>
      <c r="H75" s="573"/>
      <c r="I75" s="531"/>
      <c r="J75" s="531"/>
      <c r="K75" s="1692">
        <f>SUM(C75:J75)</f>
        <v>0</v>
      </c>
      <c r="L75" s="576">
        <v>3000</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v>37895</v>
      </c>
      <c r="I78" s="477"/>
      <c r="J78" s="477"/>
      <c r="K78" s="1693">
        <f t="shared" ref="K78:K83" si="11">SUM(C78:J78)</f>
        <v>37895</v>
      </c>
      <c r="L78" s="481"/>
    </row>
    <row r="79" spans="1:14" x14ac:dyDescent="0.2">
      <c r="A79" s="1526" t="s">
        <v>322</v>
      </c>
      <c r="B79" s="615">
        <v>4120</v>
      </c>
      <c r="C79" s="617"/>
      <c r="D79" s="617"/>
      <c r="E79" s="466">
        <v>149925</v>
      </c>
      <c r="F79" s="617"/>
      <c r="G79" s="617"/>
      <c r="H79" s="466">
        <v>11823</v>
      </c>
      <c r="I79" s="477"/>
      <c r="J79" s="477"/>
      <c r="K79" s="1693">
        <f t="shared" si="11"/>
        <v>161748</v>
      </c>
      <c r="L79" s="466"/>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149925</v>
      </c>
      <c r="F84" s="617"/>
      <c r="G84" s="617"/>
      <c r="H84" s="1692">
        <f>SUM(H78:H83)</f>
        <v>49718</v>
      </c>
      <c r="I84" s="477"/>
      <c r="J84" s="477"/>
      <c r="K84" s="1692">
        <f>SUM(K78:K83)</f>
        <v>199643</v>
      </c>
      <c r="L84" s="1692">
        <f>SUM(L78:L83)</f>
        <v>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v>67874</v>
      </c>
      <c r="I86" s="477"/>
      <c r="J86" s="477"/>
      <c r="K86" s="1699">
        <f t="shared" ref="K86:K98" si="12">H86</f>
        <v>67874</v>
      </c>
      <c r="L86" s="530">
        <v>200000</v>
      </c>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67874</v>
      </c>
      <c r="I92" s="477"/>
      <c r="J92" s="477"/>
      <c r="K92" s="1699">
        <f t="shared" si="12"/>
        <v>67874</v>
      </c>
      <c r="L92" s="1692">
        <f>SUM(L85:L91)</f>
        <v>200000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149925</v>
      </c>
      <c r="F102" s="617"/>
      <c r="G102" s="617"/>
      <c r="H102" s="1699">
        <f>SUM(H84,H92,H100,H101)</f>
        <v>117592</v>
      </c>
      <c r="I102" s="477"/>
      <c r="J102" s="477"/>
      <c r="K102" s="1699">
        <f>SUM(K84,K92,K100,K101)</f>
        <v>267517</v>
      </c>
      <c r="L102" s="1699">
        <f>SUM(L84,L92,L100,L101)</f>
        <v>200000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4751936</v>
      </c>
      <c r="D114" s="1692">
        <f t="shared" ref="D114:K114" si="13">SUM(D33,D74,D75,D102,D112,D113)</f>
        <v>640763</v>
      </c>
      <c r="E114" s="1692">
        <f t="shared" si="13"/>
        <v>456070</v>
      </c>
      <c r="F114" s="1692">
        <f t="shared" si="13"/>
        <v>208980</v>
      </c>
      <c r="G114" s="1692">
        <f t="shared" si="13"/>
        <v>0</v>
      </c>
      <c r="H114" s="1692">
        <f>SUM(H33,H74,H75,H102,H112,H113)</f>
        <v>117592</v>
      </c>
      <c r="I114" s="1692">
        <f t="shared" si="13"/>
        <v>77797</v>
      </c>
      <c r="J114" s="1692">
        <f t="shared" si="13"/>
        <v>0</v>
      </c>
      <c r="K114" s="1692">
        <f t="shared" si="13"/>
        <v>6253138</v>
      </c>
      <c r="L114" s="1692">
        <f>SUM(L33,L74,L75,L102,L112,L113)</f>
        <v>6534569</v>
      </c>
    </row>
    <row r="115" spans="1:14" ht="13.5" thickTop="1" x14ac:dyDescent="0.2">
      <c r="A115" s="2198" t="s">
        <v>1053</v>
      </c>
      <c r="B115" s="2199"/>
      <c r="C115" s="619"/>
      <c r="D115" s="619"/>
      <c r="E115" s="619"/>
      <c r="F115" s="619"/>
      <c r="G115" s="619"/>
      <c r="H115" s="619"/>
      <c r="I115" s="619"/>
      <c r="J115" s="619"/>
      <c r="K115" s="1706">
        <f>'Revenues 9-14'!C275-'Expenditures 15-22'!K114</f>
        <v>222853</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6" t="s">
        <v>314</v>
      </c>
      <c r="B117" s="2177"/>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v>66562</v>
      </c>
      <c r="H123" s="466"/>
      <c r="I123" s="467">
        <v>5232</v>
      </c>
      <c r="J123" s="467"/>
      <c r="K123" s="1692">
        <f>SUM(C123:J123)</f>
        <v>71794</v>
      </c>
      <c r="L123" s="466">
        <v>45000</v>
      </c>
    </row>
    <row r="124" spans="1:14" ht="14.25" thickTop="1" thickBot="1" x14ac:dyDescent="0.25">
      <c r="A124" s="1526" t="s">
        <v>206</v>
      </c>
      <c r="B124" s="615">
        <v>2540</v>
      </c>
      <c r="C124" s="466">
        <v>371745</v>
      </c>
      <c r="D124" s="466">
        <v>58147</v>
      </c>
      <c r="E124" s="466">
        <v>93747</v>
      </c>
      <c r="F124" s="466">
        <v>98070</v>
      </c>
      <c r="G124" s="466">
        <v>32002</v>
      </c>
      <c r="H124" s="466"/>
      <c r="I124" s="467">
        <v>15867</v>
      </c>
      <c r="J124" s="467"/>
      <c r="K124" s="1692">
        <f>SUM(C124:J124)</f>
        <v>669578</v>
      </c>
      <c r="L124" s="466">
        <v>704325</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371745</v>
      </c>
      <c r="D127" s="1692">
        <f t="shared" ref="D127:L127" si="14">SUM(D122:D126)</f>
        <v>58147</v>
      </c>
      <c r="E127" s="1692">
        <f t="shared" si="14"/>
        <v>93747</v>
      </c>
      <c r="F127" s="1692">
        <f t="shared" si="14"/>
        <v>98070</v>
      </c>
      <c r="G127" s="1692">
        <f t="shared" si="14"/>
        <v>98564</v>
      </c>
      <c r="H127" s="1692">
        <f t="shared" si="14"/>
        <v>0</v>
      </c>
      <c r="I127" s="1692">
        <f t="shared" si="14"/>
        <v>21099</v>
      </c>
      <c r="J127" s="1692">
        <f t="shared" si="14"/>
        <v>0</v>
      </c>
      <c r="K127" s="1692">
        <f t="shared" si="14"/>
        <v>741372</v>
      </c>
      <c r="L127" s="1692">
        <f t="shared" si="14"/>
        <v>749325</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371745</v>
      </c>
      <c r="D129" s="1699">
        <f t="shared" ref="D129:L129" si="15">SUM(D120,D127,D128)</f>
        <v>58147</v>
      </c>
      <c r="E129" s="1699">
        <f t="shared" si="15"/>
        <v>93747</v>
      </c>
      <c r="F129" s="1699">
        <f t="shared" si="15"/>
        <v>98070</v>
      </c>
      <c r="G129" s="1699">
        <f t="shared" si="15"/>
        <v>98564</v>
      </c>
      <c r="H129" s="1699">
        <f t="shared" si="15"/>
        <v>0</v>
      </c>
      <c r="I129" s="1699">
        <f t="shared" si="15"/>
        <v>21099</v>
      </c>
      <c r="J129" s="1699">
        <f t="shared" si="15"/>
        <v>0</v>
      </c>
      <c r="K129" s="1699">
        <f t="shared" si="15"/>
        <v>741372</v>
      </c>
      <c r="L129" s="1699">
        <f t="shared" si="15"/>
        <v>749325</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1957</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88" t="s">
        <v>641</v>
      </c>
      <c r="B151" s="2170"/>
      <c r="C151" s="1692">
        <f>SUM(C129,C130,C139,C149,C150)</f>
        <v>371745</v>
      </c>
      <c r="D151" s="1692">
        <f t="shared" ref="D151:K151" si="16">SUM(D129,D130,D139,D149,D150)</f>
        <v>58147</v>
      </c>
      <c r="E151" s="1692">
        <f t="shared" si="16"/>
        <v>93747</v>
      </c>
      <c r="F151" s="1692">
        <f t="shared" si="16"/>
        <v>98070</v>
      </c>
      <c r="G151" s="1692">
        <f t="shared" si="16"/>
        <v>98564</v>
      </c>
      <c r="H151" s="1692">
        <f t="shared" si="16"/>
        <v>0</v>
      </c>
      <c r="I151" s="1692">
        <f t="shared" si="16"/>
        <v>21099</v>
      </c>
      <c r="J151" s="1692">
        <f t="shared" si="16"/>
        <v>0</v>
      </c>
      <c r="K151" s="1692">
        <f t="shared" si="16"/>
        <v>741372</v>
      </c>
      <c r="L151" s="1692">
        <f>SUM(L129,L130,L139,L149,L150)</f>
        <v>749325</v>
      </c>
    </row>
    <row r="152" spans="1:14" ht="12.75" customHeight="1" thickTop="1" x14ac:dyDescent="0.2">
      <c r="A152" s="2191" t="s">
        <v>1240</v>
      </c>
      <c r="B152" s="2192"/>
      <c r="C152" s="619"/>
      <c r="D152" s="619"/>
      <c r="E152" s="619"/>
      <c r="F152" s="619"/>
      <c r="G152" s="619"/>
      <c r="H152" s="619"/>
      <c r="I152" s="619"/>
      <c r="J152" s="617"/>
      <c r="K152" s="1706">
        <f>'Revenues 9-14'!D275-'Expenditures 15-22'!K151</f>
        <v>-22473</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6" t="s">
        <v>642</v>
      </c>
      <c r="B154" s="2178"/>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1958</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1957</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1959</v>
      </c>
      <c r="C158" s="617"/>
      <c r="D158" s="617"/>
      <c r="E158" s="617"/>
      <c r="F158" s="617"/>
      <c r="G158" s="617"/>
      <c r="H158" s="467"/>
      <c r="I158" s="617"/>
      <c r="J158" s="617"/>
      <c r="K158" s="1693">
        <f>H158</f>
        <v>0</v>
      </c>
      <c r="L158" s="467"/>
      <c r="M158" s="620"/>
      <c r="N158" s="620"/>
    </row>
    <row r="159" spans="1:14" s="621" customFormat="1" ht="12" x14ac:dyDescent="0.2">
      <c r="A159" s="1849" t="s">
        <v>1960</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1961</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70545</v>
      </c>
      <c r="I169" s="617"/>
      <c r="J169" s="617"/>
      <c r="K169" s="1693">
        <f>SUM(C169:H169)</f>
        <v>70545</v>
      </c>
      <c r="L169" s="657">
        <v>75000</v>
      </c>
    </row>
    <row r="170" spans="1:14" ht="33.75" customHeight="1" x14ac:dyDescent="0.2">
      <c r="A170" s="670" t="s">
        <v>1769</v>
      </c>
      <c r="B170" s="672" t="s">
        <v>31</v>
      </c>
      <c r="C170" s="617"/>
      <c r="D170" s="617"/>
      <c r="E170" s="617"/>
      <c r="F170" s="617"/>
      <c r="G170" s="617"/>
      <c r="H170" s="569">
        <v>80000</v>
      </c>
      <c r="I170" s="617"/>
      <c r="J170" s="617"/>
      <c r="K170" s="1693">
        <f>SUM(C170:J170)</f>
        <v>80000</v>
      </c>
      <c r="L170" s="569">
        <v>100000</v>
      </c>
    </row>
    <row r="171" spans="1:14" ht="15.75" customHeight="1" x14ac:dyDescent="0.2">
      <c r="A171" s="622" t="s">
        <v>790</v>
      </c>
      <c r="B171" s="673" t="s">
        <v>86</v>
      </c>
      <c r="C171" s="617"/>
      <c r="D171" s="617"/>
      <c r="E171" s="466"/>
      <c r="F171" s="617"/>
      <c r="G171" s="617"/>
      <c r="H171" s="569"/>
      <c r="I171" s="477"/>
      <c r="J171" s="617"/>
      <c r="K171" s="1693">
        <f>SUM(C171:J171)</f>
        <v>0</v>
      </c>
      <c r="L171" s="569"/>
    </row>
    <row r="172" spans="1:14" ht="12.75" customHeight="1" thickBot="1" x14ac:dyDescent="0.25">
      <c r="A172" s="1690" t="s">
        <v>659</v>
      </c>
      <c r="B172" s="1691" t="s">
        <v>513</v>
      </c>
      <c r="C172" s="617"/>
      <c r="D172" s="617"/>
      <c r="E172" s="1699">
        <f>SUM(E168,E169,E170,E171)</f>
        <v>0</v>
      </c>
      <c r="F172" s="617"/>
      <c r="G172" s="617"/>
      <c r="H172" s="1699">
        <f>SUM(H168,H169,H170,H171)</f>
        <v>150545</v>
      </c>
      <c r="I172" s="639"/>
      <c r="J172" s="617"/>
      <c r="K172" s="1699">
        <f>SUM(K168,K169,K170,K171)</f>
        <v>150545</v>
      </c>
      <c r="L172" s="1699">
        <f>SUM(L168,L169,L170,L171)</f>
        <v>175000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150545</v>
      </c>
      <c r="I174" s="639"/>
      <c r="J174" s="617"/>
      <c r="K174" s="1699">
        <f>SUM(K160,K172,K173)</f>
        <v>150545</v>
      </c>
      <c r="L174" s="1699">
        <f>SUM(L160,L172,L173)</f>
        <v>175000</v>
      </c>
    </row>
    <row r="175" spans="1:14" ht="13.5" thickTop="1" x14ac:dyDescent="0.2">
      <c r="A175" s="2198" t="s">
        <v>1053</v>
      </c>
      <c r="B175" s="2199"/>
      <c r="C175" s="617"/>
      <c r="D175" s="617"/>
      <c r="E175" s="617"/>
      <c r="F175" s="617"/>
      <c r="G175" s="617"/>
      <c r="H175" s="619"/>
      <c r="I175" s="617"/>
      <c r="J175" s="617"/>
      <c r="K175" s="1706">
        <f>'Revenues 9-14'!E275-'Expenditures 15-22'!K174</f>
        <v>4564</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39932</v>
      </c>
      <c r="D182" s="466">
        <v>4319</v>
      </c>
      <c r="E182" s="466">
        <v>77683</v>
      </c>
      <c r="F182" s="466"/>
      <c r="G182" s="466"/>
      <c r="H182" s="466"/>
      <c r="I182" s="467"/>
      <c r="J182" s="467"/>
      <c r="K182" s="1693">
        <f>SUM(C182:J182)</f>
        <v>121934</v>
      </c>
      <c r="L182" s="466">
        <v>131332</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39932</v>
      </c>
      <c r="D184" s="1699">
        <f t="shared" ref="D184:J184" si="17">SUM(D180,D182,D183)</f>
        <v>4319</v>
      </c>
      <c r="E184" s="1699">
        <f t="shared" si="17"/>
        <v>77683</v>
      </c>
      <c r="F184" s="1699">
        <f t="shared" si="17"/>
        <v>0</v>
      </c>
      <c r="G184" s="1699">
        <f t="shared" si="17"/>
        <v>0</v>
      </c>
      <c r="H184" s="1699">
        <f t="shared" si="17"/>
        <v>0</v>
      </c>
      <c r="I184" s="1699">
        <f t="shared" si="17"/>
        <v>0</v>
      </c>
      <c r="J184" s="1699">
        <f t="shared" si="17"/>
        <v>0</v>
      </c>
      <c r="K184" s="1699">
        <f>SUM(K180,K182,K183)</f>
        <v>121934</v>
      </c>
      <c r="L184" s="1699">
        <f>SUM(L180, L182:L183)</f>
        <v>131332</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39932</v>
      </c>
      <c r="D210" s="1692">
        <f>SUM(D184,D185)</f>
        <v>4319</v>
      </c>
      <c r="E210" s="1692">
        <f>SUM(E184,E185,E196)</f>
        <v>77683</v>
      </c>
      <c r="F210" s="1692">
        <f>SUM(F184,F185)</f>
        <v>0</v>
      </c>
      <c r="G210" s="1692">
        <f>SUM(G184,G185)</f>
        <v>0</v>
      </c>
      <c r="H210" s="1692">
        <f>SUM(H184,H185,H196,H208,H209)</f>
        <v>0</v>
      </c>
      <c r="I210" s="1692">
        <f>SUM(I184,I185)</f>
        <v>0</v>
      </c>
      <c r="J210" s="1692">
        <f>SUM(J184,J185)</f>
        <v>0</v>
      </c>
      <c r="K210" s="1693">
        <f>SUM(K184,K185,K196,K208,K209)</f>
        <v>121934</v>
      </c>
      <c r="L210" s="1692">
        <f>SUM(L184,L185,L196,L208,L209)</f>
        <v>131332</v>
      </c>
    </row>
    <row r="211" spans="1:14" ht="13.5" thickTop="1" x14ac:dyDescent="0.2">
      <c r="A211" s="2198" t="s">
        <v>1053</v>
      </c>
      <c r="B211" s="2199"/>
      <c r="C211" s="619"/>
      <c r="D211" s="619"/>
      <c r="E211" s="619"/>
      <c r="F211" s="619"/>
      <c r="G211" s="619"/>
      <c r="H211" s="619"/>
      <c r="I211" s="617"/>
      <c r="J211" s="617"/>
      <c r="K211" s="1706">
        <f>'Revenues 9-14'!F275-'Expenditures 15-22'!K210</f>
        <v>-16789</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3" t="s">
        <v>1022</v>
      </c>
      <c r="B213" s="2194"/>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64206</v>
      </c>
      <c r="E215" s="617"/>
      <c r="F215" s="617"/>
      <c r="G215" s="617"/>
      <c r="H215" s="617"/>
      <c r="I215" s="617"/>
      <c r="J215" s="617"/>
      <c r="K215" s="1693">
        <f>D215</f>
        <v>64206</v>
      </c>
      <c r="L215" s="466">
        <v>82750</v>
      </c>
    </row>
    <row r="216" spans="1:14" x14ac:dyDescent="0.2">
      <c r="A216" s="1526" t="s">
        <v>165</v>
      </c>
      <c r="B216" s="615" t="s">
        <v>1024</v>
      </c>
      <c r="C216" s="617"/>
      <c r="D216" s="467">
        <v>9999</v>
      </c>
      <c r="E216" s="617"/>
      <c r="F216" s="617"/>
      <c r="G216" s="617"/>
      <c r="H216" s="617"/>
      <c r="I216" s="617"/>
      <c r="J216" s="617"/>
      <c r="K216" s="1693">
        <f t="shared" ref="K216:K228" si="19">D216</f>
        <v>9999</v>
      </c>
      <c r="L216" s="466">
        <v>10100</v>
      </c>
    </row>
    <row r="217" spans="1:14" x14ac:dyDescent="0.2">
      <c r="A217" s="1526" t="s">
        <v>166</v>
      </c>
      <c r="B217" s="615">
        <v>1200</v>
      </c>
      <c r="C217" s="617"/>
      <c r="D217" s="466">
        <v>22285</v>
      </c>
      <c r="E217" s="617"/>
      <c r="F217" s="617"/>
      <c r="G217" s="617"/>
      <c r="H217" s="617"/>
      <c r="I217" s="617"/>
      <c r="J217" s="617"/>
      <c r="K217" s="1693">
        <f t="shared" si="19"/>
        <v>22285</v>
      </c>
      <c r="L217" s="466">
        <v>18650</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v>5601</v>
      </c>
      <c r="E219" s="617"/>
      <c r="F219" s="617"/>
      <c r="G219" s="617"/>
      <c r="H219" s="617"/>
      <c r="I219" s="617"/>
      <c r="J219" s="617"/>
      <c r="K219" s="1693">
        <f t="shared" si="19"/>
        <v>5601</v>
      </c>
      <c r="L219" s="466">
        <v>5000</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v>265</v>
      </c>
      <c r="E222" s="617"/>
      <c r="F222" s="617"/>
      <c r="G222" s="617"/>
      <c r="H222" s="617"/>
      <c r="I222" s="617"/>
      <c r="J222" s="617"/>
      <c r="K222" s="1693">
        <f t="shared" si="19"/>
        <v>265</v>
      </c>
      <c r="L222" s="466"/>
    </row>
    <row r="223" spans="1:14" x14ac:dyDescent="0.2">
      <c r="A223" s="1526" t="s">
        <v>1020</v>
      </c>
      <c r="B223" s="615">
        <v>1500</v>
      </c>
      <c r="C223" s="617"/>
      <c r="D223" s="466"/>
      <c r="E223" s="617"/>
      <c r="F223" s="617"/>
      <c r="G223" s="617"/>
      <c r="H223" s="617"/>
      <c r="I223" s="617"/>
      <c r="J223" s="617"/>
      <c r="K223" s="1693">
        <f t="shared" si="19"/>
        <v>0</v>
      </c>
      <c r="L223" s="466"/>
    </row>
    <row r="224" spans="1:14" x14ac:dyDescent="0.2">
      <c r="A224" s="1526" t="s">
        <v>1021</v>
      </c>
      <c r="B224" s="615">
        <v>1600</v>
      </c>
      <c r="C224" s="617"/>
      <c r="D224" s="466">
        <v>194</v>
      </c>
      <c r="E224" s="617"/>
      <c r="F224" s="617"/>
      <c r="G224" s="617"/>
      <c r="H224" s="617"/>
      <c r="I224" s="617"/>
      <c r="J224" s="617"/>
      <c r="K224" s="1693">
        <f t="shared" si="19"/>
        <v>194</v>
      </c>
      <c r="L224" s="466">
        <v>200</v>
      </c>
    </row>
    <row r="225" spans="1:12" x14ac:dyDescent="0.2">
      <c r="A225" s="1526" t="s">
        <v>1044</v>
      </c>
      <c r="B225" s="615">
        <v>1650</v>
      </c>
      <c r="C225" s="617"/>
      <c r="D225" s="466">
        <v>1199</v>
      </c>
      <c r="E225" s="617"/>
      <c r="F225" s="617"/>
      <c r="G225" s="617"/>
      <c r="H225" s="617"/>
      <c r="I225" s="617"/>
      <c r="J225" s="617"/>
      <c r="K225" s="1693">
        <f t="shared" si="19"/>
        <v>1199</v>
      </c>
      <c r="L225" s="466">
        <v>1200</v>
      </c>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v>6485</v>
      </c>
      <c r="E227" s="617"/>
      <c r="F227" s="617"/>
      <c r="G227" s="617"/>
      <c r="H227" s="617"/>
      <c r="I227" s="617"/>
      <c r="J227" s="617"/>
      <c r="K227" s="1693">
        <f t="shared" si="19"/>
        <v>6485</v>
      </c>
      <c r="L227" s="466">
        <v>6600</v>
      </c>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110234</v>
      </c>
      <c r="E229" s="617"/>
      <c r="F229" s="617"/>
      <c r="G229" s="617"/>
      <c r="H229" s="617"/>
      <c r="I229" s="617"/>
      <c r="J229" s="617"/>
      <c r="K229" s="1692">
        <f>SUM(K215:K228)</f>
        <v>110234</v>
      </c>
      <c r="L229" s="1692">
        <f>SUM(L215:L228)</f>
        <v>124500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c r="E233" s="617"/>
      <c r="F233" s="617"/>
      <c r="G233" s="617"/>
      <c r="H233" s="617"/>
      <c r="I233" s="617"/>
      <c r="J233" s="617"/>
      <c r="K233" s="1693">
        <f t="shared" si="20"/>
        <v>0</v>
      </c>
      <c r="L233" s="466"/>
    </row>
    <row r="234" spans="1:12" x14ac:dyDescent="0.2">
      <c r="A234" s="1526" t="s">
        <v>207</v>
      </c>
      <c r="B234" s="615">
        <v>2130</v>
      </c>
      <c r="C234" s="617"/>
      <c r="D234" s="466">
        <v>11168</v>
      </c>
      <c r="E234" s="617"/>
      <c r="F234" s="617"/>
      <c r="G234" s="617"/>
      <c r="H234" s="617"/>
      <c r="I234" s="617"/>
      <c r="J234" s="617"/>
      <c r="K234" s="1693">
        <f t="shared" si="20"/>
        <v>11168</v>
      </c>
      <c r="L234" s="466">
        <v>10700</v>
      </c>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v>880</v>
      </c>
      <c r="E236" s="617"/>
      <c r="F236" s="617"/>
      <c r="G236" s="617"/>
      <c r="H236" s="617"/>
      <c r="I236" s="617"/>
      <c r="J236" s="617"/>
      <c r="K236" s="1693">
        <f t="shared" si="20"/>
        <v>880</v>
      </c>
      <c r="L236" s="466">
        <v>1000</v>
      </c>
    </row>
    <row r="237" spans="1:12" x14ac:dyDescent="0.2">
      <c r="A237" s="1526" t="s">
        <v>167</v>
      </c>
      <c r="B237" s="615">
        <v>2190</v>
      </c>
      <c r="C237" s="617"/>
      <c r="D237" s="466">
        <v>2156</v>
      </c>
      <c r="E237" s="617"/>
      <c r="F237" s="617"/>
      <c r="G237" s="617"/>
      <c r="H237" s="617"/>
      <c r="I237" s="617"/>
      <c r="J237" s="617"/>
      <c r="K237" s="1693">
        <f t="shared" si="20"/>
        <v>2156</v>
      </c>
      <c r="L237" s="466">
        <v>2500</v>
      </c>
    </row>
    <row r="238" spans="1:12" ht="12.75" customHeight="1" thickBot="1" x14ac:dyDescent="0.25">
      <c r="A238" s="1690" t="s">
        <v>581</v>
      </c>
      <c r="B238" s="1697" t="s">
        <v>740</v>
      </c>
      <c r="C238" s="617"/>
      <c r="D238" s="1692">
        <f>SUM(D232:D237)</f>
        <v>14204</v>
      </c>
      <c r="E238" s="617"/>
      <c r="F238" s="617"/>
      <c r="G238" s="617"/>
      <c r="H238" s="617"/>
      <c r="I238" s="617"/>
      <c r="J238" s="617"/>
      <c r="K238" s="1692">
        <f>SUM(K232:K237)</f>
        <v>14204</v>
      </c>
      <c r="L238" s="1692">
        <f>SUM(L232:L237)</f>
        <v>14200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v>930</v>
      </c>
      <c r="E240" s="617"/>
      <c r="F240" s="617"/>
      <c r="G240" s="617"/>
      <c r="H240" s="617"/>
      <c r="I240" s="617"/>
      <c r="J240" s="617"/>
      <c r="K240" s="1694">
        <f>D240</f>
        <v>930</v>
      </c>
      <c r="L240" s="481">
        <v>1180</v>
      </c>
    </row>
    <row r="241" spans="1:12" x14ac:dyDescent="0.2">
      <c r="A241" s="1526" t="s">
        <v>869</v>
      </c>
      <c r="B241" s="615">
        <v>2220</v>
      </c>
      <c r="C241" s="617"/>
      <c r="D241" s="466">
        <v>4407</v>
      </c>
      <c r="E241" s="617"/>
      <c r="F241" s="617"/>
      <c r="G241" s="617"/>
      <c r="H241" s="617"/>
      <c r="I241" s="617"/>
      <c r="J241" s="617"/>
      <c r="K241" s="1694">
        <f>D241</f>
        <v>4407</v>
      </c>
      <c r="L241" s="466">
        <v>4600</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5337</v>
      </c>
      <c r="E243" s="617"/>
      <c r="F243" s="617"/>
      <c r="G243" s="617"/>
      <c r="H243" s="617"/>
      <c r="I243" s="617"/>
      <c r="J243" s="617"/>
      <c r="K243" s="1692">
        <f>SUM(K240:K242)</f>
        <v>5337</v>
      </c>
      <c r="L243" s="1692">
        <f>SUM(L240:L242)</f>
        <v>5780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336</v>
      </c>
      <c r="E245" s="617"/>
      <c r="F245" s="617"/>
      <c r="G245" s="617"/>
      <c r="H245" s="617"/>
      <c r="I245" s="617"/>
      <c r="J245" s="617"/>
      <c r="K245" s="1694">
        <f>D245</f>
        <v>336</v>
      </c>
      <c r="L245" s="481">
        <v>450</v>
      </c>
    </row>
    <row r="246" spans="1:12" x14ac:dyDescent="0.2">
      <c r="A246" s="1526" t="s">
        <v>872</v>
      </c>
      <c r="B246" s="615">
        <v>2320</v>
      </c>
      <c r="C246" s="617"/>
      <c r="D246" s="466">
        <v>17612</v>
      </c>
      <c r="E246" s="617"/>
      <c r="F246" s="617"/>
      <c r="G246" s="617"/>
      <c r="H246" s="617"/>
      <c r="I246" s="617"/>
      <c r="J246" s="617"/>
      <c r="K246" s="1694">
        <f t="shared" ref="K246:K256" si="21">D246</f>
        <v>17612</v>
      </c>
      <c r="L246" s="466">
        <v>17500</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17948</v>
      </c>
      <c r="E257" s="617"/>
      <c r="F257" s="617"/>
      <c r="G257" s="617"/>
      <c r="H257" s="617"/>
      <c r="I257" s="617"/>
      <c r="J257" s="617"/>
      <c r="K257" s="1692">
        <f>SUM(K245:K256)</f>
        <v>17948</v>
      </c>
      <c r="L257" s="1692">
        <f>SUM(L245:L256)</f>
        <v>17950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28383</v>
      </c>
      <c r="E259" s="617"/>
      <c r="F259" s="617"/>
      <c r="G259" s="617"/>
      <c r="H259" s="617"/>
      <c r="I259" s="617"/>
      <c r="J259" s="617"/>
      <c r="K259" s="1694">
        <f>D259</f>
        <v>28383</v>
      </c>
      <c r="L259" s="481">
        <v>28500</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28383</v>
      </c>
      <c r="E261" s="617"/>
      <c r="F261" s="617"/>
      <c r="G261" s="617"/>
      <c r="H261" s="617"/>
      <c r="I261" s="617"/>
      <c r="J261" s="617"/>
      <c r="K261" s="1692">
        <f>SUM(K259:K260)</f>
        <v>28383</v>
      </c>
      <c r="L261" s="1692">
        <f>SUM(L259:L260)</f>
        <v>28500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1307</v>
      </c>
      <c r="E264" s="617"/>
      <c r="F264" s="617"/>
      <c r="G264" s="617"/>
      <c r="H264" s="617"/>
      <c r="I264" s="617"/>
      <c r="J264" s="617"/>
      <c r="K264" s="1694">
        <f t="shared" ref="K264:K269" si="22">D264</f>
        <v>1307</v>
      </c>
      <c r="L264" s="466">
        <v>1400</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72485</v>
      </c>
      <c r="E266" s="617"/>
      <c r="F266" s="617"/>
      <c r="G266" s="617"/>
      <c r="H266" s="617"/>
      <c r="I266" s="617"/>
      <c r="J266" s="617"/>
      <c r="K266" s="1694">
        <f t="shared" si="22"/>
        <v>72485</v>
      </c>
      <c r="L266" s="466">
        <v>78500</v>
      </c>
    </row>
    <row r="267" spans="1:14" x14ac:dyDescent="0.2">
      <c r="A267" s="1526" t="s">
        <v>1010</v>
      </c>
      <c r="B267" s="615">
        <v>2550</v>
      </c>
      <c r="C267" s="617"/>
      <c r="D267" s="466">
        <v>8081</v>
      </c>
      <c r="E267" s="617"/>
      <c r="F267" s="617"/>
      <c r="G267" s="617"/>
      <c r="H267" s="617"/>
      <c r="I267" s="617"/>
      <c r="J267" s="617"/>
      <c r="K267" s="1694">
        <f t="shared" si="22"/>
        <v>8081</v>
      </c>
      <c r="L267" s="466">
        <v>8750</v>
      </c>
    </row>
    <row r="268" spans="1:14" x14ac:dyDescent="0.2">
      <c r="A268" s="1526" t="s">
        <v>102</v>
      </c>
      <c r="B268" s="615">
        <v>2560</v>
      </c>
      <c r="C268" s="617"/>
      <c r="D268" s="466">
        <v>2758</v>
      </c>
      <c r="E268" s="617"/>
      <c r="F268" s="617"/>
      <c r="G268" s="617"/>
      <c r="H268" s="617"/>
      <c r="I268" s="617"/>
      <c r="J268" s="617"/>
      <c r="K268" s="1694">
        <f t="shared" si="22"/>
        <v>2758</v>
      </c>
      <c r="L268" s="466">
        <v>3250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84631</v>
      </c>
      <c r="E270" s="617"/>
      <c r="F270" s="617"/>
      <c r="G270" s="617"/>
      <c r="H270" s="617"/>
      <c r="I270" s="617"/>
      <c r="J270" s="617"/>
      <c r="K270" s="1692">
        <f>SUM(K263:K269)</f>
        <v>84631</v>
      </c>
      <c r="L270" s="1692">
        <f>SUM(L263:L269)</f>
        <v>91900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150503</v>
      </c>
      <c r="E279" s="617"/>
      <c r="F279" s="617"/>
      <c r="G279" s="617"/>
      <c r="H279" s="617"/>
      <c r="I279" s="617"/>
      <c r="J279" s="617"/>
      <c r="K279" s="1699">
        <f>SUM(K238,K243,K257,K261,K270,K277,K278)</f>
        <v>150503</v>
      </c>
      <c r="L279" s="1699">
        <f>SUM(L238,L243,L257,L261,L270,L277,L278)</f>
        <v>158330</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1957</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89" t="s">
        <v>526</v>
      </c>
      <c r="B295" s="2190"/>
      <c r="C295" s="617"/>
      <c r="D295" s="1692">
        <f>SUM(D229,D279,D280,D285)</f>
        <v>260737</v>
      </c>
      <c r="E295" s="617"/>
      <c r="F295" s="617"/>
      <c r="G295" s="617"/>
      <c r="H295" s="1692">
        <f>H293</f>
        <v>0</v>
      </c>
      <c r="I295" s="617"/>
      <c r="J295" s="617"/>
      <c r="K295" s="1692">
        <f>SUM(K229,K279,K280,K285,K293,K294)</f>
        <v>260737</v>
      </c>
      <c r="L295" s="1692">
        <f>SUM(L229,L279,L280,L285,L293,L294)</f>
        <v>282830</v>
      </c>
    </row>
    <row r="296" spans="1:14" ht="13.5" thickTop="1" x14ac:dyDescent="0.2">
      <c r="A296" s="2198" t="s">
        <v>1053</v>
      </c>
      <c r="B296" s="2199"/>
      <c r="C296" s="617"/>
      <c r="D296" s="619"/>
      <c r="E296" s="617"/>
      <c r="F296" s="617"/>
      <c r="G296" s="617"/>
      <c r="H296" s="688"/>
      <c r="I296" s="617"/>
      <c r="J296" s="617"/>
      <c r="K296" s="1706">
        <f>'Revenues 9-14'!G275-'Expenditures 15-22'!K295</f>
        <v>-58409</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1" t="s">
        <v>145</v>
      </c>
      <c r="B298" s="2175"/>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1962</v>
      </c>
      <c r="B306" s="691" t="s">
        <v>1957</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6" t="s">
        <v>295</v>
      </c>
      <c r="B312" s="2187"/>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2" t="s">
        <v>1053</v>
      </c>
      <c r="B313" s="2183"/>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5" t="s">
        <v>151</v>
      </c>
      <c r="B315" s="2196"/>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7" t="s">
        <v>954</v>
      </c>
      <c r="B317" s="2196"/>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v>74937</v>
      </c>
      <c r="F320" s="467"/>
      <c r="G320" s="467"/>
      <c r="H320" s="467"/>
      <c r="I320" s="467"/>
      <c r="J320" s="467"/>
      <c r="K320" s="1693">
        <f t="shared" ref="K320:K327" si="24">SUM(C320:J320)</f>
        <v>74937</v>
      </c>
      <c r="L320" s="467">
        <v>76546</v>
      </c>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c r="F327" s="467"/>
      <c r="G327" s="467"/>
      <c r="H327" s="467"/>
      <c r="I327" s="467"/>
      <c r="J327" s="467"/>
      <c r="K327" s="1693">
        <f t="shared" si="24"/>
        <v>0</v>
      </c>
      <c r="L327" s="467"/>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74937</v>
      </c>
      <c r="F330" s="1692">
        <f t="shared" si="25"/>
        <v>0</v>
      </c>
      <c r="G330" s="1692">
        <f t="shared" si="25"/>
        <v>0</v>
      </c>
      <c r="H330" s="1692">
        <f t="shared" si="25"/>
        <v>0</v>
      </c>
      <c r="I330" s="1692">
        <f t="shared" si="25"/>
        <v>0</v>
      </c>
      <c r="J330" s="1692">
        <f t="shared" si="25"/>
        <v>0</v>
      </c>
      <c r="K330" s="1692">
        <f>SUM(K319:K329)</f>
        <v>74937</v>
      </c>
      <c r="L330" s="1692">
        <f>SUM(L319:L329)</f>
        <v>76546</v>
      </c>
      <c r="M330" s="666"/>
      <c r="N330" s="666"/>
    </row>
    <row r="331" spans="1:14" s="675" customFormat="1" ht="12.75" customHeight="1" thickTop="1" x14ac:dyDescent="0.2">
      <c r="A331" s="1854" t="s">
        <v>1963</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1957</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1959</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1964</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74937</v>
      </c>
      <c r="F342" s="1692">
        <f>SUM(F330)</f>
        <v>0</v>
      </c>
      <c r="G342" s="1692">
        <f>SUM(G330)</f>
        <v>0</v>
      </c>
      <c r="H342" s="1692">
        <f>SUM(H330,H334,H340)</f>
        <v>0</v>
      </c>
      <c r="I342" s="1692">
        <f>SUM(I330)</f>
        <v>0</v>
      </c>
      <c r="J342" s="1692">
        <f>SUM(J330)</f>
        <v>0</v>
      </c>
      <c r="K342" s="1692">
        <f>SUM(K330,K334,K340)</f>
        <v>74937</v>
      </c>
      <c r="L342" s="1699">
        <f>SUM(L330,L340,L341)</f>
        <v>76546</v>
      </c>
    </row>
    <row r="343" spans="1:14" ht="12.75" customHeight="1" thickTop="1" x14ac:dyDescent="0.2">
      <c r="A343" s="2184" t="s">
        <v>1053</v>
      </c>
      <c r="B343" s="2185"/>
      <c r="C343" s="617"/>
      <c r="D343" s="617"/>
      <c r="E343" s="617"/>
      <c r="F343" s="617"/>
      <c r="G343" s="617"/>
      <c r="H343" s="617"/>
      <c r="I343" s="617"/>
      <c r="J343" s="617"/>
      <c r="K343" s="1706">
        <f>'Revenues 9-14'!J275-'Expenditures 15-22'!K342</f>
        <v>-7723</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4" t="s">
        <v>1023</v>
      </c>
      <c r="B345" s="2175"/>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0</v>
      </c>
      <c r="F350" s="1692">
        <f t="shared" si="26"/>
        <v>0</v>
      </c>
      <c r="G350" s="1692">
        <f t="shared" si="26"/>
        <v>0</v>
      </c>
      <c r="H350" s="1692">
        <f t="shared" si="26"/>
        <v>0</v>
      </c>
      <c r="I350" s="1692">
        <f t="shared" si="26"/>
        <v>0</v>
      </c>
      <c r="J350" s="1692">
        <f t="shared" si="26"/>
        <v>0</v>
      </c>
      <c r="K350" s="1692">
        <f t="shared" si="26"/>
        <v>0</v>
      </c>
      <c r="L350" s="1692">
        <f t="shared" si="26"/>
        <v>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0</v>
      </c>
      <c r="F352" s="1692">
        <f t="shared" si="27"/>
        <v>0</v>
      </c>
      <c r="G352" s="1692">
        <f t="shared" si="27"/>
        <v>0</v>
      </c>
      <c r="H352" s="1692">
        <f t="shared" si="27"/>
        <v>0</v>
      </c>
      <c r="I352" s="1692">
        <f t="shared" si="27"/>
        <v>0</v>
      </c>
      <c r="J352" s="1692">
        <f t="shared" si="27"/>
        <v>0</v>
      </c>
      <c r="K352" s="1692">
        <f t="shared" si="27"/>
        <v>0</v>
      </c>
      <c r="L352" s="1692">
        <f t="shared" si="27"/>
        <v>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1965</v>
      </c>
      <c r="B354" s="684" t="s">
        <v>1957</v>
      </c>
      <c r="C354" s="617"/>
      <c r="D354" s="617"/>
      <c r="E354" s="617"/>
      <c r="F354" s="617"/>
      <c r="G354" s="617"/>
      <c r="H354" s="474"/>
      <c r="I354" s="702"/>
      <c r="J354" s="617"/>
      <c r="K354" s="1721">
        <f>H354</f>
        <v>0</v>
      </c>
      <c r="L354" s="471"/>
    </row>
    <row r="355" spans="1:14" ht="12.75" customHeight="1" x14ac:dyDescent="0.2">
      <c r="A355" s="1535" t="s">
        <v>1966</v>
      </c>
      <c r="B355" s="691" t="s">
        <v>1959</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0</v>
      </c>
      <c r="F367" s="1692">
        <f t="shared" si="28"/>
        <v>0</v>
      </c>
      <c r="G367" s="1692">
        <f t="shared" si="28"/>
        <v>0</v>
      </c>
      <c r="H367" s="1692">
        <f t="shared" si="28"/>
        <v>0</v>
      </c>
      <c r="I367" s="1692">
        <f t="shared" si="28"/>
        <v>0</v>
      </c>
      <c r="J367" s="1692">
        <f t="shared" si="28"/>
        <v>0</v>
      </c>
      <c r="K367" s="1692">
        <f t="shared" si="28"/>
        <v>0</v>
      </c>
      <c r="L367" s="1692">
        <f t="shared" si="28"/>
        <v>0</v>
      </c>
    </row>
    <row r="368" spans="1:14" ht="13.5" thickTop="1" x14ac:dyDescent="0.2">
      <c r="A368" s="2198" t="s">
        <v>1053</v>
      </c>
      <c r="B368" s="2199"/>
      <c r="C368" s="655"/>
      <c r="D368" s="655"/>
      <c r="E368" s="627"/>
      <c r="F368" s="627"/>
      <c r="G368" s="627"/>
      <c r="H368" s="627"/>
      <c r="I368" s="627"/>
      <c r="J368" s="624"/>
      <c r="K368" s="1693">
        <f>'Revenues 9-14'!K275-'Expenditures 15-22'!K367</f>
        <v>441</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2.xml><?xml version="1.0" encoding="utf-8"?>
<ds:datastoreItem xmlns:ds="http://schemas.openxmlformats.org/officeDocument/2006/customXml" ds:itemID="{A7F99216-9548-403A-A1AC-CF57406FE3BA}">
  <ds:schemaRefs>
    <ds:schemaRef ds:uri="http://schemas.microsoft.com/office/2006/metadata/properties"/>
    <ds:schemaRef ds:uri="6ce3111e-7420-4802-b50a-75d4e9a0b980"/>
    <ds:schemaRef ds:uri="http://www.w3.org/XML/1998/namespace"/>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4d435f69-8686-490b-bd6d-b153bf22ab50"/>
    <ds:schemaRef ds:uri="d21dc803-237d-4c68-8692-8d731fd29118"/>
    <ds:schemaRef ds:uri="http://schemas.microsoft.com/sharepoint/v3"/>
    <ds:schemaRef ds:uri="http://purl.org/dc/terms/"/>
  </ds:schemaRefs>
</ds:datastoreItem>
</file>

<file path=customXml/itemProps3.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2018-11-12T23:23:40Z</cp:lastPrinted>
  <dcterms:created xsi:type="dcterms:W3CDTF">2003-10-29T19:06:34Z</dcterms:created>
  <dcterms:modified xsi:type="dcterms:W3CDTF">2018-11-29T17:08:38Z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