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E26" i="108"/>
  <c r="G26" i="108"/>
  <c r="E27" i="108"/>
  <c r="F27" i="108"/>
  <c r="G27" i="108"/>
  <c r="E28" i="108"/>
  <c r="F31" i="108"/>
  <c r="F36" i="108"/>
  <c r="F37" i="108"/>
  <c r="G28"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8" i="34"/>
  <c r="F127" i="34"/>
  <c r="B5847" i="106"/>
  <c r="D5847" i="106" s="1"/>
  <c r="B5752" i="106"/>
  <c r="D5752" i="106" s="1"/>
  <c r="B5599" i="106"/>
  <c r="D5599" i="106" s="1"/>
  <c r="K274" i="5"/>
  <c r="H173" i="5"/>
  <c r="B5906" i="106" s="1"/>
  <c r="D5906" i="106" s="1"/>
  <c r="H109" i="5"/>
  <c r="B6025" i="106" s="1"/>
  <c r="D6025" i="106" s="1"/>
  <c r="F106" i="34"/>
  <c r="D7" i="7"/>
  <c r="B1763" i="106" s="1"/>
  <c r="D1763" i="106" s="1"/>
  <c r="H4" i="4"/>
  <c r="B2655" i="106"/>
  <c r="D2655" i="106" s="1"/>
  <c r="D17" i="7"/>
  <c r="B4104" i="106" s="1"/>
  <c r="D4104" i="106" s="1"/>
  <c r="D12" i="7"/>
  <c r="B1769" i="106" s="1"/>
  <c r="D1769" i="106" s="1"/>
  <c r="D11" i="7"/>
  <c r="B1768" i="106" s="1"/>
  <c r="D1768" i="106" s="1"/>
  <c r="D15" i="7"/>
  <c r="B1772" i="106" s="1"/>
  <c r="D1772" i="106" s="1"/>
  <c r="G173" i="5" l="1"/>
  <c r="B5778" i="106" s="1"/>
  <c r="D5778" i="106" s="1"/>
  <c r="B5770" i="106"/>
  <c r="D5770" i="106" s="1"/>
  <c r="H6" i="4"/>
  <c r="B2656" i="106" s="1"/>
  <c r="D2656" i="106" s="1"/>
  <c r="I274" i="5"/>
  <c r="K173" i="5"/>
  <c r="K6" i="4" s="1"/>
  <c r="B3570" i="106" s="1"/>
  <c r="D3570" i="106" s="1"/>
  <c r="F172" i="5"/>
  <c r="B5644" i="106" s="1"/>
  <c r="D5644" i="106" s="1"/>
  <c r="G109" i="5"/>
  <c r="B6024" i="106" s="1"/>
  <c r="D6024" i="106" s="1"/>
  <c r="L312" i="29"/>
  <c r="B7235" i="106"/>
  <c r="D7235" i="106" s="1"/>
  <c r="D6103" i="106"/>
  <c r="K350" i="29"/>
  <c r="K76" i="4"/>
  <c r="B3586" i="106" s="1"/>
  <c r="D3586" i="106" s="1"/>
  <c r="K285" i="29"/>
  <c r="B281" i="106"/>
  <c r="D281" i="106" s="1"/>
  <c r="K24" i="12"/>
  <c r="B3649" i="106"/>
  <c r="D3649" i="106" s="1"/>
  <c r="G367" i="29"/>
  <c r="B3621" i="106"/>
  <c r="D3621" i="106" s="1"/>
  <c r="C367" i="29"/>
  <c r="G39" i="108"/>
  <c r="L13" i="11"/>
  <c r="B2060" i="106" s="1"/>
  <c r="D2060" i="106" s="1"/>
  <c r="N22" i="3"/>
  <c r="B283" i="106" s="1"/>
  <c r="D283" i="106" s="1"/>
  <c r="F19" i="7"/>
  <c r="B1807" i="106" s="1"/>
  <c r="D1807" i="106" s="1"/>
  <c r="B1410" i="106"/>
  <c r="D1410" i="106" s="1"/>
  <c r="F65" i="34"/>
  <c r="G29" i="108"/>
  <c r="E29" i="108"/>
  <c r="K184" i="29"/>
  <c r="F13" i="4" s="1"/>
  <c r="B2596" i="106" s="1"/>
  <c r="D2596" i="106" s="1"/>
  <c r="F111" i="34"/>
  <c r="B1329" i="106"/>
  <c r="D1329" i="106" s="1"/>
  <c r="F61" i="34"/>
  <c r="E109" i="5"/>
  <c r="E4" i="4" s="1"/>
  <c r="B2630" i="106" s="1"/>
  <c r="D2630" i="106" s="1"/>
  <c r="B1746" i="106"/>
  <c r="D1746" i="106" s="1"/>
  <c r="F28" i="108"/>
  <c r="D109" i="5"/>
  <c r="B6995" i="106"/>
  <c r="D6995" i="106" s="1"/>
  <c r="F52" i="34"/>
  <c r="E30" i="108"/>
  <c r="F26" i="108"/>
  <c r="B1126" i="106"/>
  <c r="D1126" i="106" s="1"/>
  <c r="D26" i="108"/>
  <c r="F34" i="34"/>
  <c r="C172" i="5"/>
  <c r="C109" i="5"/>
  <c r="B5121" i="106" s="1"/>
  <c r="D5121" i="106" s="1"/>
  <c r="L342" i="29"/>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3447" i="106"/>
  <c r="D3447" i="106" s="1"/>
  <c r="B7270" i="106"/>
  <c r="D7255" i="106" l="1"/>
  <c r="D7253" i="106"/>
  <c r="D7252" i="106"/>
  <c r="G4" i="4"/>
  <c r="B2603" i="106" s="1"/>
  <c r="D2603" i="106" s="1"/>
  <c r="B7733" i="106"/>
  <c r="D7733" i="106" s="1"/>
  <c r="K26" i="12"/>
  <c r="B7743" i="106" s="1"/>
  <c r="D7743" i="106" s="1"/>
  <c r="F73" i="34"/>
  <c r="G15" i="4"/>
  <c r="B6032" i="106" s="1"/>
  <c r="D6032" i="106" s="1"/>
  <c r="H367" i="29"/>
  <c r="B3660" i="106" s="1"/>
  <c r="D3660" i="106" s="1"/>
  <c r="B3670" i="106"/>
  <c r="D3670" i="106" s="1"/>
  <c r="K352" i="29"/>
  <c r="L16" i="11"/>
  <c r="B2061" i="106" s="1"/>
  <c r="D2061" i="106" s="1"/>
  <c r="N23" i="3"/>
  <c r="B284" i="106" s="1"/>
  <c r="D284" i="106" s="1"/>
  <c r="K342" i="29"/>
  <c r="F13" i="34" s="1"/>
  <c r="B1381" i="106"/>
  <c r="D1381" i="106" s="1"/>
  <c r="F41" i="108"/>
  <c r="G43" i="108" s="1"/>
  <c r="B5356" i="106"/>
  <c r="D5356" i="106" s="1"/>
  <c r="D4" i="4"/>
  <c r="B2564" i="106" s="1"/>
  <c r="D2564" i="106" s="1"/>
  <c r="D44" i="36"/>
  <c r="C114" i="29"/>
  <c r="B757" i="106" s="1"/>
  <c r="D757"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1145" i="106"/>
  <c r="D1145"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<sst xmlns="http://schemas.openxmlformats.org/spreadsheetml/2006/main" count="5028" uniqueCount="2099">
  <si>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</si>
  <si>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</si>
  <si>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</si>
  <si>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</si>
  <si>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</si>
  <si>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</si>
  <si>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</si>
  <si>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</si>
  <si>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</si>
  <si>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</si>
  <si>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</si>
  <si>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</si>
  <si>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</si>
  <si>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</si>
  <si>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</si>
  <si>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</si>
  <si>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</si>
  <si>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</si>
  <si>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</si>
  <si>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</si>
  <si>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</si>
  <si>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</si>
  <si>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</si>
  <si>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</si>
  <si>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</si>
  <si>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</si>
  <si>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</si>
  <si>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</si>
  <si>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</si>
  <si>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</si>
  <si>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</si>
  <si>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</si>
  <si>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</si>
  <si>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</si>
  <si>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</si>
  <si>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</si>
  <si>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</si>
  <si>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</si>
  <si>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</si>
  <si>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</si>
  <si>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</si>
  <si>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</si>
  <si>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</si>
  <si>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</si>
  <si>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</si>
  <si>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</si>
  <si>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</si>
  <si>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</si>
  <si>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</si>
  <si>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</si>
  <si>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</si>
  <si>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</si>
  <si>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</si>
  <si>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</si>
  <si>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</si>
  <si>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</si>
  <si>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</si>
  <si>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</si>
  <si>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</si>
  <si>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</si>
  <si>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</si>
  <si>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</si>
  <si>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</si>
  <si>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</si>
  <si>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</si>
  <si>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</si>
  <si>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</si>
  <si>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</si>
  <si>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</si>
  <si>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</si>
  <si>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</si>
  <si>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</si>
  <si>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</si>
  <si>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</si>
  <si>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</si>
  <si>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</si>
  <si>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</si>
  <si>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</si>
  <si>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</si>
  <si>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</si>
  <si>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</si>
  <si>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</si>
  <si>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</si>
  <si>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</si>
  <si>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</si>
  <si>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</si>
  <si>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</si>
  <si>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</si>
  <si>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</si>
  <si>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</si>
  <si>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</si>
  <si>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</si>
  <si>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</si>
  <si>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</si>
  <si>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</si>
  <si>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</si>
  <si>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</si>
  <si>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</si>
  <si>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</si>
  <si>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</si>
  <si>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</si>
  <si>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</si>
  <si>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</si>
  <si>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</si>
  <si>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</si>
  <si>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</si>
  <si>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</si>
  <si>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</si>
  <si>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</si>
  <si>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</si>
  <si>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</si>
  <si>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</si>
  <si>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</si>
  <si>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</si>
  <si>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</si>
  <si>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</si>
  <si>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</si>
  <si>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</si>
  <si>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</si>
  <si>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</si>
  <si>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</si>
  <si>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</si>
  <si>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</si>
  <si>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</si>
  <si>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</si>
  <si>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</si>
  <si>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</si>
  <si>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</si>
  <si>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</si>
  <si>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</si>
  <si>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</si>
  <si>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</si>
  <si>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</si>
  <si>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</si>
  <si>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</si>
  <si>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</si>
  <si>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</si>
  <si>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</si>
  <si>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</si>
  <si>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</si>
  <si>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</si>
  <si>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</si>
  <si>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</si>
  <si>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</si>
  <si>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</si>
  <si>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</si>
  <si>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</si>
  <si>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</si>
  <si>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</si>
  <si>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</si>
  <si>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</si>
  <si>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</si>
  <si>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</si>
  <si>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</si>
  <si>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</si>
  <si>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</si>
  <si>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</si>
  <si>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</si>
  <si>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</si>
  <si>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</si>
  <si>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</si>
  <si>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</si>
  <si>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</si>
  <si>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</si>
  <si>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</si>
  <si>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</si>
  <si>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</si>
  <si>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</si>
  <si>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</si>
  <si>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</si>
  <si>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</si>
  <si>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</si>
  <si>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</si>
  <si>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</si>
  <si>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</si>
  <si>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</si>
  <si>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</si>
  <si>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</si>
  <si>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</si>
  <si>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</si>
  <si>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</si>
  <si>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</si>
  <si>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</si>
  <si>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</si>
  <si>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</si>
  <si>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</si>
  <si>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</si>
  <si>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</si>
  <si>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</si>
  <si>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</si>
  <si>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</si>
  <si>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</si>
  <si>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</si>
  <si>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</si>
  <si>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</si>
  <si>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</si>
  <si>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</si>
  <si>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</si>
  <si>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</si>
  <si>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</si>
  <si>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</si>
  <si>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</si>
  <si>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</si>
  <si>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</si>
  <si>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</si>
  <si>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</si>
  <si>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</si>
  <si>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</si>
  <si>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</si>
  <si>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</si>
  <si>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</si>
  <si>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</si>
  <si>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</si>
  <si>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</si>
  <si>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</si>
  <si>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</si>
  <si>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</si>
  <si>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</si>
  <si>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</si>
  <si>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</si>
  <si>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</si>
  <si>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</si>
  <si>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</si>
  <si>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</si>
  <si>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</si>
  <si>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</si>
  <si>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</si>
  <si>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</si>
  <si>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</si>
  <si>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</si>
  <si>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</si>
  <si>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</si>
  <si>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</si>
  <si>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</si>
  <si>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</si>
  <si>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</si>
  <si>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</si>
  <si>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</si>
  <si>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</si>
  <si>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</si>
  <si>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</si>
  <si>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</si>
  <si>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</si>
  <si>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</si>
  <si>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</si>
  <si>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</si>
  <si>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</si>
  <si>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</si>
  <si>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</si>
  <si>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</si>
  <si>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</si>
  <si>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</si>
  <si>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</si>
  <si>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</si>
  <si>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</si>
  <si>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</si>
  <si>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</si>
  <si>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</si>
  <si>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</si>
  <si>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</si>
  <si>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</si>
  <si>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</si>
  <si>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</si>
  <si>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</si>
  <si>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</si>
  <si>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</si>
  <si>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</si>
  <si>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</si>
  <si>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</si>
  <si>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</si>
  <si>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</si>
  <si>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</si>
  <si>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</si>
  <si>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</si>
  <si>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</si>
  <si>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</si>
  <si>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</si>
  <si>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</si>
  <si>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</si>
  <si>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</si>
  <si>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</si>
  <si>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</si>
  <si>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</si>
  <si>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</si>
  <si>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</si>
  <si>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</si>
  <si>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</si>
  <si>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</si>
  <si>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</si>
  <si>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</si>
  <si>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</si>
  <si>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</si>
  <si>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</si>
  <si>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</si>
  <si>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</si>
  <si>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</si>
  <si>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</si>
  <si>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</si>
  <si>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</si>
  <si>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</si>
  <si>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</si>
  <si>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</si>
  <si>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</si>
  <si>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</si>
  <si>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</si>
  <si>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</si>
  <si>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</si>
  <si>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</si>
  <si>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</si>
  <si>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</si>
  <si>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</si>
  <si>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</si>
  <si>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</si>
  <si>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</si>
  <si>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</si>
  <si>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</si>
  <si>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</si>
  <si>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</si>
  <si>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</si>
  <si>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</si>
  <si>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</si>
  <si>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</si>
  <si>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</si>
  <si>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</si>
  <si>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</si>
  <si>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</si>
  <si>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</si>
  <si>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</si>
  <si>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</si>
  <si>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</si>
  <si>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</si>
  <si>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</si>
  <si>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</si>
  <si>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</si>
  <si>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</si>
  <si>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</si>
  <si>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</si>
  <si>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</si>
  <si>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</si>
  <si>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</si>
  <si>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</si>
  <si>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</si>
  <si>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</si>
  <si>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</si>
  <si>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</si>
  <si>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</si>
  <si>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</si>
  <si>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</si>
  <si>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</si>
  <si>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</si>
  <si>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</si>
  <si>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</si>
  <si>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</si>
  <si>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</si>
  <si>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</si>
  <si>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</si>
  <si>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</si>
  <si>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</si>
  <si>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</si>
  <si>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</si>
  <si>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</si>
  <si>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</si>
  <si>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</si>
  <si>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</si>
  <si>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</si>
  <si>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</si>
  <si>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</si>
  <si>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</si>
  <si>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</si>
  <si>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</si>
  <si>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</si>
  <si>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</si>
  <si>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</si>
  <si>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</si>
  <si>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</si>
  <si>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</si>
  <si>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</si>
  <si>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</si>
  <si>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</si>
  <si>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</si>
  <si>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</si>
  <si>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</si>
  <si>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</si>
  <si>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</si>
  <si>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</si>
  <si>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</si>
  <si>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</si>
  <si>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</si>
  <si>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</si>
  <si>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</si>
  <si>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</si>
  <si>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</si>
  <si>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</si>
  <si>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</si>
  <si>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</si>
  <si>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</si>
  <si>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</si>
  <si>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</si>
  <si>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</si>
  <si>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</si>
  <si>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</si>
  <si>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</si>
  <si>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</si>
  <si>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</si>
  <si>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</si>
  <si>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</si>
  <si>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</si>
  <si>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</si>
  <si>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</si>
  <si>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</si>
  <si>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</si>
  <si>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</si>
  <si>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</si>
  <si>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</si>
  <si>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</si>
  <si>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</si>
  <si>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</si>
  <si>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</si>
  <si>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</si>
  <si>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</si>
  <si>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</si>
  <si>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</si>
  <si>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</si>
  <si>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</si>
  <si>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</si>
  <si>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</si>
  <si>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</si>
  <si>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</si>
  <si>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</si>
  <si>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</si>
  <si>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</si>
  <si>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</si>
  <si>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</si>
  <si>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</si>
  <si>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</si>
  <si>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</si>
  <si>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</si>
  <si>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</si>
  <si>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</si>
  <si>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</si>
  <si>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</si>
  <si>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</si>
  <si>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</si>
  <si>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</si>
  <si>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</si>
  <si>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</si>
  <si>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</si>
  <si>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</si>
  <si>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</si>
  <si>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</si>
  <si>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</si>
  <si>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</si>
  <si>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</si>
  <si>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</si>
  <si>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</si>
  <si>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</si>
  <si>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</si>
  <si>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</si>
  <si>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</si>
  <si>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</si>
  <si>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</si>
  <si>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</si>
  <si>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</si>
  <si>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</si>
  <si>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</si>
  <si>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</si>
  <si>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</si>
  <si>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</si>
  <si>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</si>
  <si>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</si>
  <si>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</si>
  <si>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</si>
  <si>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</si>
  <si>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</si>
  <si>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</si>
  <si>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</si>
  <si>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</si>
  <si>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</si>
  <si>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</si>
  <si>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</si>
  <si>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</si>
  <si>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</si>
  <si>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</si>
  <si>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</si>
  <si>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</si>
  <si>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</si>
  <si>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</si>
  <si>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</si>
  <si>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</si>
  <si>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</si>
  <si>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</si>
  <si>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</si>
  <si>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</si>
  <si>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</si>
  <si>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</si>
  <si>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</si>
  <si>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</si>
  <si>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</si>
  <si>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</si>
  <si>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</si>
  <si>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</si>
  <si>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</si>
  <si>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</si>
  <si>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</si>
  <si>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</si>
  <si>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</si>
  <si>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</si>
  <si>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</si>
  <si>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</si>
  <si>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</si>
  <si>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</si>
  <si>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</si>
  <si>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</si>
  <si>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</si>
  <si>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</si>
  <si>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</si>
  <si>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</si>
  <si>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</si>
  <si>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</si>
  <si>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</si>
  <si>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</si>
  <si>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</si>
  <si>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</si>
  <si>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</si>
  <si>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</si>
  <si>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</si>
  <si>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</si>
  <si>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</si>
  <si>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</si>
  <si>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</si>
  <si>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</si>
  <si>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</si>
  <si>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</si>
  <si>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</si>
  <si>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</si>
  <si>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</si>
  <si>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</si>
  <si>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</si>
  <si>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</si>
  <si>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</si>
  <si>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</si>
  <si>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</si>
  <si>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</si>
  <si>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</si>
  <si>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</si>
  <si>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</si>
  <si>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</si>
  <si>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</si>
  <si>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</si>
  <si>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</si>
  <si>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</si>
  <si>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</si>
  <si>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</si>
  <si>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</si>
  <si>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</si>
  <si>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</si>
  <si>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</si>
  <si>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</si>
  <si>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</si>
  <si>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</si>
  <si>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</si>
  <si>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</si>
  <si>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</si>
  <si>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</si>
  <si>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</si>
  <si>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</si>
  <si>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</si>
  <si>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</si>
  <si>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</si>
  <si>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</si>
  <si>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</si>
  <si>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</si>
  <si>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</si>
  <si>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</si>
  <si>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</si>
  <si>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</si>
  <si>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</si>
  <si>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</si>
  <si>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</si>
  <si>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</si>
  <si>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</si>
  <si>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</si>
  <si>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</si>
  <si>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</si>
  <si>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</si>
  <si>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</si>
  <si>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</si>
  <si>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</si>
  <si>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</si>
  <si>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</si>
  <si>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</si>
  <si>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</si>
  <si>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</si>
  <si>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</si>
  <si>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</si>
  <si>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</si>
  <si>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</si>
  <si>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</si>
  <si>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</si>
  <si>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</si>
  <si>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</si>
  <si>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</si>
  <si>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</si>
  <si>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</si>
  <si>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</si>
  <si>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</si>
  <si>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</si>
  <si>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</si>
  <si>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</si>
  <si>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</si>
  <si>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</si>
  <si>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</si>
  <si>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</si>
  <si>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</si>
  <si>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</si>
  <si>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</si>
  <si>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</si>
  <si>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</si>
  <si>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</si>
  <si>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</si>
  <si>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</si>
  <si>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</si>
  <si>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</si>
  <si>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</si>
  <si>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</si>
  <si>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</si>
  <si>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</si>
  <si>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</si>
  <si>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</si>
  <si>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</si>
  <si>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</si>
  <si>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</si>
  <si>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</si>
  <si>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</si>
  <si>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</si>
  <si>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</si>
  <si>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</si>
  <si>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</si>
  <si>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</si>
  <si>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</si>
  <si>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</si>
  <si>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</si>
  <si>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</si>
  <si>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</si>
  <si>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</si>
  <si>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</si>
  <si>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</si>
  <si>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</si>
  <si>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</si>
  <si>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</si>
  <si>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</si>
  <si>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</si>
  <si>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</si>
  <si>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</si>
  <si>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</si>
  <si>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</si>
  <si>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</si>
  <si>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</si>
  <si>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</si>
  <si>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</si>
  <si>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</si>
  <si>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</si>
  <si>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</si>
  <si>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</si>
  <si>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</si>
  <si>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</si>
  <si>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</si>
  <si>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</si>
  <si>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</si>
  <si>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</si>
  <si>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</si>
  <si>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</si>
  <si>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</si>
  <si>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</si>
  <si>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</si>
  <si>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</si>
  <si>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</si>
  <si>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</si>
  <si>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</si>
  <si>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</si>
  <si>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</si>
  <si>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</si>
  <si>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</si>
  <si>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</si>
  <si>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</si>
  <si>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</si>
  <si>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</si>
  <si>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</si>
  <si>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</si>
  <si>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</si>
  <si>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</si>
  <si>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</si>
  <si>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</si>
  <si>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</si>
  <si>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</si>
  <si>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</si>
  <si>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</si>
  <si>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</si>
  <si>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</si>
  <si>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</si>
  <si>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</si>
  <si>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</si>
  <si>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</si>
  <si>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</si>
  <si>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</si>
  <si>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</si>
  <si>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</si>
  <si>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</si>
  <si>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</si>
  <si>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</si>
  <si>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</si>
  <si>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</si>
  <si>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</si>
  <si>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</si>
  <si>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</si>
  <si>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</si>
  <si>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</si>
  <si>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</si>
  <si>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</si>
  <si>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</si>
  <si>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</si>
  <si>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</si>
  <si>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</si>
  <si>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</si>
  <si>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</si>
  <si>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</si>
  <si>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</si>
  <si>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</si>
  <si>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</si>
  <si>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</si>
  <si>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</si>
  <si>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</si>
  <si>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</si>
  <si>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</si>
  <si>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</si>
  <si>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</si>
  <si>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</si>
  <si>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</si>
  <si>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</si>
  <si>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</si>
  <si>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</si>
  <si>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</si>
  <si>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</si>
  <si>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</si>
  <si>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</si>
  <si>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</si>
  <si>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</si>
  <si>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</si>
  <si>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</si>
  <si>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</si>
  <si>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</si>
  <si>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</si>
  <si>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</si>
  <si>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</si>
  <si>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</si>
  <si>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</si>
  <si>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</si>
  <si>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</si>
  <si>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</si>
  <si>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</si>
  <si>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</si>
  <si>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</si>
  <si>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</si>
  <si>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</si>
  <si>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</si>
  <si>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</si>
  <si>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</si>
  <si>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</si>
  <si>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</si>
  <si>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</si>
  <si>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</si>
  <si>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</si>
  <si>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</si>
  <si>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</si>
  <si>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</si>
  <si>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</si>
  <si>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</si>
  <si>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</si>
  <si>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</si>
  <si>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</si>
  <si>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</si>
  <si>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</si>
  <si>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</si>
  <si>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</si>
  <si>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</si>
  <si>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</si>
  <si>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</si>
  <si>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</si>
  <si>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</si>
  <si>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</si>
  <si>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</si>
  <si>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</si>
  <si>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</si>
  <si>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</si>
  <si>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</si>
  <si>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</si>
  <si>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</si>
  <si>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</si>
  <si>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</si>
  <si>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</si>
  <si>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</si>
  <si>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</si>
  <si>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</si>
  <si>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</si>
  <si>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</si>
  <si>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</si>
  <si>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</si>
  <si>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</si>
  <si>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</si>
  <si>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</si>
  <si>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</si>
  <si>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</si>
  <si>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</si>
  <si>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</si>
  <si>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</si>
  <si>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</si>
  <si>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</si>
  <si>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</si>
  <si>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</si>
  <si>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</si>
  <si>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</si>
  <si>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</si>
  <si>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</si>
  <si>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</si>
  <si>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</si>
  <si>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</si>
  <si>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</si>
  <si>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</si>
  <si>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</si>
  <si>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</si>
  <si>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</si>
  <si>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</si>
  <si>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</si>
  <si>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</si>
  <si>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</si>
  <si>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</si>
  <si>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</si>
  <si>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</si>
  <si>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</si>
  <si>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</si>
  <si>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</si>
  <si>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</si>
  <si>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</si>
  <si>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</si>
  <si>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</si>
  <si>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</si>
  <si>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</si>
  <si>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</si>
  <si>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</si>
  <si>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</si>
  <si>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</si>
  <si>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</si>
  <si>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</si>
  <si>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</si>
  <si>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</si>
  <si>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</si>
  <si>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</si>
  <si>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</si>
  <si>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</si>
  <si>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</si>
  <si>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</si>
  <si>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</si>
  <si>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</si>
  <si>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</si>
  <si>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</si>
  <si>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</si>
  <si>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</si>
  <si>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</si>
  <si>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</si>
  <si>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</si>
  <si>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</si>
  <si>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</si>
  <si>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</si>
  <si>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</si>
  <si>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</si>
  <si>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</si>
  <si>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</si>
  <si>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</si>
  <si>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</si>
  <si>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</si>
  <si>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</si>
  <si>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</si>
  <si>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</si>
  <si>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</si>
  <si>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</si>
  <si>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</si>
  <si>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</si>
  <si>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</si>
  <si>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</si>
  <si>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</si>
  <si>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</si>
  <si>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</si>
  <si>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</si>
  <si>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</si>
  <si>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</si>
  <si>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</si>
  <si>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</si>
  <si>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</si>
  <si>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</si>
  <si>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</si>
  <si>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</si>
  <si>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</si>
  <si>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</si>
  <si>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</si>
  <si>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</si>
  <si>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</si>
  <si>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</si>
  <si>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</si>
  <si>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</si>
  <si>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</si>
  <si>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</si>
  <si>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</si>
  <si>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</si>
  <si>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</si>
  <si>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</si>
  <si>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</si>
  <si>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</si>
  <si>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</si>
  <si>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</si>
  <si>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</si>
  <si>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</si>
  <si>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</si>
  <si>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</si>
  <si>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</si>
  <si>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</si>
  <si>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</si>
  <si>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</si>
  <si>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</si>
  <si>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</si>
  <si>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</si>
  <si>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</si>
  <si>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</si>
  <si>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</si>
  <si>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</si>
  <si>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</si>
  <si>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</si>
  <si>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</si>
  <si>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</si>
  <si>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</si>
  <si>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</si>
  <si>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</si>
  <si>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</si>
  <si>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</si>
  <si>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</si>
  <si>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</si>
  <si>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</si>
  <si>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</si>
  <si>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</si>
  <si>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</si>
  <si>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</si>
  <si>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</si>
  <si>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</si>
  <si>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</si>
  <si>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</si>
  <si>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</si>
  <si>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</si>
  <si>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</si>
  <si>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</si>
  <si>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</si>
  <si>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</si>
  <si>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</si>
  <si>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</si>
  <si>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</si>
  <si>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</si>
  <si>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</si>
  <si>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</si>
  <si>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</si>
  <si>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</si>
  <si>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</si>
  <si>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</si>
  <si>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</si>
  <si>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</si>
  <si>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</si>
  <si>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</si>
  <si>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</si>
  <si>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</si>
  <si>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</si>
  <si>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</si>
  <si>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</si>
  <si>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</si>
  <si>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</si>
  <si>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</si>
  <si>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</si>
  <si>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</si>
  <si>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</si>
  <si>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</si>
  <si>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</si>
  <si>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</si>
  <si>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</si>
  <si>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</si>
  <si>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</si>
  <si>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</si>
  <si>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</si>
  <si>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</si>
  <si>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</si>
  <si>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</si>
  <si>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</si>
  <si>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</si>
  <si>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</si>
  <si>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</si>
  <si>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</si>
  <si>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</si>
  <si>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</si>
  <si>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</si>
  <si>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</si>
  <si>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</si>
  <si>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</si>
  <si>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</si>
  <si>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</si>
  <si>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</si>
  <si>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</si>
  <si>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</si>
  <si>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</si>
  <si>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</si>
  <si>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</si>
  <si>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</si>
  <si>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</si>
  <si>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</si>
  <si>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</si>
  <si>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</si>
  <si>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</si>
  <si>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</si>
  <si>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</si>
  <si>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</si>
  <si>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</si>
  <si>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</si>
  <si>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</si>
  <si>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</si>
  <si>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</si>
  <si>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</si>
  <si>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</si>
  <si>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</si>
  <si>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</si>
  <si>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</si>
  <si>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</si>
  <si>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</si>
  <si>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</si>
  <si>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</si>
  <si>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</si>
  <si>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</si>
  <si>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</si>
  <si>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</si>
  <si>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</si>
  <si>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</si>
  <si>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</si>
  <si>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</si>
  <si>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</si>
  <si>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</si>
  <si>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</si>
  <si>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</si>
  <si>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</si>
  <si>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</si>
  <si>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</si>
  <si>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</si>
  <si>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</si>
  <si>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</si>
  <si>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</si>
  <si>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</si>
  <si>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</si>
  <si>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</si>
  <si>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</si>
  <si>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</si>
  <si>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</si>
  <si>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</si>
  <si>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</si>
  <si>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</si>
  <si>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</si>
  <si>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</si>
  <si>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</si>
  <si>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</si>
  <si>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</si>
  <si>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</si>
  <si>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</si>
  <si>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</si>
  <si>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</si>
  <si>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</si>
  <si>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</si>
  <si>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</si>
  <si>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</si>
  <si>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</si>
  <si>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</si>
  <si>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</si>
  <si>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</si>
  <si>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</si>
  <si>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</si>
  <si>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</si>
  <si>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</si>
  <si>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</si>
  <si>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</si>
  <si>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</si>
  <si>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</si>
  <si>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</si>
  <si>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</si>
  <si>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</si>
  <si>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</si>
  <si>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</si>
  <si>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</si>
  <si>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</si>
  <si>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</si>
  <si>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</si>
  <si>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</si>
  <si>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</si>
  <si>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</si>
  <si>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</si>
  <si>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</si>
  <si>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</si>
  <si>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</si>
  <si>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</si>
  <si>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</si>
  <si>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</si>
  <si>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</si>
  <si>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</si>
  <si>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</si>
  <si>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</si>
  <si>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</si>
  <si>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</si>
  <si>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</si>
  <si>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</si>
  <si>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</si>
  <si>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</si>
  <si>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</si>
  <si>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</si>
  <si>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</si>
  <si>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</si>
  <si>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</si>
  <si>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</si>
  <si>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</si>
  <si>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</si>
  <si>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</si>
  <si>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</si>
  <si>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</si>
  <si>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</si>
  <si>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</si>
  <si>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</si>
  <si>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</si>
  <si>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</si>
  <si>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</si>
  <si>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</si>
  <si>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</si>
  <si>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</si>
  <si>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</si>
  <si>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</si>
  <si>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</si>
  <si>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</si>
  <si>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</si>
  <si>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</si>
  <si>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</si>
  <si>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</si>
  <si>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</si>
  <si>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</si>
  <si>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</si>
  <si>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</si>
  <si>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</si>
  <si>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</si>
  <si>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</si>
  <si>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</si>
  <si>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</si>
  <si>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</si>
  <si>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</si>
  <si>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</si>
  <si>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</si>
  <si>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</si>
  <si>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</si>
  <si>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</si>
  <si>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</si>
  <si>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</si>
  <si>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</si>
  <si>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</si>
  <si>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</si>
  <si>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</si>
  <si>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</si>
  <si>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</si>
  <si>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</si>
  <si>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</si>
  <si>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</si>
  <si>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</si>
  <si>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</si>
  <si>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</si>
  <si>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</si>
  <si>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</si>
  <si>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</si>
  <si>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</si>
  <si>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</si>
  <si>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</si>
  <si>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</si>
  <si>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</si>
  <si>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</si>
  <si>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</si>
  <si>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</si>
  <si>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</si>
  <si>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</si>
  <si>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</si>
  <si>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</si>
  <si>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</si>
  <si>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</si>
  <si>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</si>
  <si>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</si>
  <si>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</si>
  <si>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</si>
  <si>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</si>
  <si>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</si>
  <si>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</si>
  <si>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</si>
  <si>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</si>
  <si>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</si>
  <si>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</si>
  <si>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</si>
  <si>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</si>
  <si>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</si>
  <si>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</si>
  <si>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</si>
  <si>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</si>
  <si>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</si>
  <si>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</si>
  <si>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</si>
  <si>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</si>
  <si>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</si>
  <si>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</si>
  <si>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</si>
  <si>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</si>
  <si>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</si>
  <si>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</si>
  <si>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</si>
  <si>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</si>
  <si>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</si>
  <si>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</si>
  <si>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</si>
  <si>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</si>
  <si>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</si>
  <si>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</si>
  <si>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</si>
  <si>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</si>
  <si>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</si>
  <si>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</si>
  <si>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</si>
  <si>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</si>
  <si>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</si>
  <si>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</si>
  <si>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</si>
  <si>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</si>
  <si>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</si>
  <si>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</si>
  <si>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</si>
  <si>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</si>
  <si>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</si>
  <si>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</si>
  <si>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</si>
  <si>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</si>
  <si>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</si>
  <si>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</si>
  <si>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</si>
  <si>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</si>
  <si>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</si>
  <si>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</si>
  <si>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</si>
  <si>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</si>
  <si>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</si>
  <si>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</si>
  <si>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</si>
  <si>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</si>
  <si>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</si>
  <si>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</si>
  <si>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</si>
  <si>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</si>
  <si>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</si>
  <si>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</si>
  <si>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</si>
  <si>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</si>
  <si>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</si>
  <si>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</si>
  <si>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</si>
  <si>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</si>
  <si>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</si>
  <si>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</si>
  <si>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</si>
  <si>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</si>
  <si>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</si>
  <si>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</si>
  <si>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</si>
  <si>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</si>
  <si>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</si>
  <si>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</si>
  <si>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</si>
  <si>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</si>
  <si>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</si>
  <si>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</si>
  <si>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</si>
  <si>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</si>
  <si>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</si>
  <si>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</si>
  <si>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</si>
  <si>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</si>
  <si>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</si>
  <si>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</si>
  <si>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</si>
  <si>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</si>
  <si>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</si>
  <si>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</si>
  <si>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</si>
  <si>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</si>
  <si>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</si>
  <si>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</si>
  <si>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</si>
  <si>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</si>
  <si>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</si>
  <si>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</si>
  <si>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</si>
  <si>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</si>
  <si>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</si>
  <si>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</si>
  <si>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</si>
  <si>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</si>
  <si>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</si>
  <si>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</si>
  <si>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</si>
  <si>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</si>
  <si>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</si>
  <si>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</si>
  <si>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</si>
  <si>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</si>
  <si>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</si>
  <si>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</si>
  <si>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</si>
  <si>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</si>
  <si>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</si>
  <si>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</si>
  <si>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</si>
  <si>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</si>
  <si>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</si>
  <si>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</si>
  <si>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</si>
  <si>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</si>
  <si>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</si>
  <si>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</si>
  <si>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</si>
  <si>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</si>
  <si>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</si>
  <si>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</si>
  <si>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</si>
  <si>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</si>
  <si>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</si>
  <si>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</si>
  <si>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</si>
  <si>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</si>
  <si>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</si>
  <si>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</si>
  <si>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</si>
  <si>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</si>
  <si>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</si>
  <si>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</si>
  <si>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</si>
  <si>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</si>
  <si>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</si>
  <si>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</si>
  <si>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</si>
  <si>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</si>
  <si>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</si>
  <si>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</si>
  <si>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</si>
  <si>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</si>
  <si>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</si>
  <si>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</si>
  <si>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</si>
  <si>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</si>
  <si>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</si>
  <si>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</si>
  <si>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</si>
  <si>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</si>
  <si>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</si>
  <si>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</si>
  <si>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</si>
  <si>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</si>
  <si>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</si>
  <si>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</si>
  <si>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</si>
  <si>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</si>
  <si>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</si>
  <si>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</si>
  <si>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</si>
  <si>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</si>
  <si>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</si>
  <si>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</si>
  <si>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</si>
  <si>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</si>
  <si>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</si>
  <si>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</si>
  <si>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</si>
  <si>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</si>
  <si>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</si>
  <si>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</si>
  <si>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</si>
  <si>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</si>
  <si>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</si>
  <si>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</si>
  <si>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</si>
  <si>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</si>
  <si>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</si>
  <si>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</si>
  <si>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</si>
  <si>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</si>
  <si>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</si>
  <si>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</si>
  <si>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</si>
  <si>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</si>
  <si>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</si>
  <si>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</si>
  <si>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</si>
  <si>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</si>
  <si>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</si>
  <si>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</si>
  <si>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</si>
  <si>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</si>
  <si>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</si>
  <si>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</si>
  <si>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</si>
  <si>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</si>
  <si>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</si>
  <si>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</si>
  <si>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</si>
  <si>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</si>
  <si>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</si>
  <si>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</si>
  <si>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</si>
  <si>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</si>
  <si>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</si>
  <si>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</si>
  <si>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</si>
  <si>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</si>
  <si>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</si>
  <si>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</si>
  <si>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</si>
  <si>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</si>
  <si>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</si>
  <si>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</si>
  <si>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</si>
  <si>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</si>
  <si>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</si>
  <si>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</si>
  <si>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</si>
  <si>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</si>
  <si>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</si>
  <si>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</si>
  <si>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</si>
  <si>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</si>
  <si>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</si>
  <si>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</si>
  <si>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</si>
  <si>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</si>
  <si>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</si>
  <si>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</si>
  <si>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</si>
  <si>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</si>
  <si>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</si>
  <si>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</si>
  <si>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</si>
  <si>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</si>
  <si>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</si>
  <si>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</si>
  <si>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</si>
  <si>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</si>
  <si>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</si>
  <si>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</si>
  <si>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</si>
  <si>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</si>
  <si>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</si>
  <si>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</si>
  <si>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</si>
  <si>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</si>
  <si>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</si>
  <si>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</si>
  <si>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</si>
  <si>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</si>
  <si>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</si>
  <si>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</si>
  <si>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</si>
  <si>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</si>
  <si>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</si>
  <si>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</si>
  <si>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</si>
  <si>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</si>
  <si>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</si>
  <si>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</si>
  <si>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</si>
  <si>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</si>
  <si>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</si>
  <si>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</si>
  <si>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</si>
  <si>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</si>
  <si>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</si>
  <si>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</si>
  <si>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</si>
  <si>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</si>
  <si>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</si>
  <si>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</si>
  <si>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</si>
  <si>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</si>
  <si>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</si>
  <si>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</si>
  <si>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</si>
  <si>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</si>
  <si>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</si>
  <si>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</si>
  <si>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</si>
  <si>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</si>
  <si>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</si>
  <si>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</si>
  <si>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</si>
  <si>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</si>
  <si>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</si>
  <si>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</si>
  <si>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</si>
  <si>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</si>
  <si>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</si>
  <si>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</si>
  <si>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</si>
  <si>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</si>
  <si>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</si>
  <si>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</si>
  <si>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</si>
  <si>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</si>
  <si>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</si>
  <si>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</si>
  <si>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</si>
  <si>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</si>
  <si>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</si>
  <si>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</si>
  <si>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</si>
  <si>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</si>
  <si>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</si>
  <si>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</si>
  <si>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</si>
  <si>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</si>
  <si>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</si>
  <si>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</si>
  <si>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</si>
  <si>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</si>
  <si>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</si>
  <si>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</si>
  <si>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</si>
  <si>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</si>
  <si>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</si>
  <si>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</si>
  <si>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</si>
  <si>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</si>
  <si>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</si>
  <si>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</si>
  <si>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</si>
  <si>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</si>
  <si>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</si>
  <si>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</si>
  <si>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</si>
  <si>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</si>
  <si>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</si>
  <si>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</si>
  <si>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</si>
  <si>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</si>
  <si>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</si>
  <si>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</si>
  <si>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</si>
  <si>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</si>
  <si>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</si>
  <si>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</si>
  <si>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</si>
  <si>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</si>
  <si>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</si>
  <si>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</si>
  <si>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</si>
  <si>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</si>
  <si>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</si>
  <si>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</si>
  <si>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</si>
  <si>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</si>
  <si>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</si>
  <si>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</si>
  <si>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</si>
  <si>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</si>
  <si>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</si>
  <si>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</si>
  <si>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</si>
  <si>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</si>
  <si>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</si>
  <si>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</si>
  <si>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</si>
  <si>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</si>
  <si>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</si>
  <si>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</si>
  <si>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</si>
  <si>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</si>
  <si>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</si>
  <si>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</si>
  <si>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</si>
  <si>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</si>
  <si>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</si>
  <si>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</si>
  <si>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</si>
  <si>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</si>
  <si>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</si>
  <si>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</si>
  <si>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</si>
  <si>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</si>
  <si>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</si>
  <si>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</si>
  <si>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</si>
  <si>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</si>
  <si>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</si>
  <si>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</si>
  <si>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</si>
  <si>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</si>
  <si>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</si>
  <si>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</si>
  <si>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</si>
  <si>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</si>
  <si>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</si>
  <si>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</si>
  <si>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</si>
  <si>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</si>
  <si>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</si>
  <si>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</si>
  <si>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</si>
  <si>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</si>
  <si>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</si>
  <si>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</si>
  <si>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</si>
  <si>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</si>
  <si>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</si>
  <si>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</si>
  <si>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</si>
  <si>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</si>
  <si>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</si>
  <si>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</si>
  <si>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</si>
  <si>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</si>
  <si>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</si>
  <si>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</si>
  <si>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</si>
  <si>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</si>
  <si>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</si>
  <si>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</si>
  <si>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</si>
  <si>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</si>
  <si>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</si>
  <si>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</si>
  <si>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</si>
  <si>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</si>
  <si>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</si>
  <si>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</si>
  <si>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</si>
  <si>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</si>
  <si>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</si>
  <si>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</si>
  <si>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</si>
  <si>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</si>
  <si>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</si>
  <si>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</si>
  <si>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</si>
  <si>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</si>
  <si>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</si>
  <si>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</si>
  <si>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</si>
  <si>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</si>
  <si>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</si>
  <si>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</si>
  <si>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</si>
  <si>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</si>
  <si>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</si>
  <si>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</si>
  <si>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</si>
  <si>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</si>
  <si>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</si>
  <si>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</si>
  <si>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</si>
  <si>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</si>
  <si>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</si>
  <si>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</si>
  <si>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</si>
  <si>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</si>
  <si>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</si>
  <si>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</si>
  <si>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</si>
  <si>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</si>
  <si>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</si>
  <si>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</si>
  <si>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</si>
  <si>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</si>
  <si>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</si>
  <si>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</si>
  <si>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</si>
  <si>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</si>
  <si>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</si>
  <si>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</si>
  <si>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</si>
  <si>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</si>
  <si>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</si>
  <si>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</si>
  <si>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</si>
  <si>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</si>
  <si>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</si>
  <si>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</si>
  <si>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</si>
  <si>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</si>
  <si>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</si>
  <si>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</si>
  <si>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</si>
  <si>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</si>
  <si>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</si>
  <si>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</si>
  <si>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</si>
  <si>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</si>
  <si>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</si>
  <si>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</si>
  <si>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</si>
  <si>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</si>
  <si>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</si>
  <si>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</si>
  <si>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</si>
  <si>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</si>
  <si>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</si>
  <si>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</si>
  <si>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</si>
  <si>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</si>
  <si>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</si>
  <si>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</si>
  <si>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</si>
  <si>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</si>
  <si>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</si>
  <si>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</si>
  <si>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</si>
  <si>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</si>
  <si>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</si>
  <si>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</si>
  <si>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</si>
  <si>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</si>
  <si>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</si>
  <si>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</si>
  <si>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</si>
  <si>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</si>
  <si>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</si>
  <si>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</si>
  <si>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</si>
  <si>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</si>
  <si>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</si>
  <si>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</si>
  <si>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</si>
  <si>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</si>
  <si>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</si>
  <si>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</si>
  <si>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</si>
  <si>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</si>
  <si>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</si>
  <si>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</si>
  <si>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</si>
  <si>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</si>
  <si>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</si>
  <si>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</si>
  <si>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</si>
  <si>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</si>
  <si>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</si>
  <si>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</si>
  <si>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</si>
  <si>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</si>
  <si>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</si>
  <si>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</si>
  <si>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</si>
  <si>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</si>
  <si>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</si>
  <si>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</si>
  <si>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</si>
  <si>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</si>
  <si>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</si>
  <si>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</si>
  <si>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</si>
  <si>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</si>
  <si>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</si>
  <si>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</si>
  <si>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</si>
  <si>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</si>
  <si>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</si>
  <si>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</si>
  <si>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</si>
  <si>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</si>
  <si>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</si>
  <si>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</si>
  <si>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</si>
  <si>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</si>
  <si>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</si>
  <si>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</si>
  <si>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</si>
  <si>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</si>
  <si>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</si>
  <si>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</si>
  <si>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</si>
  <si>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</si>
  <si>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</si>
  <si>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</si>
  <si>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</si>
  <si>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</si>
  <si>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</si>
  <si>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</si>
  <si>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</si>
  <si>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</si>
  <si>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</si>
  <si>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</si>
  <si>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</si>
  <si>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</si>
  <si>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</si>
  <si>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</si>
  <si>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</si>
  <si>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</si>
  <si>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</si>
  <si>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</si>
  <si>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</si>
  <si>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</si>
  <si>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</si>
  <si>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</si>
  <si>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</si>
  <si>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</si>
  <si>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</si>
  <si>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</si>
  <si>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</si>
  <si>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</si>
  <si>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</si>
  <si>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</si>
  <si>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</si>
  <si>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</si>
  <si>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</si>
  <si>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</si>
  <si>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</si>
  <si>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</si>
  <si>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</si>
  <si>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</si>
  <si>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</si>
  <si>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</si>
  <si>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</si>
  <si>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</si>
  <si>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</si>
  <si>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</si>
  <si>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</si>
  <si>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</si>
  <si>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</si>
  <si>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</si>
  <si>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</si>
  <si>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</si>
  <si>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</si>
  <si>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</si>
  <si>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</si>
  <si>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</si>
  <si>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</si>
  <si>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</si>
  <si>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</si>
  <si>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</si>
  <si>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</si>
  <si>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</si>
  <si>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</si>
  <si>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</si>
  <si>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</si>
  <si>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</si>
  <si>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</si>
  <si>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</si>
  <si>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</si>
  <si>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</si>
  <si>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</si>
  <si>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</si>
  <si>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</si>
  <si>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</si>
  <si>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</si>
  <si>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</si>
  <si>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</si>
  <si>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</si>
  <si>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</si>
  <si>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</si>
  <si>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</si>
  <si>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</si>
  <si>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</si>
  <si>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</si>
  <si>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</si>
  <si>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</si>
  <si>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</si>
  <si>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</si>
  <si>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</si>
  <si>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</si>
  <si>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</si>
  <si>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</si>
  <si>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</si>
  <si>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</si>
  <si>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</si>
  <si>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</si>
  <si>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</si>
  <si>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</si>
  <si>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</si>
  <si>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</si>
  <si>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</si>
  <si>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</si>
  <si>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</si>
  <si>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</si>
  <si>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</si>
  <si>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</si>
  <si>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</si>
  <si>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</si>
  <si>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</si>
  <si>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</si>
  <si>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</si>
  <si>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</si>
  <si>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</si>
  <si>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</si>
  <si>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</si>
  <si>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</si>
  <si>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</si>
  <si>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</si>
  <si>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</si>
  <si>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</si>
  <si>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</si>
  <si>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</si>
  <si>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</si>
  <si>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</si>
  <si>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</si>
  <si>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</si>
  <si>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</si>
  <si>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</si>
  <si>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</si>
  <si>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</si>
  <si>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</si>
  <si>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</si>
  <si>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</si>
  <si>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</si>
  <si>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</si>
  <si>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</si>
  <si>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</si>
  <si>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</si>
  <si>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</si>
  <si>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</si>
  <si>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</si>
  <si>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</si>
  <si>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</si>
  <si>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</si>
  <si>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</si>
  <si>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</si>
  <si>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</si>
  <si>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</si>
  <si>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</si>
  <si>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</si>
  <si>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</si>
  <si>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</si>
  <si>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</si>
  <si>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</si>
  <si>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</si>
  <si>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</si>
  <si>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</si>
  <si>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</si>
  <si>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</si>
  <si>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</si>
  <si>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</si>
  <si>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</si>
  <si>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</si>
  <si>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</si>
  <si>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</si>
  <si>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</si>
  <si>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</si>
  <si>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</si>
  <si>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</si>
  <si>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</si>
  <si>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</si>
  <si>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</si>
  <si>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</si>
  <si>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</si>
  <si>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</si>
  <si>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</si>
  <si>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</si>
  <si>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</si>
  <si>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</si>
  <si>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</si>
  <si>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</si>
  <si>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</si>
  <si>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</si>
  <si>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</si>
  <si>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</si>
  <si>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</si>
  <si>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</si>
  <si>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</si>
  <si>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</si>
  <si>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</si>
  <si>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</si>
  <si>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</si>
  <si>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</si>
  <si>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</si>
  <si>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</si>
  <si>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</si>
  <si>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</si>
  <si>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</si>
  <si>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</si>
  <si>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</si>
  <si>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</si>
  <si>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</si>
  <si>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</si>
  <si>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</si>
  <si>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</si>
  <si>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</si>
  <si>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</si>
  <si>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</si>
  <si>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</si>
  <si>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</si>
  <si>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</si>
  <si>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</si>
  <si>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</si>
  <si>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</si>
  <si>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</si>
  <si>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</si>
  <si>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</si>
  <si>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</si>
  <si>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</si>
  <si>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</si>
  <si>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</si>
  <si>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</si>
  <si>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</si>
  <si>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</si>
  <si>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</si>
  <si>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</si>
  <si>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</si>
  <si>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</si>
  <si>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</si>
  <si>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</si>
  <si>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</si>
  <si>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</si>
  <si>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</si>
  <si>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</si>
  <si>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</si>
  <si>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</si>
  <si>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</si>
  <si>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</si>
  <si>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</si>
  <si>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</si>
  <si>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</si>
  <si>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</si>
  <si>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</si>
  <si>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</si>
  <si>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</si>
  <si>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</si>
  <si>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</si>
  <si>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</si>
  <si>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</si>
  <si>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</si>
  <si>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</si>
  <si>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</si>
  <si>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</si>
  <si>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</si>
  <si>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</si>
  <si>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</si>
  <si>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</si>
  <si>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</si>
  <si>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</si>
  <si>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</si>
  <si>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</si>
  <si>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</si>
  <si>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</si>
  <si>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</si>
  <si>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</si>
  <si>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</si>
  <si>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</si>
  <si>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</si>
  <si>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</si>
  <si>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</si>
  <si>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</si>
  <si>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</si>
  <si>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</si>
  <si>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</si>
  <si>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</si>
  <si>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</si>
  <si>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</si>
  <si>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</si>
  <si>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</si>
  <si>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</si>
  <si>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</si>
  <si>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</si>
  <si>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</si>
  <si>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</si>
  <si>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</si>
  <si>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</si>
  <si>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</si>
  <si>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</si>
  <si>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</si>
  <si>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8931 FULLERTON AVENUE</t>
  </si>
  <si>
    <t>RIVER GROVE</t>
  </si>
  <si>
    <t>EVOY, KAMSCHULTE, JACOBS &amp; CO. LLP</t>
  </si>
  <si>
    <t>JAMES HENRY, CPA</t>
  </si>
  <si>
    <t>2122 YEOMAN STREET</t>
  </si>
  <si>
    <t>WAUKEGAN</t>
  </si>
  <si>
    <t>IL</t>
  </si>
  <si>
    <t>847-662-8305</t>
  </si>
  <si>
    <t>847-662-8300</t>
  </si>
  <si>
    <t>JHENRY@EKJLLP.COM</t>
  </si>
  <si>
    <t>066-003289</t>
  </si>
  <si>
    <t>Evoy, Kamschulte, Jacobs &amp; Co. LLP</t>
  </si>
  <si>
    <t>2007 WORKING CASH FUND BONDS</t>
  </si>
  <si>
    <t>Leyden Area Special Education Cooperative</t>
  </si>
  <si>
    <t>IL School District Liquid Asset Fund</t>
  </si>
  <si>
    <t>Collective Liability Insurance Coop, Educational Benefit Insurance Coop</t>
  </si>
  <si>
    <t>ED-Board of Educ Services-Purch Svcs</t>
  </si>
  <si>
    <t>10-2300-300</t>
  </si>
  <si>
    <t>Barry &amp; Associates Consulting</t>
  </si>
  <si>
    <t>Rhodes SD 84-5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</si>
</sst>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2260023</xdr:colOff>
          <xdr:row>4</xdr:row>
          <xdr:rowOff>17318</xdr:rowOff>
        </xdr:from>
        <xdr:to>
          <xdr:col>1</xdr:col>
          <xdr:colOff>3133725</xdr:colOff>
          <xdr:row>7</xdr:row>
          <xdr:rowOff>45893</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6016084502</v>
      </c>
      <c r="B13" s="2005"/>
      <c r="C13" s="2005"/>
      <c r="D13" s="2005"/>
      <c r="E13" s="2005"/>
      <c r="F13" s="2005"/>
      <c r="G13" s="2005"/>
      <c r="H13" s="2006"/>
      <c r="I13" s="31"/>
      <c r="J13" s="30"/>
      <c r="K13" s="28"/>
      <c r="L13" s="30"/>
      <c r="M13" s="30"/>
      <c r="N13" s="30"/>
      <c r="O13" s="30"/>
      <c r="P13" s="30"/>
      <c r="Q13" s="30"/>
      <c r="R13" s="30"/>
      <c r="S13" s="30"/>
      <c r="T13" s="2009" t="s">
        <v>2081</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2082</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2098</v>
      </c>
      <c r="B17" s="2032"/>
      <c r="C17" s="2032"/>
      <c r="D17" s="2032"/>
      <c r="E17" s="2032"/>
      <c r="F17" s="2032"/>
      <c r="G17" s="2032"/>
      <c r="H17" s="2033"/>
      <c r="T17" s="2019" t="s">
        <v>2083</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2084</v>
      </c>
      <c r="U19" s="2000"/>
      <c r="V19" s="2000"/>
      <c r="W19" s="2001"/>
      <c r="X19" s="2017" t="s">
        <v>2085</v>
      </c>
      <c r="Y19" s="2018"/>
      <c r="Z19" s="2015">
        <v>60087</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2086</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2089</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60717</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v>7084531266</v>
      </c>
      <c r="B42" s="2049"/>
      <c r="C42" s="2050"/>
      <c r="D42" s="2063">
        <v>7084530817</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6088381</v>
      </c>
      <c r="C4" s="1546">
        <v>3554068</v>
      </c>
      <c r="D4" s="1774">
        <f>B4-C4</f>
        <v>2534313</v>
      </c>
      <c r="E4" s="1546">
        <v>7060541</v>
      </c>
      <c r="F4" s="1774">
        <f>E4-C4</f>
        <v>3506473</v>
      </c>
    </row>
    <row r="5" spans="1:6" ht="13.7" customHeight="1" x14ac:dyDescent="0.2">
      <c r="A5" s="716" t="s">
        <v>925</v>
      </c>
      <c r="B5" s="1772">
        <f>'Revenues 9-14'!D5</f>
        <v>926836</v>
      </c>
      <c r="C5" s="585">
        <v>528312</v>
      </c>
      <c r="D5" s="1775">
        <f t="shared" ref="D5:D18" si="0">B5-C5</f>
        <v>398524</v>
      </c>
      <c r="E5" s="585">
        <v>1049556</v>
      </c>
      <c r="F5" s="1775">
        <f>E5-C5</f>
        <v>521244</v>
      </c>
    </row>
    <row r="6" spans="1:6" ht="13.7" customHeight="1" x14ac:dyDescent="0.2">
      <c r="A6" s="716" t="s">
        <v>431</v>
      </c>
      <c r="B6" s="1772">
        <f>'Revenues 9-14'!E5</f>
        <v>425031</v>
      </c>
      <c r="C6" s="585">
        <v>243245</v>
      </c>
      <c r="D6" s="1775">
        <f t="shared" si="0"/>
        <v>181786</v>
      </c>
      <c r="E6" s="585">
        <v>468799</v>
      </c>
      <c r="F6" s="1775">
        <f t="shared" ref="F6:F18" si="1">E6-C6</f>
        <v>225554</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71815</v>
      </c>
      <c r="C8" s="585"/>
      <c r="D8" s="1775">
        <f t="shared" si="0"/>
        <v>71815</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59918</v>
      </c>
      <c r="C10" s="585">
        <v>23990</v>
      </c>
      <c r="D10" s="1775">
        <f t="shared" si="0"/>
        <v>35928</v>
      </c>
      <c r="E10" s="585">
        <v>47725</v>
      </c>
      <c r="F10" s="1775">
        <f t="shared" si="1"/>
        <v>23735</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625736</v>
      </c>
      <c r="C14" s="585">
        <v>336215</v>
      </c>
      <c r="D14" s="1775">
        <f t="shared" si="0"/>
        <v>289521</v>
      </c>
      <c r="E14" s="585">
        <v>667955</v>
      </c>
      <c r="F14" s="1775">
        <f t="shared" si="1"/>
        <v>331740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71815</v>
      </c>
      <c r="C16" s="585"/>
      <c r="D16" s="1775">
        <f t="shared" si="0"/>
        <v>71815</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8269532</v>
      </c>
      <c r="C19" s="1773">
        <f>SUM(C4:C18)</f>
        <v>4685830</v>
      </c>
      <c r="D19" s="1773">
        <f>SUM(D4:D18)</f>
        <v>3583702</v>
      </c>
      <c r="E19" s="1773">
        <f>SUM(E4:E18)</f>
        <v>9294576</v>
      </c>
      <c r="F19" s="1773">
        <f>SUM(F4:F18)</f>
        <v>4608746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A37" sqref="A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39083</v>
      </c>
      <c r="C31" s="735">
        <v>5625000</v>
      </c>
      <c r="D31" s="736">
        <v>1</v>
      </c>
      <c r="E31" s="735">
        <v>3545000</v>
      </c>
      <c r="F31" s="735"/>
      <c r="G31" s="735"/>
      <c r="H31" s="735">
        <v>290000</v>
      </c>
      <c r="I31" s="1778">
        <f>((E31+F31)-H31)+G31</f>
        <v>3255000</v>
      </c>
      <c r="J31" s="735">
        <v>2945176</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5625000</v>
      </c>
      <c r="D49" s="746"/>
      <c r="E49" s="1778">
        <f t="shared" ref="E49:J49" si="2">SUM(E31:E48)</f>
        <v>3545000</v>
      </c>
      <c r="F49" s="1778">
        <f t="shared" si="2"/>
        <v>0</v>
      </c>
      <c r="G49" s="1778">
        <f t="shared" si="2"/>
        <v>0</v>
      </c>
      <c r="H49" s="1778">
        <f t="shared" si="2"/>
        <v>290000</v>
      </c>
      <c r="I49" s="1778">
        <f t="shared" si="2"/>
        <v>3255000</v>
      </c>
      <c r="J49" s="1778">
        <f t="shared" si="2"/>
        <v>2945176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v>0</v>
      </c>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625736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625736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625736</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625736</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1" sqref="I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7000</v>
      </c>
      <c r="D5" s="842"/>
      <c r="E5" s="842"/>
      <c r="F5" s="1782">
        <f>(C5+D5)-E5</f>
        <v>7000</v>
      </c>
      <c r="G5" s="838"/>
      <c r="H5" s="843"/>
      <c r="I5" s="843"/>
      <c r="J5" s="843"/>
      <c r="K5" s="794"/>
      <c r="L5" s="1791">
        <f>F5-K5</f>
        <v>7000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17791210</v>
      </c>
      <c r="D8" s="845">
        <v>100784</v>
      </c>
      <c r="E8" s="845"/>
      <c r="F8" s="1782">
        <f>(C8+D8)-E8</f>
        <v>17891994</v>
      </c>
      <c r="G8" s="844">
        <v>50</v>
      </c>
      <c r="H8" s="766">
        <v>5830542</v>
      </c>
      <c r="I8" s="766">
        <v>356834</v>
      </c>
      <c r="J8" s="766"/>
      <c r="K8" s="1791">
        <f>(H8+I8)-J8</f>
        <v>6187376</v>
      </c>
      <c r="L8" s="1791">
        <f>F8-K8</f>
        <v>11704618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235877</v>
      </c>
      <c r="D10" s="847">
        <v>49485</v>
      </c>
      <c r="E10" s="847"/>
      <c r="F10" s="1786">
        <f>(C10+D10)-E10</f>
        <v>285362</v>
      </c>
      <c r="G10" s="844">
        <v>20</v>
      </c>
      <c r="H10" s="848">
        <v>211648</v>
      </c>
      <c r="I10" s="848">
        <v>2868</v>
      </c>
      <c r="J10" s="848"/>
      <c r="K10" s="1791">
        <f>(H10+I10)-J10</f>
        <v>214516</v>
      </c>
      <c r="L10" s="1791">
        <f>F10-K10</f>
        <v>70846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3481325</v>
      </c>
      <c r="D12" s="845">
        <v>132489</v>
      </c>
      <c r="E12" s="845"/>
      <c r="F12" s="1782">
        <f>(C12+D12)-E12</f>
        <v>3613814</v>
      </c>
      <c r="G12" s="844">
        <v>10</v>
      </c>
      <c r="H12" s="766">
        <v>2828484</v>
      </c>
      <c r="I12" s="766">
        <v>105628</v>
      </c>
      <c r="J12" s="766"/>
      <c r="K12" s="1791">
        <f>(H12+I12)-J12</f>
        <v>2934112</v>
      </c>
      <c r="L12" s="1791">
        <f>F12-K12</f>
        <v>679702</v>
      </c>
    </row>
    <row r="13" spans="1:14" ht="14.25" thickTop="1" thickBot="1" x14ac:dyDescent="0.25">
      <c r="A13" s="849" t="s">
        <v>1184</v>
      </c>
      <c r="B13" s="841">
        <v>252</v>
      </c>
      <c r="C13" s="845">
        <v>643203</v>
      </c>
      <c r="D13" s="845">
        <v>3500</v>
      </c>
      <c r="E13" s="845"/>
      <c r="F13" s="1782">
        <f>(C13+D13)-E13</f>
        <v>646703</v>
      </c>
      <c r="G13" s="844">
        <v>5</v>
      </c>
      <c r="H13" s="766">
        <v>566861</v>
      </c>
      <c r="I13" s="766">
        <v>23542</v>
      </c>
      <c r="J13" s="766"/>
      <c r="K13" s="1791">
        <f>(H13+I13)-J13</f>
        <v>590403</v>
      </c>
      <c r="L13" s="1791">
        <f>F13-K13</f>
        <v>56300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52305</v>
      </c>
      <c r="E15" s="845"/>
      <c r="F15" s="1782">
        <f>(C15+D15)-E15</f>
        <v>52305</v>
      </c>
      <c r="G15" s="850" t="s">
        <v>917</v>
      </c>
      <c r="H15" s="782"/>
      <c r="I15" s="782"/>
      <c r="J15" s="782"/>
      <c r="K15" s="782"/>
      <c r="L15" s="1791">
        <f>F15-K15</f>
        <v>52305</v>
      </c>
    </row>
    <row r="16" spans="1:14" ht="15" customHeight="1" thickTop="1" thickBot="1" x14ac:dyDescent="0.25">
      <c r="A16" s="1787" t="s">
        <v>664</v>
      </c>
      <c r="B16" s="1788">
        <v>200</v>
      </c>
      <c r="C16" s="1782">
        <f>SUM(C3,C5:C6,C8:C10,C12:C15)</f>
        <v>22158615</v>
      </c>
      <c r="D16" s="1782">
        <f>SUM(D3,D5:D6,D8:D10,D12:D15)</f>
        <v>338563</v>
      </c>
      <c r="E16" s="1782">
        <f>SUM(E3,E5:E6,E8:E10,E12:E15)</f>
        <v>0</v>
      </c>
      <c r="F16" s="1782">
        <f>SUM(F3,F5:F6,F8:F10,F12:F15)</f>
        <v>22497178</v>
      </c>
      <c r="G16" s="844"/>
      <c r="H16" s="1782">
        <f>SUM(H3,H6,H8:H10,H12:H14,)</f>
        <v>9437535</v>
      </c>
      <c r="I16" s="1782">
        <f>SUM(I3,I6,I8:I10,I12:I14,)</f>
        <v>488872</v>
      </c>
      <c r="J16" s="1782">
        <f>SUM(J3,J6,J8:J10,J12:J14,)</f>
        <v>0</v>
      </c>
      <c r="K16" s="1782">
        <f>(H16+I16)-J16</f>
        <v>9926407</v>
      </c>
      <c r="L16" s="1782">
        <f>F16-K16</f>
        <v>12570771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488872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A47" sqref="A47"/>
      <selection pane="bottomLeft" activeCell="F165" sqref="F16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8359751</v>
      </c>
      <c r="G8" s="866"/>
    </row>
    <row r="9" spans="1:7" x14ac:dyDescent="0.2">
      <c r="A9" s="870" t="s">
        <v>480</v>
      </c>
      <c r="B9" s="871" t="s">
        <v>1989</v>
      </c>
      <c r="C9" s="872"/>
      <c r="D9" s="870" t="s">
        <v>522</v>
      </c>
      <c r="E9" s="869"/>
      <c r="F9" s="1935">
        <f>'Expenditures 15-22'!K151</f>
        <v>1076254</v>
      </c>
      <c r="G9" s="873"/>
    </row>
    <row r="10" spans="1:7" x14ac:dyDescent="0.2">
      <c r="A10" s="870" t="s">
        <v>520</v>
      </c>
      <c r="B10" s="871" t="s">
        <v>1990</v>
      </c>
      <c r="C10" s="872"/>
      <c r="D10" s="870" t="s">
        <v>522</v>
      </c>
      <c r="E10" s="869"/>
      <c r="F10" s="1935">
        <f>'Expenditures 15-22'!K174</f>
        <v>443000</v>
      </c>
      <c r="G10" s="873"/>
    </row>
    <row r="11" spans="1:7" x14ac:dyDescent="0.2">
      <c r="A11" s="870" t="s">
        <v>481</v>
      </c>
      <c r="B11" s="871" t="s">
        <v>1991</v>
      </c>
      <c r="C11" s="872"/>
      <c r="D11" s="870" t="s">
        <v>522</v>
      </c>
      <c r="E11" s="869"/>
      <c r="F11" s="1935">
        <f>'Expenditures 15-22'!K210</f>
        <v>621810</v>
      </c>
      <c r="G11" s="873"/>
    </row>
    <row r="12" spans="1:7" x14ac:dyDescent="0.2">
      <c r="A12" s="870" t="s">
        <v>482</v>
      </c>
      <c r="B12" s="871" t="s">
        <v>1992</v>
      </c>
      <c r="C12" s="872"/>
      <c r="D12" s="870" t="s">
        <v>522</v>
      </c>
      <c r="E12" s="869"/>
      <c r="F12" s="1935">
        <f>'Expenditures 15-22'!K295</f>
        <v>392036</v>
      </c>
      <c r="G12" s="873"/>
    </row>
    <row r="13" spans="1:7" x14ac:dyDescent="0.2">
      <c r="A13" s="870" t="s">
        <v>108</v>
      </c>
      <c r="B13" s="871" t="s">
        <v>1993</v>
      </c>
      <c r="C13" s="872"/>
      <c r="D13" s="870" t="s">
        <v>522</v>
      </c>
      <c r="E13" s="869"/>
      <c r="F13" s="1935">
        <f>'Expenditures 15-22'!K342</f>
        <v>88872</v>
      </c>
      <c r="G13" s="874"/>
    </row>
    <row r="14" spans="1:7" ht="12" customHeight="1" thickBot="1" x14ac:dyDescent="0.25">
      <c r="A14" s="1792"/>
      <c r="B14" s="1793"/>
      <c r="C14" s="1794"/>
      <c r="D14" s="1795" t="s">
        <v>522</v>
      </c>
      <c r="E14" s="1796" t="s">
        <v>1015</v>
      </c>
      <c r="F14" s="1797">
        <f>SUM(F8:F13)</f>
        <v>10981723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283612</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45405</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145843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44</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106634</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1500</v>
      </c>
      <c r="G52" s="866"/>
    </row>
    <row r="53" spans="1:7" x14ac:dyDescent="0.2">
      <c r="A53" s="870" t="s">
        <v>479</v>
      </c>
      <c r="B53" s="870" t="s">
        <v>1551</v>
      </c>
      <c r="C53" s="890">
        <f>'Expenditures 15-22'!B102</f>
        <v>4000</v>
      </c>
      <c r="D53" s="889" t="str">
        <f>'Expenditures 15-22'!A102</f>
        <v>Total Payments to Other Govt Units</v>
      </c>
      <c r="E53" s="869"/>
      <c r="F53" s="1939">
        <f>'Expenditures 15-22'!K102</f>
        <v>730394</v>
      </c>
      <c r="G53" s="866"/>
    </row>
    <row r="54" spans="1:7" x14ac:dyDescent="0.2">
      <c r="A54" s="870" t="s">
        <v>479</v>
      </c>
      <c r="B54" s="870" t="s">
        <v>1552</v>
      </c>
      <c r="C54" s="890" t="s">
        <v>1039</v>
      </c>
      <c r="D54" s="886" t="s">
        <v>1157</v>
      </c>
      <c r="E54" s="869"/>
      <c r="F54" s="1939">
        <f>'Expenditures 15-22'!G114</f>
        <v>77523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257540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290000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3500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6494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1948489</v>
      </c>
      <c r="G76" s="866"/>
    </row>
    <row r="77" spans="1:8" s="894" customFormat="1" ht="12" customHeight="1" thickTop="1" thickBot="1" x14ac:dyDescent="0.25">
      <c r="A77" s="1801"/>
      <c r="B77" s="1798"/>
      <c r="C77" s="1794"/>
      <c r="D77" s="1799" t="s">
        <v>2012</v>
      </c>
      <c r="E77" s="1796"/>
      <c r="F77" s="1802">
        <f>(F14-F76)</f>
        <v>9033234</v>
      </c>
      <c r="G77" s="870"/>
    </row>
    <row r="78" spans="1:8" s="894" customFormat="1" ht="12" customHeight="1" thickTop="1" x14ac:dyDescent="0.2">
      <c r="A78" s="1803"/>
      <c r="B78" s="1798"/>
      <c r="C78" s="1794"/>
      <c r="D78" s="1799" t="s">
        <v>2059</v>
      </c>
      <c r="E78" s="1796"/>
      <c r="F78" s="899">
        <v>582.77</v>
      </c>
      <c r="G78" s="900"/>
      <c r="H78" s="870"/>
    </row>
    <row r="79" spans="1:8" s="894" customFormat="1" ht="12" customHeight="1" thickBot="1" x14ac:dyDescent="0.25">
      <c r="A79" s="1804"/>
      <c r="B79" s="1798"/>
      <c r="C79" s="1794"/>
      <c r="D79" s="1799" t="s">
        <v>2013</v>
      </c>
      <c r="E79" s="1796" t="s">
        <v>1015</v>
      </c>
      <c r="F79" s="1805">
        <f>IF(F78&gt;0,F77/F78," Complete Line 78")</f>
        <v>15500.513066904612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58250</v>
      </c>
      <c r="G94" s="913"/>
    </row>
    <row r="95" spans="1:7" x14ac:dyDescent="0.2">
      <c r="A95" s="909" t="s">
        <v>142</v>
      </c>
      <c r="B95" s="909" t="s">
        <v>177</v>
      </c>
      <c r="C95" s="911">
        <v>1700</v>
      </c>
      <c r="D95" s="919" t="str">
        <f>'Revenues 9-14'!A82</f>
        <v>Total District/School Activity Income</v>
      </c>
      <c r="E95" s="907"/>
      <c r="F95" s="1811">
        <f>SUM('Revenues 9-14'!C82,'Revenues 9-14'!D82)</f>
        <v>5771</v>
      </c>
      <c r="G95" s="913"/>
    </row>
    <row r="96" spans="1:7" x14ac:dyDescent="0.2">
      <c r="A96" s="909" t="s">
        <v>479</v>
      </c>
      <c r="B96" s="909" t="s">
        <v>178</v>
      </c>
      <c r="C96" s="911">
        <f>'Revenues 9-14'!B84</f>
        <v>1811</v>
      </c>
      <c r="D96" s="912" t="str">
        <f>'Revenues 9-14'!A84</f>
        <v>Rentals - Regular Textbooks</v>
      </c>
      <c r="E96" s="907"/>
      <c r="F96" s="1811">
        <f>'Revenues 9-14'!C84</f>
        <v>23733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18013</v>
      </c>
      <c r="G103" s="913"/>
    </row>
    <row r="104" spans="1:7" x14ac:dyDescent="0.2">
      <c r="A104" s="909" t="s">
        <v>479</v>
      </c>
      <c r="B104" s="909" t="s">
        <v>841</v>
      </c>
      <c r="C104" s="911">
        <f>'Revenues 9-14'!B106</f>
        <v>1993</v>
      </c>
      <c r="D104" s="912" t="str">
        <f>'Revenues 9-14'!A106</f>
        <v>Other Local Fees (Describe &amp; Itemize)</v>
      </c>
      <c r="E104" s="907"/>
      <c r="F104" s="1811">
        <f>('Revenues 9-14'!C106)</f>
        <v>48340</v>
      </c>
      <c r="G104" s="913"/>
    </row>
    <row r="105" spans="1:7" x14ac:dyDescent="0.2">
      <c r="A105" s="909" t="s">
        <v>524</v>
      </c>
      <c r="B105" s="909" t="s">
        <v>842</v>
      </c>
      <c r="C105" s="914">
        <v>3100</v>
      </c>
      <c r="D105" s="920" t="str">
        <f>'Revenues 9-14'!A131</f>
        <v>Total Special Education</v>
      </c>
      <c r="E105" s="907"/>
      <c r="F105" s="1811">
        <f>SUM('Revenues 9-14'!C131:D131,'Revenues 9-14'!F131)</f>
        <v>176243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1305</v>
      </c>
      <c r="G106" s="913"/>
    </row>
    <row r="107" spans="1:7" x14ac:dyDescent="0.2">
      <c r="A107" s="922" t="s">
        <v>685</v>
      </c>
      <c r="B107" s="909" t="s">
        <v>843</v>
      </c>
      <c r="C107" s="921">
        <v>3300</v>
      </c>
      <c r="D107" s="912" t="str">
        <f>'Revenues 9-14'!A144</f>
        <v>Total Bilingual Ed</v>
      </c>
      <c r="E107" s="907"/>
      <c r="F107" s="1811">
        <f>SUM('Revenues 9-14'!C144,'Revenues 9-14'!G144)</f>
        <v>82419</v>
      </c>
      <c r="G107" s="913"/>
    </row>
    <row r="108" spans="1:7" x14ac:dyDescent="0.2">
      <c r="A108" s="909" t="s">
        <v>479</v>
      </c>
      <c r="B108" s="909" t="s">
        <v>844</v>
      </c>
      <c r="C108" s="921">
        <f>'Revenues 9-14'!B145</f>
        <v>3360</v>
      </c>
      <c r="D108" s="912" t="str">
        <f>'Revenues 9-14'!A145</f>
        <v>State Free Lunch &amp; Breakfast</v>
      </c>
      <c r="E108" s="907"/>
      <c r="F108" s="1811">
        <f>'Revenues 9-14'!C145</f>
        <v>3994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270188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31921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261248</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287505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93101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1239</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22103</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13985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11427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81232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200295</v>
      </c>
      <c r="G175" s="928"/>
    </row>
    <row r="176" spans="1:7" x14ac:dyDescent="0.2">
      <c r="A176" s="1944" t="s">
        <v>685</v>
      </c>
      <c r="B176" s="1945" t="s">
        <v>2058</v>
      </c>
      <c r="C176" s="1946">
        <v>3300</v>
      </c>
      <c r="D176" s="1947" t="s">
        <v>2062</v>
      </c>
      <c r="E176" s="907"/>
      <c r="F176" s="1931">
        <v>84636</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1776948</v>
      </c>
    </row>
    <row r="179" spans="1:7" ht="12" customHeight="1" x14ac:dyDescent="0.2">
      <c r="A179" s="1792"/>
      <c r="B179" s="1806"/>
      <c r="C179" s="1807"/>
      <c r="D179" s="1808" t="s">
        <v>2015</v>
      </c>
      <c r="E179" s="1809"/>
      <c r="F179" s="1811">
        <f>'PCTC-OEPP 27-28'!F77-F178</f>
        <v>7256286</v>
      </c>
    </row>
    <row r="180" spans="1:7" ht="12" customHeight="1" x14ac:dyDescent="0.2">
      <c r="A180" s="1792"/>
      <c r="B180" s="1806"/>
      <c r="C180" s="1807"/>
      <c r="D180" s="1808" t="s">
        <v>1924</v>
      </c>
      <c r="E180" s="1809"/>
      <c r="F180" s="1811">
        <f>'Cap Outlay Deprec 26'!I18</f>
        <v>488872</v>
      </c>
    </row>
    <row r="181" spans="1:7" ht="12" customHeight="1" x14ac:dyDescent="0.2">
      <c r="A181" s="1792"/>
      <c r="B181" s="1806"/>
      <c r="C181" s="1807"/>
      <c r="D181" s="1808" t="s">
        <v>2016</v>
      </c>
      <c r="E181" s="1809"/>
      <c r="F181" s="1811">
        <f>F179+F180</f>
        <v>7745158</v>
      </c>
    </row>
    <row r="182" spans="1:7" ht="12" customHeight="1" x14ac:dyDescent="0.2">
      <c r="A182" s="1792"/>
      <c r="B182" s="1812"/>
      <c r="C182" s="1807"/>
      <c r="D182" s="1808" t="str">
        <f>D78</f>
        <v>9 Month ADA from District Average Daily Attendance/Prior General State Aid Inquiry 2017-2018</v>
      </c>
      <c r="E182" s="1809"/>
      <c r="F182" s="1813">
        <f>'PCTC-OEPP 27-28'!F78</f>
        <v>582.77</v>
      </c>
      <c r="G182" s="931"/>
    </row>
    <row r="183" spans="1:7" ht="12" customHeight="1" thickBot="1" x14ac:dyDescent="0.25">
      <c r="A183" s="1792"/>
      <c r="B183" s="1812"/>
      <c r="C183" s="1807"/>
      <c r="D183" s="1808" t="s">
        <v>2017</v>
      </c>
      <c r="E183" s="1809" t="s">
        <v>1626</v>
      </c>
      <c r="F183" s="1814">
        <f>F181/F182</f>
        <v>13290.248296926748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2095</v>
      </c>
      <c r="B17" s="1957" t="s">
        <v>2096</v>
      </c>
      <c r="C17" s="1958" t="s">
        <v>2097</v>
      </c>
      <c r="D17" s="1867">
        <v>34800</v>
      </c>
      <c r="E17" s="1562">
        <f t="shared" ref="E17:E141" si="1">IF(D17&lt;=25000,D17,IF(D17&gt;25000,25000,0))</f>
        <v>25000</v>
      </c>
      <c r="F17" s="1815">
        <f t="shared" si="0"/>
        <v>25000</v>
      </c>
      <c r="G17" s="1816">
        <f>IF(F17=0,0,D17-F17)</f>
        <v>9800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34800</v>
      </c>
      <c r="E141" s="1563">
        <f t="shared" si="1"/>
        <v>25000</v>
      </c>
      <c r="F141" s="1817">
        <f>SUM(F17:F140)</f>
        <v>25000</v>
      </c>
      <c r="G141" s="1818">
        <f>SUM(G17:G140)</f>
        <v>9800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243535</v>
      </c>
      <c r="F10" s="975"/>
      <c r="G10" s="976"/>
      <c r="H10" s="162"/>
      <c r="I10" s="162"/>
    </row>
    <row r="11" spans="1:9" s="669" customFormat="1" ht="22.5" customHeight="1" x14ac:dyDescent="0.2">
      <c r="A11" s="2305" t="s">
        <v>1945</v>
      </c>
      <c r="B11" s="2306"/>
      <c r="C11" s="2306"/>
      <c r="D11" s="2307"/>
      <c r="E11" s="978">
        <v>22943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5479718</v>
      </c>
      <c r="F19" s="1822"/>
      <c r="G19" s="1824">
        <f>'Expenditures 15-22'!K33-SUM('Expenditures 15-22'!G33,'Expenditures 15-22'!I33)+'Expenditures 15-22'!D229</f>
        <v>5479718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420184</v>
      </c>
      <c r="F21" s="1825"/>
      <c r="G21" s="1828">
        <f>'Expenditures 15-22'!K42-SUM('Expenditures 15-22'!G42,'Expenditures 15-22'!I42)+'Expenditures 15-22'!K120-SUM('Expenditures 15-22'!G120,'Expenditures 15-22'!I120)+'Expenditures 15-22'!K180-SUM('Expenditures 15-22'!G180,'Expenditures 15-22'!I180)+'Expenditures 15-22'!D238</f>
        <v>420184</v>
      </c>
      <c r="H21" s="988"/>
      <c r="I21" s="162"/>
    </row>
    <row r="22" spans="1:9" s="669" customFormat="1" ht="12" customHeight="1" x14ac:dyDescent="0.2">
      <c r="A22" s="995" t="s">
        <v>585</v>
      </c>
      <c r="B22" s="996"/>
      <c r="C22" s="994">
        <v>2200</v>
      </c>
      <c r="D22" s="1825"/>
      <c r="E22" s="1827">
        <f>'Expenditures 15-22'!K47-SUM('Expenditures 15-22'!G47,'Expenditures 15-22'!I47)+'Expenditures 15-22'!D243</f>
        <v>126673</v>
      </c>
      <c r="F22" s="1825"/>
      <c r="G22" s="1828">
        <f>'Expenditures 15-22'!K47-SUM('Expenditures 15-22'!G47,'Expenditures 15-22'!I47)+'Expenditures 15-22'!D243</f>
        <v>126673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594564</v>
      </c>
      <c r="F23" s="1825"/>
      <c r="G23" s="1827">
        <f>'Expenditures 15-22'!K53-SUM('Expenditures 15-22'!G53,'Expenditures 15-22'!I53)+'Expenditures 15-22'!D257+'Expenditures 15-22'!K330-SUM('Expenditures 15-22'!G330,'Expenditures 15-22'!I330)</f>
        <v>594564</v>
      </c>
      <c r="H23" s="988"/>
      <c r="I23" s="162"/>
    </row>
    <row r="24" spans="1:9" s="669" customFormat="1" ht="12" customHeight="1" x14ac:dyDescent="0.2">
      <c r="A24" s="995" t="s">
        <v>587</v>
      </c>
      <c r="B24" s="996"/>
      <c r="C24" s="994">
        <v>2400</v>
      </c>
      <c r="D24" s="1825"/>
      <c r="E24" s="1827">
        <f>'Expenditures 15-22'!K57-SUM('Expenditures 15-22'!G57,'Expenditures 15-22'!I57)+'Expenditures 15-22'!D261</f>
        <v>566582</v>
      </c>
      <c r="F24" s="1825"/>
      <c r="G24" s="1828">
        <f>'Expenditures 15-22'!K57-SUM('Expenditures 15-22'!G57,'Expenditures 15-22'!I57)+'Expenditures 15-22'!D261</f>
        <v>566582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26492</v>
      </c>
      <c r="E26" s="1827">
        <f>'Expenditures 15-22'!K122-SUM('Expenditures 15-22'!G122,'Expenditures 15-22'!I122)+E7</f>
        <v>0</v>
      </c>
      <c r="F26" s="1827">
        <f>'Expenditures 15-22'!K59-SUM('Expenditures 15-22'!G59,'Expenditures 15-22'!I59)+'Expenditures 15-22'!D263-E7</f>
        <v>26492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259903</v>
      </c>
      <c r="E27" s="1827">
        <f>E8</f>
        <v>0</v>
      </c>
      <c r="F27" s="1827">
        <f>'Expenditures 15-22'!K60-SUM('Expenditures 15-22'!G60,'Expenditures 15-22'!I60)+'Expenditures 15-22'!D264-E8</f>
        <v>259903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909958</v>
      </c>
      <c r="F28" s="1829">
        <f>'Expenditures 15-22'!K61-SUM('Expenditures 15-22'!G61,'Expenditures 15-22'!I61)+'Expenditures 15-22'!K124-SUM('Expenditures 15-22'!G124,'Expenditures 15-22'!I124)+'Expenditures 15-22'!D266-E9</f>
        <v>909958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720155</v>
      </c>
      <c r="F29" s="1825"/>
      <c r="G29" s="1828">
        <f>'Expenditures 15-22'!K62-SUM('Expenditures 15-22'!G62,'Expenditures 15-22'!I62)+'Expenditures 15-22'!K125-SUM('Expenditures 15-22'!G125,'Expenditures 15-22'!I125)+'Expenditures 15-22'!K182-SUM('Expenditures 15-22'!G182,'Expenditures 15-22'!I182)+'Expenditures 15-22'!D267</f>
        <v>720155</v>
      </c>
      <c r="H29" s="986"/>
    </row>
    <row r="30" spans="1:9" ht="12" customHeight="1" x14ac:dyDescent="0.2">
      <c r="A30" s="995" t="s">
        <v>102</v>
      </c>
      <c r="B30" s="998"/>
      <c r="C30" s="994">
        <v>2560</v>
      </c>
      <c r="D30" s="1825"/>
      <c r="E30" s="1827">
        <f>'Expenditures 15-22'!K63-SUM('Expenditures 15-22'!G63,'Expenditures 15-22'!I63)+'Expenditures 15-22'!D268-E10</f>
        <v>111500</v>
      </c>
      <c r="F30" s="1825"/>
      <c r="G30" s="1827">
        <f>'Expenditures 15-22'!K63-SUM('Expenditures 15-22'!G63,'Expenditures 15-22'!I63)+'Expenditures 15-22'!D268-E10</f>
        <v>111500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1500</v>
      </c>
      <c r="F39" s="1825"/>
      <c r="G39" s="1827">
        <f>'Expenditures 15-22'!K75-SUM('Expenditures 15-22'!G75,'Expenditures 15-22'!I75)+'Expenditures 15-22'!K130-SUM('Expenditures 15-22'!G130,'Expenditures 15-22'!I130)+'Expenditures 15-22'!K185-SUM('Expenditures 15-22'!G185,'Expenditures 15-22'!I185)+'Expenditures 15-22'!D280</f>
        <v>1500</v>
      </c>
    </row>
    <row r="40" spans="1:7" ht="12" customHeight="1" x14ac:dyDescent="0.2">
      <c r="A40" s="991" t="s">
        <v>1930</v>
      </c>
      <c r="B40" s="992"/>
      <c r="C40" s="994"/>
      <c r="D40" s="1825"/>
      <c r="E40" s="1829">
        <f>-'Contracts Paid in CY 29'!G141</f>
        <v>-9800</v>
      </c>
      <c r="F40" s="1825"/>
      <c r="G40" s="1829">
        <f>-'Contracts Paid in CY 29'!G141</f>
        <v>-9800</v>
      </c>
    </row>
    <row r="41" spans="1:7" ht="12" customHeight="1" x14ac:dyDescent="0.2">
      <c r="A41" s="999" t="s">
        <v>158</v>
      </c>
      <c r="B41" s="1000"/>
      <c r="C41" s="1001"/>
      <c r="D41" s="1829">
        <f>SUM(D19:D39)</f>
        <v>286395</v>
      </c>
      <c r="E41" s="1829">
        <f>SUM(E19:E40)</f>
        <v>8921034</v>
      </c>
      <c r="F41" s="1829">
        <f>SUM(F19:F39)</f>
        <v>1196353</v>
      </c>
      <c r="G41" s="1829">
        <f>SUM(G19:G40)</f>
        <v>8011076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286395</v>
      </c>
      <c r="F43" s="1830" t="s">
        <v>495</v>
      </c>
      <c r="G43" s="1831">
        <f>F41</f>
        <v>1196353</v>
      </c>
    </row>
    <row r="44" spans="1:7" ht="12" customHeight="1" x14ac:dyDescent="0.2">
      <c r="A44" s="988"/>
      <c r="B44" s="162"/>
      <c r="C44" s="1002"/>
      <c r="D44" s="1830" t="s">
        <v>494</v>
      </c>
      <c r="E44" s="1831">
        <f>E41</f>
        <v>8921034</v>
      </c>
      <c r="F44" s="1830" t="s">
        <v>494</v>
      </c>
      <c r="G44" s="1831">
        <f>G41</f>
        <v>8011076</v>
      </c>
    </row>
    <row r="45" spans="1:7" ht="12" customHeight="1" x14ac:dyDescent="0.2">
      <c r="A45" s="988"/>
      <c r="B45" s="162"/>
      <c r="C45" s="162"/>
      <c r="D45" s="1832" t="s">
        <v>1063</v>
      </c>
      <c r="E45" s="1833">
        <f>(E43/E44)</f>
        <v>3.2103341383969614E-2</v>
      </c>
      <c r="F45" s="1832" t="s">
        <v>1063</v>
      </c>
      <c r="G45" s="1833">
        <f>(G43/G44)</f>
        <v>0.14933736741481418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Rhodes SD 84-5</v>
      </c>
      <c r="D6" s="2315"/>
      <c r="E6" s="2315"/>
      <c r="F6" s="1877"/>
    </row>
    <row r="7" spans="1:10" ht="11.25" customHeight="1" thickBot="1" x14ac:dyDescent="0.3">
      <c r="A7" s="1875"/>
      <c r="B7" s="1876"/>
      <c r="C7" s="2316">
        <f>COVER!A13</f>
        <v>6016084502</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c r="F19" s="1892" t="s">
        <v>2094</v>
      </c>
      <c r="H19" s="1903">
        <f t="shared" si="0"/>
        <v>5</v>
      </c>
      <c r="I19" s="1903">
        <f t="shared" si="1"/>
        <v>5</v>
      </c>
      <c r="J19" s="1903">
        <f t="shared" si="2"/>
        <v>0</v>
      </c>
    </row>
    <row r="20" spans="1:12" ht="12" customHeight="1" x14ac:dyDescent="0.2">
      <c r="A20" s="1888" t="s">
        <v>1609</v>
      </c>
      <c r="B20" s="1889"/>
      <c r="C20" s="1890" t="s">
        <v>2077</v>
      </c>
      <c r="D20" s="1890" t="s">
        <v>2077</v>
      </c>
      <c r="E20" s="1893"/>
      <c r="F20" s="1892" t="s">
        <v>2093</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Rhodes SD 84-5</v>
      </c>
      <c r="J6" s="2336"/>
      <c r="Q6" s="1686"/>
    </row>
    <row r="7" spans="1:17" x14ac:dyDescent="0.2">
      <c r="A7" s="2337" t="s">
        <v>924</v>
      </c>
      <c r="B7" s="2338"/>
      <c r="C7" s="2338"/>
      <c r="D7" s="2338"/>
      <c r="E7" s="2339"/>
      <c r="F7" s="1018"/>
      <c r="G7" s="1010"/>
      <c r="H7" s="1017" t="s">
        <v>390</v>
      </c>
      <c r="I7" s="2340">
        <f>COVER!A13</f>
        <v>6016084502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305210</v>
      </c>
      <c r="F12" s="1040"/>
      <c r="G12" s="1834">
        <f t="shared" ref="G12:G18" si="0">SUM(E12:F12)</f>
        <v>305210</v>
      </c>
      <c r="H12" s="1041">
        <v>294700</v>
      </c>
      <c r="I12" s="1040"/>
      <c r="J12" s="1834">
        <f t="shared" ref="J12:J18" si="1">SUM(H12:I12)</f>
        <v>294700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26492</v>
      </c>
      <c r="F15" s="1834">
        <f>'Expenditures 15-22'!K122</f>
        <v>0</v>
      </c>
      <c r="G15" s="1834">
        <f t="shared" si="0"/>
        <v>26492</v>
      </c>
      <c r="H15" s="1041">
        <v>41000</v>
      </c>
      <c r="I15" s="1041"/>
      <c r="J15" s="1834">
        <f t="shared" si="1"/>
        <v>41000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331702</v>
      </c>
      <c r="F19" s="1836">
        <f t="shared" si="2"/>
        <v>0</v>
      </c>
      <c r="G19" s="1836">
        <f t="shared" si="2"/>
        <v>331702</v>
      </c>
      <c r="H19" s="1836">
        <f t="shared" si="2"/>
        <v>335700</v>
      </c>
      <c r="I19" s="1836">
        <f t="shared" si="2"/>
        <v>0</v>
      </c>
      <c r="J19" s="1836">
        <f t="shared" si="2"/>
        <v>335700</v>
      </c>
    </row>
    <row r="20" spans="1:10" ht="13.5" thickTop="1" x14ac:dyDescent="0.2">
      <c r="A20" s="1036">
        <v>9</v>
      </c>
      <c r="B20" s="2347" t="s">
        <v>1703</v>
      </c>
      <c r="C20" s="2347"/>
      <c r="D20" s="2348"/>
      <c r="E20" s="1047"/>
      <c r="F20" s="1047"/>
      <c r="G20" s="1047"/>
      <c r="H20" s="1047"/>
      <c r="I20" s="1047"/>
      <c r="J20" s="1837">
        <f>IF(AND(G19&gt;0,J19&gt;0),(((J19-G19)/G19)),"Enter Budget Data")</f>
        <v>1.2052987319943805E-2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Rhodes SD 84-5</v>
      </c>
    </row>
    <row r="65" spans="2:2" x14ac:dyDescent="0.2">
      <c r="B65" s="1071">
        <f>COVER!A13</f>
        <v>6016084502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2257425</xdr:colOff>
                <xdr:row>4</xdr:row>
                <xdr:rowOff>19050</xdr:rowOff>
              </from>
              <to>
                <xdr:col>1</xdr:col>
                <xdr:colOff>3133725</xdr:colOff>
                <xdr:row>7</xdr:row>
                <xdr:rowOff>47625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10104633</v>
      </c>
      <c r="C8" s="1838">
        <f>'Acct Summary 7-8'!D8</f>
        <v>932927</v>
      </c>
      <c r="D8" s="1838">
        <f>'Acct Summary 7-8'!F8</f>
        <v>599205</v>
      </c>
      <c r="E8" s="1838">
        <f>'Acct Summary 7-8'!I8</f>
        <v>59922</v>
      </c>
      <c r="F8" s="1838">
        <f>SUM(B8:E8)</f>
        <v>11696687</v>
      </c>
    </row>
    <row r="9" spans="1:8" s="1080" customFormat="1" ht="14.25" customHeight="1" thickBot="1" x14ac:dyDescent="0.25">
      <c r="A9" s="1079" t="s">
        <v>1436</v>
      </c>
      <c r="B9" s="1839">
        <f>'Acct Summary 7-8'!C17</f>
        <v>8359751</v>
      </c>
      <c r="C9" s="1839">
        <f>'Acct Summary 7-8'!D17</f>
        <v>1076254</v>
      </c>
      <c r="D9" s="1839">
        <f>'Acct Summary 7-8'!F17</f>
        <v>621810</v>
      </c>
      <c r="E9" s="1838"/>
      <c r="F9" s="1838">
        <f>SUM(B9:E9)</f>
        <v>10057815</v>
      </c>
    </row>
    <row r="10" spans="1:8" s="1080" customFormat="1" ht="14.25" thickTop="1" thickBot="1" x14ac:dyDescent="0.25">
      <c r="A10" s="1081" t="s">
        <v>1437</v>
      </c>
      <c r="B10" s="1840">
        <f>(B8-B9)</f>
        <v>1744882</v>
      </c>
      <c r="C10" s="1840">
        <f>(C8-C9)</f>
        <v>-143327</v>
      </c>
      <c r="D10" s="1840">
        <f>(D8-D9)</f>
        <v>-22605</v>
      </c>
      <c r="E10" s="1839">
        <f>(E8-E9)</f>
        <v>59922</v>
      </c>
      <c r="F10" s="1841">
        <f>SUM(F8-F9)</f>
        <v>1638872</v>
      </c>
    </row>
    <row r="11" spans="1:8" s="1080" customFormat="1" ht="14.25" thickTop="1" thickBot="1" x14ac:dyDescent="0.25">
      <c r="A11" s="1082" t="s">
        <v>1785</v>
      </c>
      <c r="B11" s="1842">
        <f>'Acct Summary 7-8'!C81</f>
        <v>12644042</v>
      </c>
      <c r="C11" s="1842">
        <f>'Acct Summary 7-8'!D81</f>
        <v>155888</v>
      </c>
      <c r="D11" s="1842">
        <f>'Acct Summary 7-8'!F81</f>
        <v>186206</v>
      </c>
      <c r="E11" s="1842">
        <f>'Acct Summary 7-8'!I81</f>
        <v>423546</v>
      </c>
      <c r="F11" s="1843">
        <f>SUM(B11:E11)</f>
        <v>13409682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6016084502</v>
      </c>
    </row>
    <row r="3" spans="1:2" x14ac:dyDescent="0.2">
      <c r="A3" t="s">
        <v>1013</v>
      </c>
      <c r="B3" s="138" t="str">
        <f>COVER!A15</f>
        <v>COOK</v>
      </c>
    </row>
    <row r="4" spans="1:2" x14ac:dyDescent="0.2">
      <c r="A4" t="s">
        <v>1064</v>
      </c>
      <c r="B4" s="138" t="str">
        <f>COVER!A17</f>
        <v>Rhodes SD 84-5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JAMES HENRY, CPA</v>
      </c>
    </row>
    <row r="18" spans="1:2" x14ac:dyDescent="0.2">
      <c r="A18" t="s">
        <v>1212</v>
      </c>
      <c r="B18" s="138" t="str">
        <f>COVER!T17</f>
        <v>2122 YEOMAN STREET</v>
      </c>
    </row>
    <row r="19" spans="1:2" x14ac:dyDescent="0.2">
      <c r="A19" t="s">
        <v>941</v>
      </c>
      <c r="B19" s="138" t="str">
        <f>COVER!T25</f>
        <v>JHENRY@EKJLLP.COM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12649717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5675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5675</v>
      </c>
      <c r="C91" s="2" t="s">
        <v>594</v>
      </c>
      <c r="D91" s="2" t="str">
        <f t="shared" si="0"/>
        <v>Error?</v>
      </c>
    </row>
    <row r="92" spans="1:4" x14ac:dyDescent="0.2">
      <c r="A92" s="5">
        <v>31</v>
      </c>
      <c r="B92" s="138">
        <f>'Assets-Liab 5-6'!C39</f>
        <v>12644042</v>
      </c>
      <c r="D92" s="2" t="str">
        <f t="shared" si="0"/>
        <v>Error?</v>
      </c>
    </row>
    <row r="93" spans="1:4" x14ac:dyDescent="0.2">
      <c r="A93" s="5">
        <v>32</v>
      </c>
      <c r="B93" s="138">
        <f>'Assets-Liab 5-6'!C41</f>
        <v>12649717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155888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155888</v>
      </c>
      <c r="D123" s="2" t="str">
        <f t="shared" si="0"/>
        <v>Error?</v>
      </c>
    </row>
    <row r="124" spans="1:4" x14ac:dyDescent="0.2">
      <c r="A124" s="5">
        <v>63</v>
      </c>
      <c r="B124" s="138">
        <f>'Assets-Liab 5-6'!D41</f>
        <v>155888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309824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309824</v>
      </c>
      <c r="D140" s="2" t="str">
        <f t="shared" si="1"/>
        <v>Error?</v>
      </c>
    </row>
    <row r="141" spans="1:4" x14ac:dyDescent="0.2">
      <c r="A141" s="5">
        <v>80</v>
      </c>
      <c r="B141" s="138">
        <f>'Assets-Liab 5-6'!E41</f>
        <v>309824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186206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186206</v>
      </c>
      <c r="D170" s="2" t="str">
        <f t="shared" si="1"/>
        <v>Error?</v>
      </c>
    </row>
    <row r="171" spans="1:4" x14ac:dyDescent="0.2">
      <c r="A171" s="5">
        <v>110</v>
      </c>
      <c r="B171" s="138">
        <f>'Assets-Liab 5-6'!F41</f>
        <v>186206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3242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3242</v>
      </c>
      <c r="D189" s="2" t="str">
        <f t="shared" si="1"/>
        <v>Error?</v>
      </c>
    </row>
    <row r="190" spans="1:4" x14ac:dyDescent="0.2">
      <c r="A190" s="5">
        <v>129</v>
      </c>
      <c r="B190" s="138">
        <f>'Assets-Liab 5-6'!G41</f>
        <v>3242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7000</v>
      </c>
      <c r="D273" s="2" t="str">
        <f t="shared" si="3"/>
        <v>Error?</v>
      </c>
    </row>
    <row r="274" spans="1:4" x14ac:dyDescent="0.2">
      <c r="A274" s="5">
        <v>213</v>
      </c>
      <c r="B274" s="138">
        <f>'Assets-Liab 5-6'!M17</f>
        <v>11704618</v>
      </c>
      <c r="D274" s="2" t="str">
        <f t="shared" si="3"/>
        <v>Error?</v>
      </c>
    </row>
    <row r="275" spans="1:4" x14ac:dyDescent="0.2">
      <c r="A275" s="5">
        <v>214</v>
      </c>
      <c r="B275" s="138">
        <f>'Assets-Liab 5-6'!M18</f>
        <v>70846</v>
      </c>
      <c r="D275" s="2" t="str">
        <f t="shared" si="3"/>
        <v>Error?</v>
      </c>
    </row>
    <row r="276" spans="1:4" x14ac:dyDescent="0.2">
      <c r="A276" s="5">
        <v>215</v>
      </c>
      <c r="B276" s="138">
        <f>'Assets-Liab 5-6'!M19</f>
        <v>736002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12570771</v>
      </c>
      <c r="C279" s="2" t="s">
        <v>594</v>
      </c>
      <c r="D279" s="2" t="str">
        <f t="shared" si="3"/>
        <v>Error?</v>
      </c>
    </row>
    <row r="280" spans="1:4" x14ac:dyDescent="0.2">
      <c r="A280" s="5">
        <v>219</v>
      </c>
      <c r="B280" s="138">
        <f>'Assets-Liab 5-6'!M40</f>
        <v>12570771</v>
      </c>
      <c r="D280" s="2" t="str">
        <f t="shared" si="3"/>
        <v>Error?</v>
      </c>
    </row>
    <row r="281" spans="1:4" x14ac:dyDescent="0.2">
      <c r="A281" s="5">
        <v>220</v>
      </c>
      <c r="B281" s="138">
        <f>'Assets-Liab 5-6'!M41</f>
        <v>12570771</v>
      </c>
      <c r="C281" s="2" t="s">
        <v>594</v>
      </c>
      <c r="D281" s="2" t="str">
        <f t="shared" si="3"/>
        <v>Error?</v>
      </c>
    </row>
    <row r="282" spans="1:4" x14ac:dyDescent="0.2">
      <c r="A282" s="5">
        <v>221</v>
      </c>
      <c r="B282" s="138">
        <f>'Assets-Liab 5-6'!N21</f>
        <v>309824</v>
      </c>
      <c r="D282" s="2" t="str">
        <f t="shared" si="3"/>
        <v>Error?</v>
      </c>
    </row>
    <row r="283" spans="1:4" x14ac:dyDescent="0.2">
      <c r="A283" s="5">
        <v>222</v>
      </c>
      <c r="B283" s="138">
        <f>'Assets-Liab 5-6'!N22</f>
        <v>2945176</v>
      </c>
      <c r="D283" s="2" t="str">
        <f t="shared" si="3"/>
        <v>Error?</v>
      </c>
    </row>
    <row r="284" spans="1:4" x14ac:dyDescent="0.2">
      <c r="A284" s="5">
        <v>223</v>
      </c>
      <c r="B284" s="138">
        <f>'Assets-Liab 5-6'!N23</f>
        <v>3255000</v>
      </c>
      <c r="C284" s="2" t="s">
        <v>594</v>
      </c>
      <c r="D284" s="2" t="str">
        <f t="shared" si="3"/>
        <v>Error?</v>
      </c>
    </row>
    <row r="285" spans="1:4" x14ac:dyDescent="0.2">
      <c r="A285" s="5">
        <v>224</v>
      </c>
      <c r="B285" s="138">
        <f>'Assets-Liab 5-6'!N36</f>
        <v>3255000</v>
      </c>
      <c r="D285" s="2" t="str">
        <f t="shared" si="3"/>
        <v>Error?</v>
      </c>
    </row>
    <row r="286" spans="1:4" x14ac:dyDescent="0.2">
      <c r="A286" s="10">
        <v>225</v>
      </c>
      <c r="D286" s="2" t="str">
        <f t="shared" si="3"/>
        <v>OK</v>
      </c>
    </row>
    <row r="287" spans="1:4" x14ac:dyDescent="0.2">
      <c r="A287" s="5">
        <v>226</v>
      </c>
      <c r="B287" s="138">
        <f>'Assets-Liab 5-6'!N37</f>
        <v>3255000</v>
      </c>
      <c r="C287" s="2" t="s">
        <v>594</v>
      </c>
      <c r="D287" s="2" t="str">
        <f t="shared" si="3"/>
        <v>Error?</v>
      </c>
    </row>
    <row r="288" spans="1:4" x14ac:dyDescent="0.2">
      <c r="A288" s="5">
        <v>227</v>
      </c>
      <c r="B288" s="138">
        <f>'Assets-Liab 5-6'!N41</f>
        <v>3255000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2935799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133793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4079787</v>
      </c>
      <c r="C720" s="2" t="s">
        <v>594</v>
      </c>
      <c r="D720" s="2" t="str">
        <f t="shared" si="10"/>
        <v>Error?</v>
      </c>
    </row>
    <row r="721" spans="1:4" x14ac:dyDescent="0.2">
      <c r="A721" s="5">
        <v>660</v>
      </c>
      <c r="B721" s="138">
        <f>'Expenditures 15-22'!C36</f>
        <v>117160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61314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48707</v>
      </c>
      <c r="D725" s="2" t="str">
        <f t="shared" si="10"/>
        <v>Error?</v>
      </c>
    </row>
    <row r="726" spans="1:4" x14ac:dyDescent="0.2">
      <c r="A726" s="5">
        <v>665</v>
      </c>
      <c r="B726" s="138">
        <f>'Expenditures 15-22'!C41</f>
        <v>92290</v>
      </c>
      <c r="D726" s="2" t="str">
        <f t="shared" si="10"/>
        <v>Error?</v>
      </c>
    </row>
    <row r="727" spans="1:4" x14ac:dyDescent="0.2">
      <c r="A727" s="5">
        <v>666</v>
      </c>
      <c r="B727" s="138">
        <f>'Expenditures 15-22'!C42</f>
        <v>319471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57505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57505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238066</v>
      </c>
      <c r="D733" s="2" t="str">
        <f t="shared" si="10"/>
        <v>Error?</v>
      </c>
    </row>
    <row r="734" spans="1:4" x14ac:dyDescent="0.2">
      <c r="A734" s="5">
        <v>673</v>
      </c>
      <c r="B734" s="138">
        <f>'Expenditures 15-22'!C53</f>
        <v>238066</v>
      </c>
      <c r="C734" s="2" t="s">
        <v>594</v>
      </c>
      <c r="D734" s="2" t="str">
        <f t="shared" si="10"/>
        <v>Error?</v>
      </c>
    </row>
    <row r="735" spans="1:4" x14ac:dyDescent="0.2">
      <c r="A735" s="5">
        <v>674</v>
      </c>
      <c r="B735" s="138">
        <f>'Expenditures 15-22'!C55</f>
        <v>393941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393941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167156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83789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250945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1259928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5339715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592534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828090</v>
      </c>
      <c r="C778" s="2" t="s">
        <v>594</v>
      </c>
      <c r="D778" s="2" t="str">
        <f t="shared" si="11"/>
        <v>Error?</v>
      </c>
    </row>
    <row r="779" spans="1:4" x14ac:dyDescent="0.2">
      <c r="A779" s="5">
        <v>718</v>
      </c>
      <c r="B779" s="138">
        <f>'Expenditures 15-22'!D36</f>
        <v>30814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9150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8524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48488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8526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8526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58906</v>
      </c>
      <c r="D791" s="2" t="str">
        <f t="shared" si="11"/>
        <v>Error?</v>
      </c>
    </row>
    <row r="792" spans="1:4" x14ac:dyDescent="0.2">
      <c r="A792" s="5">
        <v>731</v>
      </c>
      <c r="B792" s="138">
        <f>'Expenditures 15-22'!D53</f>
        <v>58906</v>
      </c>
      <c r="C792" s="2" t="s">
        <v>594</v>
      </c>
      <c r="D792" s="2" t="str">
        <f t="shared" si="11"/>
        <v>Error?</v>
      </c>
    </row>
    <row r="793" spans="1:4" x14ac:dyDescent="0.2">
      <c r="A793" s="5">
        <v>732</v>
      </c>
      <c r="B793" s="138">
        <f>'Expenditures 15-22'!D55</f>
        <v>138382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138382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54805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63927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318229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1146319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31528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73711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16985</v>
      </c>
      <c r="D842" s="2" t="str">
        <f t="shared" si="12"/>
        <v>Error?</v>
      </c>
    </row>
    <row r="843" spans="1:4" x14ac:dyDescent="0.2">
      <c r="A843" s="5">
        <v>782</v>
      </c>
      <c r="B843" s="138">
        <f>'Expenditures 15-22'!E42</f>
        <v>17195</v>
      </c>
      <c r="C843" s="2" t="s">
        <v>594</v>
      </c>
      <c r="D843" s="2" t="str">
        <f t="shared" si="12"/>
        <v>Error?</v>
      </c>
    </row>
    <row r="844" spans="1:4" x14ac:dyDescent="0.2">
      <c r="A844" s="5">
        <v>783</v>
      </c>
      <c r="B844" s="138">
        <f>'Expenditures 15-22'!E44</f>
        <v>18731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30303</v>
      </c>
      <c r="D846" s="2" t="str">
        <f t="shared" si="12"/>
        <v>Error?</v>
      </c>
    </row>
    <row r="847" spans="1:4" x14ac:dyDescent="0.2">
      <c r="A847" s="5">
        <v>786</v>
      </c>
      <c r="B847" s="138">
        <f>'Expenditures 15-22'!E47</f>
        <v>49034</v>
      </c>
      <c r="C847" s="2" t="s">
        <v>594</v>
      </c>
      <c r="D847" s="2" t="str">
        <f t="shared" si="12"/>
        <v>Error?</v>
      </c>
    </row>
    <row r="848" spans="1:4" x14ac:dyDescent="0.2">
      <c r="A848" s="5">
        <v>787</v>
      </c>
      <c r="B848" s="138">
        <f>'Expenditures 15-22'!E49</f>
        <v>169939</v>
      </c>
      <c r="D848" s="2" t="str">
        <f t="shared" si="12"/>
        <v>Error?</v>
      </c>
    </row>
    <row r="849" spans="1:4" x14ac:dyDescent="0.2">
      <c r="A849" s="5">
        <v>788</v>
      </c>
      <c r="B849" s="138">
        <f>'Expenditures 15-22'!E50</f>
        <v>3045</v>
      </c>
      <c r="D849" s="2" t="str">
        <f t="shared" si="12"/>
        <v>Error?</v>
      </c>
    </row>
    <row r="850" spans="1:4" x14ac:dyDescent="0.2">
      <c r="A850" s="5">
        <v>789</v>
      </c>
      <c r="B850" s="138">
        <f>'Expenditures 15-22'!E53</f>
        <v>172984</v>
      </c>
      <c r="C850" s="2" t="s">
        <v>594</v>
      </c>
      <c r="D850" s="2" t="str">
        <f t="shared" si="12"/>
        <v>Error?</v>
      </c>
    </row>
    <row r="851" spans="1:4" x14ac:dyDescent="0.2">
      <c r="A851" s="5">
        <v>790</v>
      </c>
      <c r="B851" s="138">
        <f>'Expenditures 15-22'!E55</f>
        <v>339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339</v>
      </c>
      <c r="C853" s="2" t="s">
        <v>594</v>
      </c>
      <c r="D853" s="2" t="str">
        <f t="shared" si="12"/>
        <v>Error?</v>
      </c>
    </row>
    <row r="854" spans="1:4" x14ac:dyDescent="0.2">
      <c r="A854" s="5">
        <v>793</v>
      </c>
      <c r="B854" s="138">
        <f>'Expenditures 15-22'!E59</f>
        <v>9416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9692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249244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322955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210538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17096</v>
      </c>
      <c r="D892" s="2" t="str">
        <f t="shared" si="12"/>
        <v>Error?</v>
      </c>
    </row>
    <row r="893" spans="1:4" x14ac:dyDescent="0.2">
      <c r="A893" s="5">
        <v>832</v>
      </c>
      <c r="B893" s="138">
        <f>'Expenditures 15-22'!F15</f>
        <v>44</v>
      </c>
      <c r="D893" s="2" t="str">
        <f t="shared" si="12"/>
        <v>Error?</v>
      </c>
    </row>
    <row r="894" spans="1:4" x14ac:dyDescent="0.2">
      <c r="A894" s="5">
        <v>833</v>
      </c>
      <c r="B894" s="138">
        <f>'Expenditures 15-22'!F33</f>
        <v>315907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2333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6826</v>
      </c>
      <c r="D900" s="2" t="str">
        <f t="shared" si="13"/>
        <v>Error?</v>
      </c>
    </row>
    <row r="901" spans="1:4" x14ac:dyDescent="0.2">
      <c r="A901" s="5">
        <v>840</v>
      </c>
      <c r="B901" s="138">
        <f>'Expenditures 15-22'!F42</f>
        <v>9159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10311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10311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7877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243535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246123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273470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589377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42615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77523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77523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106634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2851</v>
      </c>
      <c r="D1016" s="2" t="str">
        <f t="shared" si="14"/>
        <v>Error?</v>
      </c>
    </row>
    <row r="1017" spans="1:4" x14ac:dyDescent="0.2">
      <c r="A1017" s="5">
        <v>956</v>
      </c>
      <c r="B1017" s="138">
        <f>'Expenditures 15-22'!H42</f>
        <v>2851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17142</v>
      </c>
      <c r="D1022" s="2" t="str">
        <f t="shared" si="14"/>
        <v>Error?</v>
      </c>
    </row>
    <row r="1023" spans="1:4" x14ac:dyDescent="0.2">
      <c r="A1023" s="5">
        <v>962</v>
      </c>
      <c r="B1023" s="138">
        <f>'Expenditures 15-22'!H50</f>
        <v>5193</v>
      </c>
      <c r="D1023" s="2" t="str">
        <f t="shared" ref="D1023:D1086" si="15">IF(ISBLANK(B1023),"OK",IF(A1023-B1023=0,"OK","Error?"))</f>
        <v>Error?</v>
      </c>
    </row>
    <row r="1024" spans="1:4" x14ac:dyDescent="0.2">
      <c r="A1024" s="5">
        <v>963</v>
      </c>
      <c r="B1024" s="138">
        <f>'Expenditures 15-22'!H53</f>
        <v>22335</v>
      </c>
      <c r="C1024" s="2" t="s">
        <v>594</v>
      </c>
      <c r="D1024" s="2" t="str">
        <f t="shared" si="15"/>
        <v>Error?</v>
      </c>
    </row>
    <row r="1025" spans="1:4" x14ac:dyDescent="0.2">
      <c r="A1025" s="5">
        <v>964</v>
      </c>
      <c r="B1025" s="138">
        <f>'Expenditures 15-22'!H55</f>
        <v>3072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3072</v>
      </c>
      <c r="C1027" s="2" t="s">
        <v>594</v>
      </c>
      <c r="D1027" s="2" t="str">
        <f t="shared" si="15"/>
        <v>Error?</v>
      </c>
    </row>
    <row r="1028" spans="1:4" x14ac:dyDescent="0.2">
      <c r="A1028" s="5">
        <v>967</v>
      </c>
      <c r="B1028" s="138">
        <f>'Expenditures 15-22'!H59</f>
        <v>17076</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17076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45334</v>
      </c>
      <c r="C1045" s="2" t="s">
        <v>594</v>
      </c>
      <c r="D1045" s="2" t="str">
        <f t="shared" si="15"/>
        <v>Error?</v>
      </c>
    </row>
    <row r="1046" spans="1:4" x14ac:dyDescent="0.2">
      <c r="A1046" s="5">
        <v>985</v>
      </c>
      <c r="B1046" s="138">
        <f>'Expenditures 15-22'!H75</f>
        <v>1500</v>
      </c>
      <c r="D1046" s="2" t="str">
        <f t="shared" si="15"/>
        <v>Error?</v>
      </c>
    </row>
    <row r="1047" spans="1:4" x14ac:dyDescent="0.2">
      <c r="A1047" s="5">
        <v>986</v>
      </c>
      <c r="B1047" s="138">
        <f>'Expenditures 15-22'!H102</f>
        <v>730394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883862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3813014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155456</v>
      </c>
      <c r="C1106" s="2" t="s">
        <v>594</v>
      </c>
      <c r="D1106" s="2" t="str">
        <f t="shared" si="16"/>
        <v>Error?</v>
      </c>
    </row>
    <row r="1107" spans="1:4" x14ac:dyDescent="0.2">
      <c r="A1107" s="5">
        <v>1046</v>
      </c>
      <c r="B1107" s="138">
        <f>'Expenditures 15-22'!K15</f>
        <v>44</v>
      </c>
      <c r="C1107" s="2" t="s">
        <v>594</v>
      </c>
      <c r="D1107" s="2" t="str">
        <f t="shared" si="16"/>
        <v>Error?</v>
      </c>
    </row>
    <row r="1108" spans="1:4" x14ac:dyDescent="0.2">
      <c r="A1108" s="5">
        <v>1047</v>
      </c>
      <c r="B1108" s="138">
        <f>'Expenditures 15-22'!K33</f>
        <v>5481652</v>
      </c>
      <c r="C1108" s="2" t="s">
        <v>594</v>
      </c>
      <c r="D1108" s="2" t="str">
        <f t="shared" si="16"/>
        <v>Error?</v>
      </c>
    </row>
    <row r="1109" spans="1:4" x14ac:dyDescent="0.2">
      <c r="A1109" s="5">
        <v>1048</v>
      </c>
      <c r="B1109" s="138">
        <f>'Expenditures 15-22'!K36</f>
        <v>147974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73007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57231</v>
      </c>
      <c r="C1113" s="2" t="s">
        <v>594</v>
      </c>
      <c r="D1113" s="2" t="str">
        <f t="shared" si="16"/>
        <v>Error?</v>
      </c>
    </row>
    <row r="1114" spans="1:4" x14ac:dyDescent="0.2">
      <c r="A1114" s="5">
        <v>1053</v>
      </c>
      <c r="B1114" s="138">
        <f>'Expenditures 15-22'!K41</f>
        <v>118952</v>
      </c>
      <c r="C1114" s="2" t="s">
        <v>594</v>
      </c>
      <c r="D1114" s="2" t="str">
        <f t="shared" si="16"/>
        <v>Error?</v>
      </c>
    </row>
    <row r="1115" spans="1:4" x14ac:dyDescent="0.2">
      <c r="A1115" s="5">
        <v>1054</v>
      </c>
      <c r="B1115" s="138">
        <f>'Expenditures 15-22'!K42</f>
        <v>397164</v>
      </c>
      <c r="C1115" s="2" t="s">
        <v>594</v>
      </c>
      <c r="D1115" s="2" t="str">
        <f t="shared" si="16"/>
        <v>Error?</v>
      </c>
    </row>
    <row r="1116" spans="1:4" x14ac:dyDescent="0.2">
      <c r="A1116" s="5">
        <v>1055</v>
      </c>
      <c r="B1116" s="138">
        <f>'Expenditures 15-22'!K44</f>
        <v>18731</v>
      </c>
      <c r="C1116" s="2" t="s">
        <v>594</v>
      </c>
      <c r="D1116" s="2" t="str">
        <f t="shared" si="16"/>
        <v>Error?</v>
      </c>
    </row>
    <row r="1117" spans="1:4" x14ac:dyDescent="0.2">
      <c r="A1117" s="5">
        <v>1056</v>
      </c>
      <c r="B1117" s="138">
        <f>'Expenditures 15-22'!K45</f>
        <v>76342</v>
      </c>
      <c r="C1117" s="2" t="s">
        <v>594</v>
      </c>
      <c r="D1117" s="2" t="str">
        <f t="shared" si="16"/>
        <v>Error?</v>
      </c>
    </row>
    <row r="1118" spans="1:4" x14ac:dyDescent="0.2">
      <c r="A1118" s="5">
        <v>1057</v>
      </c>
      <c r="B1118" s="138">
        <f>'Expenditures 15-22'!K46</f>
        <v>30303</v>
      </c>
      <c r="C1118" s="2" t="s">
        <v>594</v>
      </c>
      <c r="D1118" s="2" t="str">
        <f t="shared" si="16"/>
        <v>Error?</v>
      </c>
    </row>
    <row r="1119" spans="1:4" x14ac:dyDescent="0.2">
      <c r="A1119" s="5">
        <v>1058</v>
      </c>
      <c r="B1119" s="138">
        <f>'Expenditures 15-22'!K47</f>
        <v>125376</v>
      </c>
      <c r="C1119" s="2" t="s">
        <v>594</v>
      </c>
      <c r="D1119" s="2" t="str">
        <f t="shared" si="16"/>
        <v>Error?</v>
      </c>
    </row>
    <row r="1120" spans="1:4" x14ac:dyDescent="0.2">
      <c r="A1120" s="5">
        <v>1059</v>
      </c>
      <c r="B1120" s="138">
        <f>'Expenditures 15-22'!K49</f>
        <v>187081</v>
      </c>
      <c r="C1120" s="2" t="s">
        <v>594</v>
      </c>
      <c r="D1120" s="2" t="str">
        <f t="shared" si="16"/>
        <v>Error?</v>
      </c>
    </row>
    <row r="1121" spans="1:4" x14ac:dyDescent="0.2">
      <c r="A1121" s="5">
        <v>1060</v>
      </c>
      <c r="B1121" s="138">
        <f>'Expenditures 15-22'!K50</f>
        <v>305210</v>
      </c>
      <c r="C1121" s="2" t="s">
        <v>594</v>
      </c>
      <c r="D1121" s="2" t="str">
        <f t="shared" si="16"/>
        <v>Error?</v>
      </c>
    </row>
    <row r="1122" spans="1:4" x14ac:dyDescent="0.2">
      <c r="A1122" s="5">
        <v>1061</v>
      </c>
      <c r="B1122" s="138">
        <f>'Expenditures 15-22'!K53</f>
        <v>492291</v>
      </c>
      <c r="C1122" s="2" t="s">
        <v>594</v>
      </c>
      <c r="D1122" s="2" t="str">
        <f t="shared" si="16"/>
        <v>Error?</v>
      </c>
    </row>
    <row r="1123" spans="1:4" x14ac:dyDescent="0.2">
      <c r="A1123" s="5">
        <v>1062</v>
      </c>
      <c r="B1123" s="138">
        <f>'Expenditures 15-22'!K55</f>
        <v>543611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543611</v>
      </c>
      <c r="C1125" s="2" t="s">
        <v>594</v>
      </c>
      <c r="D1125" s="2" t="str">
        <f t="shared" si="16"/>
        <v>Error?</v>
      </c>
    </row>
    <row r="1126" spans="1:4" x14ac:dyDescent="0.2">
      <c r="A1126" s="5">
        <v>1065</v>
      </c>
      <c r="B1126" s="138">
        <f>'Expenditures 15-22'!K59</f>
        <v>26492</v>
      </c>
      <c r="C1126" s="2" t="s">
        <v>594</v>
      </c>
      <c r="D1126" s="2" t="str">
        <f t="shared" si="16"/>
        <v>Error?</v>
      </c>
    </row>
    <row r="1127" spans="1:4" x14ac:dyDescent="0.2">
      <c r="A1127" s="5">
        <v>1066</v>
      </c>
      <c r="B1127" s="138">
        <f>'Expenditures 15-22'!K60</f>
        <v>224549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336722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587763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2146205</v>
      </c>
      <c r="C1143" s="2" t="s">
        <v>594</v>
      </c>
      <c r="D1143" s="2" t="str">
        <f t="shared" si="16"/>
        <v>Error?</v>
      </c>
    </row>
    <row r="1144" spans="1:4" x14ac:dyDescent="0.2">
      <c r="A1144" s="5">
        <v>1083</v>
      </c>
      <c r="B1144" s="138">
        <f>'Expenditures 15-22'!K75</f>
        <v>1500</v>
      </c>
      <c r="C1144" s="2" t="s">
        <v>594</v>
      </c>
      <c r="D1144" s="2" t="str">
        <f t="shared" si="16"/>
        <v>Error?</v>
      </c>
    </row>
    <row r="1145" spans="1:4" x14ac:dyDescent="0.2">
      <c r="A1145" s="5">
        <v>1084</v>
      </c>
      <c r="B1145" s="138">
        <f>'Expenditures 15-22'!K102</f>
        <v>730394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8359751</v>
      </c>
      <c r="C1152" s="2" t="s">
        <v>594</v>
      </c>
      <c r="D1152" s="2" t="str">
        <f t="shared" si="17"/>
        <v>Error?</v>
      </c>
    </row>
    <row r="1153" spans="1:4" x14ac:dyDescent="0.2">
      <c r="A1153" s="5">
        <v>1092</v>
      </c>
      <c r="B1153" s="138">
        <f>'Expenditures 15-22'!K115</f>
        <v>1744882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463629</v>
      </c>
      <c r="D1221" s="2" t="str">
        <f t="shared" si="18"/>
        <v>Error?</v>
      </c>
    </row>
    <row r="1222" spans="1:4" x14ac:dyDescent="0.2">
      <c r="A1222" s="10">
        <v>1161</v>
      </c>
      <c r="D1222" s="2" t="str">
        <f t="shared" si="18"/>
        <v>OK</v>
      </c>
    </row>
    <row r="1223" spans="1:4" x14ac:dyDescent="0.2">
      <c r="A1223" s="5">
        <v>1162</v>
      </c>
      <c r="B1223" s="138">
        <f>'Expenditures 15-22'!C127</f>
        <v>463629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463629</v>
      </c>
      <c r="C1225" s="2" t="s">
        <v>594</v>
      </c>
      <c r="D1225" s="2" t="str">
        <f t="shared" si="18"/>
        <v>Error?</v>
      </c>
    </row>
    <row r="1226" spans="1:4" x14ac:dyDescent="0.2">
      <c r="A1226" s="5">
        <v>1165</v>
      </c>
      <c r="B1226" s="138">
        <f>'Expenditures 15-22'!C151</f>
        <v>463629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102083</v>
      </c>
      <c r="D1229" s="2" t="str">
        <f t="shared" si="18"/>
        <v>Error?</v>
      </c>
    </row>
    <row r="1230" spans="1:4" x14ac:dyDescent="0.2">
      <c r="A1230" s="10">
        <v>1169</v>
      </c>
      <c r="D1230" s="2" t="str">
        <f t="shared" si="18"/>
        <v>OK</v>
      </c>
    </row>
    <row r="1231" spans="1:4" x14ac:dyDescent="0.2">
      <c r="A1231" s="5">
        <v>1170</v>
      </c>
      <c r="B1231" s="138">
        <f>'Expenditures 15-22'!D127</f>
        <v>102083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102083</v>
      </c>
      <c r="C1233" s="2" t="s">
        <v>594</v>
      </c>
      <c r="D1233" s="2" t="str">
        <f t="shared" si="18"/>
        <v>Error?</v>
      </c>
    </row>
    <row r="1234" spans="1:4" x14ac:dyDescent="0.2">
      <c r="A1234" s="5">
        <v>1173</v>
      </c>
      <c r="B1234" s="138">
        <f>'Expenditures 15-22'!D151</f>
        <v>102083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9002</v>
      </c>
      <c r="D1236" s="2" t="str">
        <f t="shared" si="18"/>
        <v>Error?</v>
      </c>
    </row>
    <row r="1237" spans="1:4" x14ac:dyDescent="0.2">
      <c r="A1237" s="5">
        <v>1176</v>
      </c>
      <c r="B1237" s="138">
        <f>'Expenditures 15-22'!E124</f>
        <v>88204</v>
      </c>
      <c r="D1237" s="2" t="str">
        <f t="shared" si="18"/>
        <v>Error?</v>
      </c>
    </row>
    <row r="1238" spans="1:4" x14ac:dyDescent="0.2">
      <c r="A1238" s="10">
        <v>1177</v>
      </c>
      <c r="D1238" s="2" t="str">
        <f t="shared" si="18"/>
        <v>OK</v>
      </c>
    </row>
    <row r="1239" spans="1:4" x14ac:dyDescent="0.2">
      <c r="A1239" s="5">
        <v>1178</v>
      </c>
      <c r="B1239" s="138">
        <f>'Expenditures 15-22'!E127</f>
        <v>97206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97206</v>
      </c>
      <c r="C1241" s="2" t="s">
        <v>594</v>
      </c>
      <c r="D1241" s="2" t="str">
        <f t="shared" si="18"/>
        <v>Error?</v>
      </c>
    </row>
    <row r="1242" spans="1:4" x14ac:dyDescent="0.2">
      <c r="A1242" s="5">
        <v>1181</v>
      </c>
      <c r="B1242" s="138">
        <f>'Expenditures 15-22'!E151</f>
        <v>97206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155796</v>
      </c>
      <c r="D1245" s="2" t="str">
        <f t="shared" si="18"/>
        <v>Error?</v>
      </c>
    </row>
    <row r="1246" spans="1:4" x14ac:dyDescent="0.2">
      <c r="A1246" s="10">
        <v>1185</v>
      </c>
      <c r="D1246" s="2" t="str">
        <f t="shared" si="18"/>
        <v>OK</v>
      </c>
    </row>
    <row r="1247" spans="1:4" x14ac:dyDescent="0.2">
      <c r="A1247" s="5">
        <v>1186</v>
      </c>
      <c r="B1247" s="138">
        <f>'Expenditures 15-22'!F127</f>
        <v>155796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155796</v>
      </c>
      <c r="C1249" s="2" t="s">
        <v>594</v>
      </c>
      <c r="D1249" s="2" t="str">
        <f t="shared" si="18"/>
        <v>Error?</v>
      </c>
    </row>
    <row r="1250" spans="1:4" x14ac:dyDescent="0.2">
      <c r="A1250" s="5">
        <v>1189</v>
      </c>
      <c r="B1250" s="138">
        <f>'Expenditures 15-22'!F151</f>
        <v>155796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223011</v>
      </c>
      <c r="D1252" s="2" t="str">
        <f t="shared" si="18"/>
        <v>Error?</v>
      </c>
    </row>
    <row r="1253" spans="1:4" x14ac:dyDescent="0.2">
      <c r="A1253" s="5">
        <v>1192</v>
      </c>
      <c r="B1253" s="138">
        <f>'Expenditures 15-22'!G124</f>
        <v>34529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257540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257540</v>
      </c>
      <c r="C1258" s="2" t="s">
        <v>594</v>
      </c>
      <c r="D1258" s="2" t="str">
        <f t="shared" si="18"/>
        <v>Error?</v>
      </c>
    </row>
    <row r="1259" spans="1:4" x14ac:dyDescent="0.2">
      <c r="A1259" s="5">
        <v>1198</v>
      </c>
      <c r="B1259" s="138">
        <f>'Expenditures 15-22'!G151</f>
        <v>257540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232013</v>
      </c>
      <c r="C1275" s="2" t="s">
        <v>594</v>
      </c>
      <c r="D1275" s="2" t="str">
        <f t="shared" si="18"/>
        <v>Error?</v>
      </c>
    </row>
    <row r="1276" spans="1:4" x14ac:dyDescent="0.2">
      <c r="A1276" s="5">
        <v>1215</v>
      </c>
      <c r="B1276" s="138">
        <f>'Expenditures 15-22'!K124</f>
        <v>844241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1076254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1076254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1076254</v>
      </c>
      <c r="C1288" s="2" t="s">
        <v>594</v>
      </c>
      <c r="D1288" s="2" t="str">
        <f t="shared" si="19"/>
        <v>Error?</v>
      </c>
    </row>
    <row r="1289" spans="1:4" x14ac:dyDescent="0.2">
      <c r="A1289" s="5">
        <v>1228</v>
      </c>
      <c r="B1289" s="138">
        <f>'Expenditures 15-22'!K152</f>
        <v>-143327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443000</v>
      </c>
      <c r="C1317" s="2" t="s">
        <v>594</v>
      </c>
      <c r="D1317" s="2" t="str">
        <f t="shared" si="19"/>
        <v>Error?</v>
      </c>
    </row>
    <row r="1318" spans="1:4" x14ac:dyDescent="0.2">
      <c r="A1318" s="5">
        <v>1257</v>
      </c>
      <c r="B1318" s="138">
        <f>'Expenditures 15-22'!H174</f>
        <v>443000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153000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443000</v>
      </c>
      <c r="C1331" s="2" t="s">
        <v>594</v>
      </c>
      <c r="D1331" s="2" t="str">
        <f t="shared" si="19"/>
        <v>Error?</v>
      </c>
    </row>
    <row r="1332" spans="1:4" x14ac:dyDescent="0.2">
      <c r="A1332" s="5">
        <v>1271</v>
      </c>
      <c r="B1332" s="138">
        <f>'Expenditures 15-22'!K174</f>
        <v>443000</v>
      </c>
      <c r="C1332" s="2" t="s">
        <v>594</v>
      </c>
      <c r="D1332" s="2" t="str">
        <f t="shared" si="19"/>
        <v>Error?</v>
      </c>
    </row>
    <row r="1333" spans="1:4" x14ac:dyDescent="0.2">
      <c r="A1333" s="5">
        <v>1272</v>
      </c>
      <c r="B1333" s="138">
        <f>'Expenditures 15-22'!K175</f>
        <v>-14376</v>
      </c>
      <c r="C1333" s="2" t="s">
        <v>594</v>
      </c>
      <c r="D1333" s="2" t="str">
        <f t="shared" si="19"/>
        <v>Error?</v>
      </c>
    </row>
    <row r="1334" spans="1:4" x14ac:dyDescent="0.2">
      <c r="A1334" s="10">
        <v>1273</v>
      </c>
      <c r="D1334" s="2" t="str">
        <f t="shared" si="19"/>
        <v>OK</v>
      </c>
    </row>
    <row r="1335" spans="1:4" x14ac:dyDescent="0.2">
      <c r="A1335" s="5">
        <v>1274</v>
      </c>
      <c r="B1335" s="138">
        <f>'Expenditures 15-22'!C182</f>
        <v>465794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465794</v>
      </c>
      <c r="C1339" s="2" t="s">
        <v>594</v>
      </c>
      <c r="D1339" s="2" t="str">
        <f t="shared" si="19"/>
        <v>Error?</v>
      </c>
    </row>
    <row r="1340" spans="1:4" x14ac:dyDescent="0.2">
      <c r="A1340" s="5">
        <v>1279</v>
      </c>
      <c r="B1340" s="138">
        <f>'Expenditures 15-22'!C210</f>
        <v>465794</v>
      </c>
      <c r="C1340" s="2" t="s">
        <v>594</v>
      </c>
      <c r="D1340" s="2" t="str">
        <f t="shared" si="19"/>
        <v>Error?</v>
      </c>
    </row>
    <row r="1341" spans="1:4" x14ac:dyDescent="0.2">
      <c r="A1341" s="5">
        <v>1280</v>
      </c>
      <c r="B1341" s="138">
        <f>'Expenditures 15-22'!D182</f>
        <v>27776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27776</v>
      </c>
      <c r="C1345" s="2" t="s">
        <v>594</v>
      </c>
      <c r="D1345" s="2" t="str">
        <f t="shared" si="20"/>
        <v>Error?</v>
      </c>
    </row>
    <row r="1346" spans="1:4" x14ac:dyDescent="0.2">
      <c r="A1346" s="5">
        <v>1285</v>
      </c>
      <c r="B1346" s="138">
        <f>'Expenditures 15-22'!D210</f>
        <v>27776</v>
      </c>
      <c r="C1346" s="2" t="s">
        <v>594</v>
      </c>
      <c r="D1346" s="2" t="str">
        <f t="shared" si="20"/>
        <v>Error?</v>
      </c>
    </row>
    <row r="1347" spans="1:4" x14ac:dyDescent="0.2">
      <c r="A1347" s="5">
        <v>1286</v>
      </c>
      <c r="B1347" s="138">
        <f>'Expenditures 15-22'!E182</f>
        <v>71773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71773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71773</v>
      </c>
      <c r="C1353" s="2" t="s">
        <v>594</v>
      </c>
      <c r="D1353" s="2" t="str">
        <f t="shared" si="20"/>
        <v>Error?</v>
      </c>
    </row>
    <row r="1354" spans="1:4" x14ac:dyDescent="0.2">
      <c r="A1354" s="5">
        <v>1293</v>
      </c>
      <c r="B1354" s="138">
        <f>'Expenditures 15-22'!F182</f>
        <v>52642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52642</v>
      </c>
      <c r="C1358" s="2" t="s">
        <v>594</v>
      </c>
      <c r="D1358" s="2" t="str">
        <f t="shared" si="20"/>
        <v>Error?</v>
      </c>
    </row>
    <row r="1359" spans="1:4" x14ac:dyDescent="0.2">
      <c r="A1359" s="5">
        <v>1298</v>
      </c>
      <c r="B1359" s="138">
        <f>'Expenditures 15-22'!F210</f>
        <v>52642</v>
      </c>
      <c r="C1359" s="2" t="s">
        <v>594</v>
      </c>
      <c r="D1359" s="2" t="str">
        <f t="shared" si="20"/>
        <v>Error?</v>
      </c>
    </row>
    <row r="1360" spans="1:4" x14ac:dyDescent="0.2">
      <c r="A1360" s="5">
        <v>1299</v>
      </c>
      <c r="B1360" s="138">
        <f>'Expenditures 15-22'!G182</f>
        <v>3500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3500</v>
      </c>
      <c r="C1364" s="2" t="s">
        <v>594</v>
      </c>
      <c r="D1364" s="2" t="str">
        <f t="shared" si="20"/>
        <v>Error?</v>
      </c>
    </row>
    <row r="1365" spans="1:4" x14ac:dyDescent="0.2">
      <c r="A1365" s="5">
        <v>1304</v>
      </c>
      <c r="B1365" s="138">
        <f>'Expenditures 15-22'!G210</f>
        <v>3500</v>
      </c>
      <c r="C1365" s="2" t="s">
        <v>594</v>
      </c>
      <c r="D1365" s="2" t="str">
        <f t="shared" si="20"/>
        <v>Error?</v>
      </c>
    </row>
    <row r="1366" spans="1:4" x14ac:dyDescent="0.2">
      <c r="A1366" s="5">
        <v>1305</v>
      </c>
      <c r="B1366" s="138">
        <f>'Expenditures 15-22'!H182</f>
        <v>325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325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325</v>
      </c>
      <c r="C1376" s="2" t="s">
        <v>594</v>
      </c>
      <c r="D1376" s="2" t="str">
        <f t="shared" si="20"/>
        <v>Error?</v>
      </c>
    </row>
    <row r="1377" spans="1:4" x14ac:dyDescent="0.2">
      <c r="A1377" s="5">
        <v>1316</v>
      </c>
      <c r="B1377" s="138">
        <f>'Expenditures 15-22'!K182</f>
        <v>621810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621810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621810</v>
      </c>
      <c r="C1388" s="2" t="s">
        <v>594</v>
      </c>
      <c r="D1388" s="2" t="str">
        <f t="shared" si="20"/>
        <v>Error?</v>
      </c>
    </row>
    <row r="1389" spans="1:4" x14ac:dyDescent="0.2">
      <c r="A1389" s="5">
        <v>1328</v>
      </c>
      <c r="B1389" s="138">
        <f>'Expenditures 15-22'!K211</f>
        <v>-22605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75589</v>
      </c>
      <c r="C1410" s="2" t="s">
        <v>594</v>
      </c>
      <c r="D1410" s="2" t="str">
        <f t="shared" si="21"/>
        <v>Error?</v>
      </c>
    </row>
    <row r="1411" spans="1:4" x14ac:dyDescent="0.2">
      <c r="A1411" s="5">
        <v>1350</v>
      </c>
      <c r="B1411" s="138">
        <f>'Expenditures 15-22'!D232</f>
        <v>1882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13502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698</v>
      </c>
      <c r="D1415" s="2" t="str">
        <f t="shared" si="21"/>
        <v>Error?</v>
      </c>
    </row>
    <row r="1416" spans="1:4" x14ac:dyDescent="0.2">
      <c r="A1416" s="5">
        <v>1355</v>
      </c>
      <c r="B1416" s="138">
        <f>'Expenditures 15-22'!D237</f>
        <v>6938</v>
      </c>
      <c r="D1416" s="2" t="str">
        <f t="shared" si="21"/>
        <v>Error?</v>
      </c>
    </row>
    <row r="1417" spans="1:4" x14ac:dyDescent="0.2">
      <c r="A1417" s="5">
        <v>1356</v>
      </c>
      <c r="B1417" s="138">
        <f>'Expenditures 15-22'!D238</f>
        <v>23020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13401</v>
      </c>
      <c r="D1423" s="2" t="str">
        <f t="shared" si="21"/>
        <v>Error?</v>
      </c>
    </row>
    <row r="1424" spans="1:4" x14ac:dyDescent="0.2">
      <c r="A1424" s="5">
        <v>1363</v>
      </c>
      <c r="B1424" s="138">
        <f>'Expenditures 15-22'!D257</f>
        <v>13401</v>
      </c>
      <c r="C1424" s="2" t="s">
        <v>594</v>
      </c>
      <c r="D1424" s="2" t="str">
        <f t="shared" si="21"/>
        <v>Error?</v>
      </c>
    </row>
    <row r="1425" spans="1:4" x14ac:dyDescent="0.2">
      <c r="A1425" s="5">
        <v>1364</v>
      </c>
      <c r="B1425" s="138">
        <f>'Expenditures 15-22'!D259</f>
        <v>22971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22971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35354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100246</v>
      </c>
      <c r="D1431" s="2" t="str">
        <f t="shared" si="21"/>
        <v>Error?</v>
      </c>
    </row>
    <row r="1432" spans="1:4" x14ac:dyDescent="0.2">
      <c r="A1432" s="5">
        <v>1371</v>
      </c>
      <c r="B1432" s="138">
        <f>'Expenditures 15-22'!D267</f>
        <v>101845</v>
      </c>
      <c r="D1432" s="2" t="str">
        <f t="shared" si="21"/>
        <v>Error?</v>
      </c>
    </row>
    <row r="1433" spans="1:4" x14ac:dyDescent="0.2">
      <c r="A1433" s="5">
        <v>1372</v>
      </c>
      <c r="B1433" s="138">
        <f>'Expenditures 15-22'!D268</f>
        <v>18313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255758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316447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392036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1837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75589</v>
      </c>
      <c r="C1474" s="2" t="s">
        <v>594</v>
      </c>
      <c r="D1474" s="2" t="str">
        <f t="shared" si="22"/>
        <v>Error?</v>
      </c>
    </row>
    <row r="1475" spans="1:4" x14ac:dyDescent="0.2">
      <c r="A1475" s="5">
        <v>1414</v>
      </c>
      <c r="B1475" s="138">
        <f>'Expenditures 15-22'!K232</f>
        <v>1882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13502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698</v>
      </c>
      <c r="C1479" s="2" t="s">
        <v>594</v>
      </c>
      <c r="D1479" s="2" t="str">
        <f t="shared" si="22"/>
        <v>Error?</v>
      </c>
    </row>
    <row r="1480" spans="1:4" x14ac:dyDescent="0.2">
      <c r="A1480" s="5">
        <v>1419</v>
      </c>
      <c r="B1480" s="138">
        <f>'Expenditures 15-22'!K237</f>
        <v>6938</v>
      </c>
      <c r="C1480" s="2" t="s">
        <v>594</v>
      </c>
      <c r="D1480" s="2" t="str">
        <f t="shared" si="22"/>
        <v>Error?</v>
      </c>
    </row>
    <row r="1481" spans="1:4" x14ac:dyDescent="0.2">
      <c r="A1481" s="5">
        <v>1420</v>
      </c>
      <c r="B1481" s="138">
        <f>'Expenditures 15-22'!K238</f>
        <v>23020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1297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1297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13401</v>
      </c>
      <c r="C1487" s="2" t="s">
        <v>594</v>
      </c>
      <c r="D1487" s="2" t="str">
        <f t="shared" si="22"/>
        <v>Error?</v>
      </c>
    </row>
    <row r="1488" spans="1:4" x14ac:dyDescent="0.2">
      <c r="A1488" s="5">
        <v>1427</v>
      </c>
      <c r="B1488" s="138">
        <f>'Expenditures 15-22'!K257</f>
        <v>13401</v>
      </c>
      <c r="C1488" s="2" t="s">
        <v>594</v>
      </c>
      <c r="D1488" s="2" t="str">
        <f t="shared" si="22"/>
        <v>Error?</v>
      </c>
    </row>
    <row r="1489" spans="1:4" x14ac:dyDescent="0.2">
      <c r="A1489" s="5">
        <v>1428</v>
      </c>
      <c r="B1489" s="138">
        <f>'Expenditures 15-22'!K259</f>
        <v>22971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22971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35354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100246</v>
      </c>
      <c r="C1495" s="2" t="s">
        <v>594</v>
      </c>
      <c r="D1495" s="2" t="str">
        <f t="shared" si="22"/>
        <v>Error?</v>
      </c>
    </row>
    <row r="1496" spans="1:4" x14ac:dyDescent="0.2">
      <c r="A1496" s="5">
        <v>1435</v>
      </c>
      <c r="B1496" s="138">
        <f>'Expenditures 15-22'!K267</f>
        <v>101845</v>
      </c>
      <c r="C1496" s="2" t="s">
        <v>594</v>
      </c>
      <c r="D1496" s="2" t="str">
        <f t="shared" si="22"/>
        <v>Error?</v>
      </c>
    </row>
    <row r="1497" spans="1:4" x14ac:dyDescent="0.2">
      <c r="A1497" s="5">
        <v>1436</v>
      </c>
      <c r="B1497" s="138">
        <f>'Expenditures 15-22'!K268</f>
        <v>18313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255758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316447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392036</v>
      </c>
      <c r="C1517" s="2" t="s">
        <v>594</v>
      </c>
      <c r="D1517" s="2" t="str">
        <f t="shared" si="22"/>
        <v>Error?</v>
      </c>
    </row>
    <row r="1518" spans="1:4" x14ac:dyDescent="0.2">
      <c r="A1518" s="5">
        <v>1457</v>
      </c>
      <c r="B1518" s="138">
        <f>'Expenditures 15-22'!K296</f>
        <v>1594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10899160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12644042</v>
      </c>
      <c r="C1630" s="2" t="s">
        <v>594</v>
      </c>
      <c r="D1630" s="2" t="str">
        <f t="shared" si="24"/>
        <v>Error?</v>
      </c>
    </row>
    <row r="1631" spans="1:4" x14ac:dyDescent="0.2">
      <c r="A1631" s="5">
        <v>1570</v>
      </c>
      <c r="B1631" s="138">
        <f>'Acct Summary 7-8'!D79</f>
        <v>299215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155888</v>
      </c>
      <c r="C1644" s="2" t="s">
        <v>594</v>
      </c>
      <c r="D1644" s="2" t="str">
        <f t="shared" si="24"/>
        <v>Error?</v>
      </c>
    </row>
    <row r="1645" spans="1:4" x14ac:dyDescent="0.2">
      <c r="A1645" s="5">
        <v>1584</v>
      </c>
      <c r="B1645" s="138">
        <f>'Acct Summary 7-8'!E79</f>
        <v>324200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309824</v>
      </c>
      <c r="C1658" s="2" t="s">
        <v>594</v>
      </c>
      <c r="D1658" s="2" t="str">
        <f t="shared" si="24"/>
        <v>Error?</v>
      </c>
    </row>
    <row r="1659" spans="1:4" x14ac:dyDescent="0.2">
      <c r="A1659" s="5">
        <v>1598</v>
      </c>
      <c r="B1659" s="138">
        <f>'Acct Summary 7-8'!F79</f>
        <v>208811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186206</v>
      </c>
      <c r="C1672" s="2" t="s">
        <v>594</v>
      </c>
      <c r="D1672" s="2" t="str">
        <f t="shared" si="25"/>
        <v>Error?</v>
      </c>
    </row>
    <row r="1673" spans="1:4" x14ac:dyDescent="0.2">
      <c r="A1673" s="5">
        <v>1612</v>
      </c>
      <c r="B1673" s="138">
        <f>'Acct Summary 7-8'!G79</f>
        <v>1648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3242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6088381</v>
      </c>
      <c r="C1744" s="2" t="s">
        <v>594</v>
      </c>
      <c r="D1744" s="2" t="str">
        <f t="shared" si="26"/>
        <v>Error?</v>
      </c>
    </row>
    <row r="1745" spans="1:5" x14ac:dyDescent="0.2">
      <c r="A1745" s="5">
        <v>1684</v>
      </c>
      <c r="B1745" s="138">
        <f>'Tax Sched 23'!B5</f>
        <v>926836</v>
      </c>
      <c r="C1745" s="2" t="s">
        <v>594</v>
      </c>
      <c r="D1745" s="2" t="str">
        <f t="shared" si="26"/>
        <v>Error?</v>
      </c>
    </row>
    <row r="1746" spans="1:5" x14ac:dyDescent="0.2">
      <c r="A1746" s="5">
        <v>1685</v>
      </c>
      <c r="B1746" s="138">
        <f>'Tax Sched 23'!B6</f>
        <v>425031</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71815</v>
      </c>
      <c r="C1748" s="2" t="s">
        <v>594</v>
      </c>
      <c r="D1748" s="2" t="str">
        <f t="shared" si="26"/>
        <v>Error?</v>
      </c>
    </row>
    <row r="1749" spans="1:5" x14ac:dyDescent="0.2">
      <c r="A1749" s="5">
        <v>1688</v>
      </c>
      <c r="B1749" s="138">
        <f>'Tax Sched 23'!B10</f>
        <v>59918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625736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8269532</v>
      </c>
      <c r="C1759" s="2" t="s">
        <v>594</v>
      </c>
      <c r="D1759" s="2" t="str">
        <f t="shared" si="26"/>
        <v>Error?</v>
      </c>
    </row>
    <row r="1760" spans="1:5" x14ac:dyDescent="0.2">
      <c r="A1760" s="5">
        <v>1699</v>
      </c>
      <c r="B1760" s="138">
        <f>'Tax Sched 23'!D4</f>
        <v>2534313</v>
      </c>
      <c r="C1760" s="2" t="s">
        <v>594</v>
      </c>
      <c r="D1760" s="2" t="str">
        <f t="shared" si="26"/>
        <v>Error?</v>
      </c>
    </row>
    <row r="1761" spans="1:5" x14ac:dyDescent="0.2">
      <c r="A1761" s="5">
        <v>1700</v>
      </c>
      <c r="B1761" s="138">
        <f>'Tax Sched 23'!D5</f>
        <v>398524</v>
      </c>
      <c r="C1761" s="2" t="s">
        <v>594</v>
      </c>
      <c r="D1761" s="2" t="str">
        <f t="shared" si="26"/>
        <v>Error?</v>
      </c>
    </row>
    <row r="1762" spans="1:5" s="8" customFormat="1" x14ac:dyDescent="0.2">
      <c r="A1762" s="5">
        <v>1701</v>
      </c>
      <c r="B1762" s="138">
        <f>'Tax Sched 23'!D6</f>
        <v>181786</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71815</v>
      </c>
      <c r="C1764" s="2" t="s">
        <v>594</v>
      </c>
      <c r="D1764" s="2" t="str">
        <f t="shared" si="26"/>
        <v>Error?</v>
      </c>
    </row>
    <row r="1765" spans="1:5" x14ac:dyDescent="0.2">
      <c r="A1765" s="5">
        <v>1704</v>
      </c>
      <c r="B1765" s="138">
        <f>'Tax Sched 23'!D10</f>
        <v>35928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289521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3583702</v>
      </c>
      <c r="C1775" s="2" t="s">
        <v>594</v>
      </c>
      <c r="D1775" s="2" t="str">
        <f t="shared" si="26"/>
        <v>Error?</v>
      </c>
    </row>
    <row r="1776" spans="1:5" x14ac:dyDescent="0.2">
      <c r="A1776" s="5">
        <v>1715</v>
      </c>
      <c r="B1776" s="138">
        <f>'Tax Sched 23'!C4</f>
        <v>3554068</v>
      </c>
      <c r="D1776" s="2" t="str">
        <f t="shared" si="26"/>
        <v>Error?</v>
      </c>
    </row>
    <row r="1777" spans="1:4" x14ac:dyDescent="0.2">
      <c r="A1777" s="5">
        <v>1716</v>
      </c>
      <c r="B1777" s="138">
        <f>'Tax Sched 23'!C5</f>
        <v>528312</v>
      </c>
      <c r="D1777" s="2" t="str">
        <f t="shared" si="26"/>
        <v>Error?</v>
      </c>
    </row>
    <row r="1778" spans="1:4" x14ac:dyDescent="0.2">
      <c r="A1778" s="5">
        <v>1717</v>
      </c>
      <c r="B1778" s="138">
        <f>'Tax Sched 23'!C6</f>
        <v>243245</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23990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336215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4685830</v>
      </c>
      <c r="C1791" s="2" t="s">
        <v>594</v>
      </c>
      <c r="D1791" s="2" t="str">
        <f t="shared" ref="D1791:D1854" si="27">IF(ISBLANK(B1791),"OK",IF(A1791-B1791=0,"OK","Error?"))</f>
        <v>Error?</v>
      </c>
    </row>
    <row r="1792" spans="1:4" x14ac:dyDescent="0.2">
      <c r="A1792" s="5">
        <v>1731</v>
      </c>
      <c r="B1792" s="138">
        <f>'Tax Sched 23'!F4</f>
        <v>3506473</v>
      </c>
      <c r="C1792" s="2" t="s">
        <v>594</v>
      </c>
      <c r="D1792" s="2" t="str">
        <f t="shared" si="27"/>
        <v>Error?</v>
      </c>
    </row>
    <row r="1793" spans="1:4" x14ac:dyDescent="0.2">
      <c r="A1793" s="5">
        <v>1732</v>
      </c>
      <c r="B1793" s="138">
        <f>'Tax Sched 23'!F5</f>
        <v>521244</v>
      </c>
      <c r="C1793" s="2" t="s">
        <v>594</v>
      </c>
      <c r="D1793" s="2" t="str">
        <f t="shared" si="27"/>
        <v>Error?</v>
      </c>
    </row>
    <row r="1794" spans="1:4" x14ac:dyDescent="0.2">
      <c r="A1794" s="5">
        <v>1733</v>
      </c>
      <c r="B1794" s="138">
        <f>'Tax Sched 23'!F6</f>
        <v>225554</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23735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331740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4608746</v>
      </c>
      <c r="C1807" s="2" t="s">
        <v>594</v>
      </c>
      <c r="D1807" s="2" t="str">
        <f t="shared" si="27"/>
        <v>Error?</v>
      </c>
    </row>
    <row r="1808" spans="1:4" x14ac:dyDescent="0.2">
      <c r="A1808" s="5">
        <v>1747</v>
      </c>
      <c r="B1808" s="138">
        <f>'Tax Sched 23'!E4</f>
        <v>7060541</v>
      </c>
      <c r="D1808" s="2" t="str">
        <f t="shared" si="27"/>
        <v>Error?</v>
      </c>
    </row>
    <row r="1809" spans="1:4" x14ac:dyDescent="0.2">
      <c r="A1809" s="5">
        <v>1748</v>
      </c>
      <c r="B1809" s="138">
        <f>'Tax Sched 23'!E5</f>
        <v>1049556</v>
      </c>
      <c r="D1809" s="2" t="str">
        <f t="shared" si="27"/>
        <v>Error?</v>
      </c>
    </row>
    <row r="1810" spans="1:4" x14ac:dyDescent="0.2">
      <c r="A1810" s="5">
        <v>1749</v>
      </c>
      <c r="B1810" s="138">
        <f>'Tax Sched 23'!E6</f>
        <v>468799</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47725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667955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9294576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625736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625736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625736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7000</v>
      </c>
      <c r="D2008" s="2" t="str">
        <f t="shared" si="30"/>
        <v>Error?</v>
      </c>
    </row>
    <row r="2009" spans="1:4" x14ac:dyDescent="0.2">
      <c r="A2009" s="5">
        <v>1948</v>
      </c>
      <c r="B2009" s="138">
        <f>'Cap Outlay Deprec 26'!C8</f>
        <v>17791210</v>
      </c>
      <c r="D2009" s="2" t="str">
        <f t="shared" si="30"/>
        <v>Error?</v>
      </c>
    </row>
    <row r="2010" spans="1:4" x14ac:dyDescent="0.2">
      <c r="A2010" s="5">
        <v>1949</v>
      </c>
      <c r="B2010" s="138">
        <f>'Cap Outlay Deprec 26'!C10</f>
        <v>235877</v>
      </c>
      <c r="D2010" s="2" t="str">
        <f t="shared" si="30"/>
        <v>Error?</v>
      </c>
    </row>
    <row r="2011" spans="1:4" x14ac:dyDescent="0.2">
      <c r="A2011" s="5">
        <v>1950</v>
      </c>
      <c r="B2011" s="138">
        <f>'Cap Outlay Deprec 26'!C12</f>
        <v>3481325</v>
      </c>
      <c r="D2011" s="2" t="str">
        <f t="shared" si="30"/>
        <v>Error?</v>
      </c>
    </row>
    <row r="2012" spans="1:4" x14ac:dyDescent="0.2">
      <c r="A2012" s="5">
        <v>1951</v>
      </c>
      <c r="B2012" s="138">
        <f>'Cap Outlay Deprec 26'!C13</f>
        <v>643203</v>
      </c>
      <c r="D2012" s="2" t="str">
        <f t="shared" si="30"/>
        <v>Error?</v>
      </c>
    </row>
    <row r="2013" spans="1:4" x14ac:dyDescent="0.2">
      <c r="A2013" s="5">
        <v>1952</v>
      </c>
      <c r="B2013" s="138">
        <f>'Cap Outlay Deprec 26'!C16</f>
        <v>22158615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100784</v>
      </c>
      <c r="D2015" s="2" t="str">
        <f t="shared" si="30"/>
        <v>Error?</v>
      </c>
    </row>
    <row r="2016" spans="1:4" x14ac:dyDescent="0.2">
      <c r="A2016" s="5">
        <v>1955</v>
      </c>
      <c r="B2016" s="138">
        <f>'Cap Outlay Deprec 26'!D10</f>
        <v>49485</v>
      </c>
      <c r="D2016" s="2" t="str">
        <f t="shared" si="30"/>
        <v>Error?</v>
      </c>
    </row>
    <row r="2017" spans="1:4" x14ac:dyDescent="0.2">
      <c r="A2017" s="5">
        <v>1956</v>
      </c>
      <c r="B2017" s="138">
        <f>'Cap Outlay Deprec 26'!D12</f>
        <v>132489</v>
      </c>
      <c r="D2017" s="2" t="str">
        <f t="shared" si="30"/>
        <v>Error?</v>
      </c>
    </row>
    <row r="2018" spans="1:4" x14ac:dyDescent="0.2">
      <c r="A2018" s="5">
        <v>1957</v>
      </c>
      <c r="B2018" s="138">
        <f>'Cap Outlay Deprec 26'!D13</f>
        <v>3500</v>
      </c>
      <c r="D2018" s="2" t="str">
        <f t="shared" si="30"/>
        <v>Error?</v>
      </c>
    </row>
    <row r="2019" spans="1:4" x14ac:dyDescent="0.2">
      <c r="A2019" s="5">
        <v>1958</v>
      </c>
      <c r="B2019" s="138">
        <f>'Cap Outlay Deprec 26'!D16</f>
        <v>338563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7000</v>
      </c>
      <c r="C2026" s="2" t="s">
        <v>594</v>
      </c>
      <c r="D2026" s="2" t="str">
        <f t="shared" si="30"/>
        <v>Error?</v>
      </c>
    </row>
    <row r="2027" spans="1:4" x14ac:dyDescent="0.2">
      <c r="A2027" s="5">
        <v>1966</v>
      </c>
      <c r="B2027" s="138">
        <f>'Cap Outlay Deprec 26'!F8</f>
        <v>17891994</v>
      </c>
      <c r="C2027" s="2" t="s">
        <v>594</v>
      </c>
      <c r="D2027" s="2" t="str">
        <f t="shared" si="30"/>
        <v>Error?</v>
      </c>
    </row>
    <row r="2028" spans="1:4" x14ac:dyDescent="0.2">
      <c r="A2028" s="5">
        <v>1967</v>
      </c>
      <c r="B2028" s="138">
        <f>'Cap Outlay Deprec 26'!F10</f>
        <v>285362</v>
      </c>
      <c r="C2028" s="2" t="s">
        <v>594</v>
      </c>
      <c r="D2028" s="2" t="str">
        <f t="shared" si="30"/>
        <v>Error?</v>
      </c>
    </row>
    <row r="2029" spans="1:4" x14ac:dyDescent="0.2">
      <c r="A2029" s="5">
        <v>1968</v>
      </c>
      <c r="B2029" s="138">
        <f>'Cap Outlay Deprec 26'!F12</f>
        <v>3613814</v>
      </c>
      <c r="C2029" s="2" t="s">
        <v>594</v>
      </c>
      <c r="D2029" s="2" t="str">
        <f t="shared" si="30"/>
        <v>Error?</v>
      </c>
    </row>
    <row r="2030" spans="1:4" x14ac:dyDescent="0.2">
      <c r="A2030" s="5">
        <v>1969</v>
      </c>
      <c r="B2030" s="138">
        <f>'Cap Outlay Deprec 26'!F13</f>
        <v>646703</v>
      </c>
      <c r="C2030" s="2" t="s">
        <v>594</v>
      </c>
      <c r="D2030" s="2" t="str">
        <f t="shared" si="30"/>
        <v>Error?</v>
      </c>
    </row>
    <row r="2031" spans="1:4" x14ac:dyDescent="0.2">
      <c r="A2031" s="5">
        <v>1970</v>
      </c>
      <c r="B2031" s="138">
        <f>'Cap Outlay Deprec 26'!F16</f>
        <v>22497178</v>
      </c>
      <c r="C2031" s="2" t="s">
        <v>594</v>
      </c>
      <c r="D2031" s="2" t="str">
        <f t="shared" si="30"/>
        <v>Error?</v>
      </c>
    </row>
    <row r="2032" spans="1:4" x14ac:dyDescent="0.2">
      <c r="A2032" s="10">
        <v>1971</v>
      </c>
      <c r="D2032" s="2" t="str">
        <f t="shared" si="30"/>
        <v>OK</v>
      </c>
    </row>
    <row r="2033" spans="1:4" x14ac:dyDescent="0.2">
      <c r="A2033" s="5">
        <v>1972</v>
      </c>
      <c r="B2033" s="138">
        <f>'Cap Outlay Deprec 26'!H8</f>
        <v>5830542</v>
      </c>
      <c r="D2033" s="2" t="str">
        <f t="shared" si="30"/>
        <v>Error?</v>
      </c>
    </row>
    <row r="2034" spans="1:4" x14ac:dyDescent="0.2">
      <c r="A2034" s="5">
        <v>1973</v>
      </c>
      <c r="B2034" s="138">
        <f>'Cap Outlay Deprec 26'!H10</f>
        <v>211648</v>
      </c>
      <c r="D2034" s="2" t="str">
        <f t="shared" si="30"/>
        <v>Error?</v>
      </c>
    </row>
    <row r="2035" spans="1:4" x14ac:dyDescent="0.2">
      <c r="A2035" s="5">
        <v>1974</v>
      </c>
      <c r="B2035" s="138">
        <f>'Cap Outlay Deprec 26'!H12</f>
        <v>2828484</v>
      </c>
      <c r="D2035" s="2" t="str">
        <f t="shared" si="30"/>
        <v>Error?</v>
      </c>
    </row>
    <row r="2036" spans="1:4" x14ac:dyDescent="0.2">
      <c r="A2036" s="5">
        <v>1975</v>
      </c>
      <c r="B2036" s="138">
        <f>'Cap Outlay Deprec 26'!H13</f>
        <v>566861</v>
      </c>
      <c r="D2036" s="2" t="str">
        <f t="shared" si="30"/>
        <v>Error?</v>
      </c>
    </row>
    <row r="2037" spans="1:4" x14ac:dyDescent="0.2">
      <c r="A2037" s="5">
        <v>1976</v>
      </c>
      <c r="B2037" s="138">
        <f>'Cap Outlay Deprec 26'!H16</f>
        <v>9437535</v>
      </c>
      <c r="C2037" s="2" t="s">
        <v>594</v>
      </c>
      <c r="D2037" s="2" t="str">
        <f t="shared" si="30"/>
        <v>Error?</v>
      </c>
    </row>
    <row r="2038" spans="1:4" x14ac:dyDescent="0.2">
      <c r="A2038" s="10">
        <v>1977</v>
      </c>
      <c r="D2038" s="2" t="str">
        <f t="shared" si="30"/>
        <v>OK</v>
      </c>
    </row>
    <row r="2039" spans="1:4" x14ac:dyDescent="0.2">
      <c r="A2039" s="5">
        <v>1978</v>
      </c>
      <c r="B2039" s="138">
        <f>'Cap Outlay Deprec 26'!I8</f>
        <v>356834</v>
      </c>
      <c r="D2039" s="2" t="str">
        <f t="shared" si="30"/>
        <v>Error?</v>
      </c>
    </row>
    <row r="2040" spans="1:4" x14ac:dyDescent="0.2">
      <c r="A2040" s="5">
        <v>1979</v>
      </c>
      <c r="B2040" s="138">
        <f>'Cap Outlay Deprec 26'!I10</f>
        <v>2868</v>
      </c>
      <c r="D2040" s="2" t="str">
        <f t="shared" si="30"/>
        <v>Error?</v>
      </c>
    </row>
    <row r="2041" spans="1:4" x14ac:dyDescent="0.2">
      <c r="A2041" s="5">
        <v>1980</v>
      </c>
      <c r="B2041" s="138">
        <f>'Cap Outlay Deprec 26'!I12</f>
        <v>105628</v>
      </c>
      <c r="D2041" s="2" t="str">
        <f t="shared" si="30"/>
        <v>Error?</v>
      </c>
    </row>
    <row r="2042" spans="1:4" x14ac:dyDescent="0.2">
      <c r="A2042" s="5">
        <v>1981</v>
      </c>
      <c r="B2042" s="138">
        <f>'Cap Outlay Deprec 26'!I13</f>
        <v>23542</v>
      </c>
      <c r="D2042" s="2" t="str">
        <f t="shared" si="30"/>
        <v>Error?</v>
      </c>
    </row>
    <row r="2043" spans="1:4" x14ac:dyDescent="0.2">
      <c r="A2043" s="5">
        <v>1982</v>
      </c>
      <c r="B2043" s="138">
        <f>'Cap Outlay Deprec 26'!I16</f>
        <v>488872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6187376</v>
      </c>
      <c r="C2051" s="2" t="s">
        <v>594</v>
      </c>
      <c r="D2051" s="2" t="str">
        <f t="shared" si="31"/>
        <v>Error?</v>
      </c>
    </row>
    <row r="2052" spans="1:4" x14ac:dyDescent="0.2">
      <c r="A2052" s="5">
        <v>1991</v>
      </c>
      <c r="B2052" s="138">
        <f>'Cap Outlay Deprec 26'!K10</f>
        <v>214516</v>
      </c>
      <c r="C2052" s="2" t="s">
        <v>594</v>
      </c>
      <c r="D2052" s="2" t="str">
        <f t="shared" si="31"/>
        <v>Error?</v>
      </c>
    </row>
    <row r="2053" spans="1:4" x14ac:dyDescent="0.2">
      <c r="A2053" s="5">
        <v>1992</v>
      </c>
      <c r="B2053" s="138">
        <f>'Cap Outlay Deprec 26'!K12</f>
        <v>2934112</v>
      </c>
      <c r="C2053" s="2" t="s">
        <v>594</v>
      </c>
      <c r="D2053" s="2" t="str">
        <f t="shared" si="31"/>
        <v>Error?</v>
      </c>
    </row>
    <row r="2054" spans="1:4" x14ac:dyDescent="0.2">
      <c r="A2054" s="5">
        <v>1993</v>
      </c>
      <c r="B2054" s="138">
        <f>'Cap Outlay Deprec 26'!K13</f>
        <v>590403</v>
      </c>
      <c r="C2054" s="2" t="s">
        <v>594</v>
      </c>
      <c r="D2054" s="2" t="str">
        <f t="shared" si="31"/>
        <v>Error?</v>
      </c>
    </row>
    <row r="2055" spans="1:4" x14ac:dyDescent="0.2">
      <c r="A2055" s="5">
        <v>1994</v>
      </c>
      <c r="B2055" s="138">
        <f>'Cap Outlay Deprec 26'!K16</f>
        <v>9926407</v>
      </c>
      <c r="C2055" s="2" t="s">
        <v>594</v>
      </c>
      <c r="D2055" s="2" t="str">
        <f t="shared" si="31"/>
        <v>Error?</v>
      </c>
    </row>
    <row r="2056" spans="1:4" x14ac:dyDescent="0.2">
      <c r="A2056" s="5">
        <v>1995</v>
      </c>
      <c r="B2056" s="138">
        <f>'Cap Outlay Deprec 26'!L5</f>
        <v>7000</v>
      </c>
      <c r="C2056" s="2" t="s">
        <v>594</v>
      </c>
      <c r="D2056" s="2" t="str">
        <f t="shared" si="31"/>
        <v>Error?</v>
      </c>
    </row>
    <row r="2057" spans="1:4" x14ac:dyDescent="0.2">
      <c r="A2057" s="5">
        <v>1996</v>
      </c>
      <c r="B2057" s="138">
        <f>'Cap Outlay Deprec 26'!L8</f>
        <v>11704618</v>
      </c>
      <c r="C2057" s="2" t="s">
        <v>594</v>
      </c>
      <c r="D2057" s="2" t="str">
        <f t="shared" si="31"/>
        <v>Error?</v>
      </c>
    </row>
    <row r="2058" spans="1:4" x14ac:dyDescent="0.2">
      <c r="A2058" s="5">
        <v>1997</v>
      </c>
      <c r="B2058" s="138">
        <f>'Cap Outlay Deprec 26'!L10</f>
        <v>70846</v>
      </c>
      <c r="C2058" s="2" t="s">
        <v>594</v>
      </c>
      <c r="D2058" s="2" t="str">
        <f t="shared" si="31"/>
        <v>Error?</v>
      </c>
    </row>
    <row r="2059" spans="1:4" x14ac:dyDescent="0.2">
      <c r="A2059" s="5">
        <v>1998</v>
      </c>
      <c r="B2059" s="138">
        <f>'Cap Outlay Deprec 26'!L12</f>
        <v>679702</v>
      </c>
      <c r="C2059" s="2" t="s">
        <v>594</v>
      </c>
      <c r="D2059" s="2" t="str">
        <f t="shared" si="31"/>
        <v>Error?</v>
      </c>
    </row>
    <row r="2060" spans="1:4" x14ac:dyDescent="0.2">
      <c r="A2060" s="5">
        <v>1999</v>
      </c>
      <c r="B2060" s="138">
        <f>'Cap Outlay Deprec 26'!L13</f>
        <v>56300</v>
      </c>
      <c r="C2060" s="2" t="s">
        <v>594</v>
      </c>
      <c r="D2060" s="2" t="str">
        <f t="shared" si="31"/>
        <v>Error?</v>
      </c>
    </row>
    <row r="2061" spans="1:4" x14ac:dyDescent="0.2">
      <c r="A2061" s="5">
        <v>2000</v>
      </c>
      <c r="B2061" s="138">
        <f>'Cap Outlay Deprec 26'!L16</f>
        <v>12570771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86573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86573</v>
      </c>
      <c r="C2088" s="2" t="s">
        <v>594</v>
      </c>
      <c r="D2088" s="2" t="str">
        <f t="shared" si="31"/>
        <v>Error?</v>
      </c>
    </row>
    <row r="2089" spans="1:4" x14ac:dyDescent="0.2">
      <c r="A2089" s="5">
        <v>2028</v>
      </c>
      <c r="B2089" s="138">
        <f>'Expenditures 15-22'!K92</f>
        <v>643821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7256033</v>
      </c>
      <c r="C2551" s="2" t="s">
        <v>594</v>
      </c>
      <c r="D2551" s="2" t="str">
        <f t="shared" si="38"/>
        <v>Error?</v>
      </c>
    </row>
    <row r="2552" spans="1:4" x14ac:dyDescent="0.2">
      <c r="A2552" s="10">
        <v>2491</v>
      </c>
      <c r="D2552" s="2" t="str">
        <f t="shared" si="38"/>
        <v>OK</v>
      </c>
    </row>
    <row r="2553" spans="1:4" x14ac:dyDescent="0.2">
      <c r="A2553" s="5">
        <v>2492</v>
      </c>
      <c r="B2553" s="138">
        <f>'Acct Summary 7-8'!C6</f>
        <v>2074826</v>
      </c>
      <c r="C2553" s="2" t="s">
        <v>594</v>
      </c>
      <c r="D2553" s="2" t="str">
        <f t="shared" si="38"/>
        <v>Error?</v>
      </c>
    </row>
    <row r="2554" spans="1:4" x14ac:dyDescent="0.2">
      <c r="A2554" s="5">
        <v>2493</v>
      </c>
      <c r="B2554" s="138">
        <f>'Acct Summary 7-8'!C7</f>
        <v>773774</v>
      </c>
      <c r="C2554" s="2" t="s">
        <v>594</v>
      </c>
      <c r="D2554" s="2" t="str">
        <f t="shared" si="38"/>
        <v>Error?</v>
      </c>
    </row>
    <row r="2555" spans="1:4" x14ac:dyDescent="0.2">
      <c r="A2555" s="5">
        <v>2494</v>
      </c>
      <c r="B2555" s="138">
        <f>'Acct Summary 7-8'!C8</f>
        <v>10104633</v>
      </c>
      <c r="C2555" s="2" t="s">
        <v>594</v>
      </c>
      <c r="D2555" s="2" t="str">
        <f t="shared" si="38"/>
        <v>Error?</v>
      </c>
    </row>
    <row r="2556" spans="1:4" x14ac:dyDescent="0.2">
      <c r="A2556" s="5">
        <v>2495</v>
      </c>
      <c r="B2556" s="138">
        <f>'Acct Summary 7-8'!C12</f>
        <v>5481652</v>
      </c>
      <c r="C2556" s="2" t="s">
        <v>594</v>
      </c>
      <c r="D2556" s="2" t="str">
        <f t="shared" si="38"/>
        <v>Error?</v>
      </c>
    </row>
    <row r="2557" spans="1:4" x14ac:dyDescent="0.2">
      <c r="A2557" s="5">
        <v>2496</v>
      </c>
      <c r="B2557" s="138">
        <f>'Acct Summary 7-8'!C13</f>
        <v>2146205</v>
      </c>
      <c r="C2557" s="2" t="s">
        <v>594</v>
      </c>
      <c r="D2557" s="2" t="str">
        <f t="shared" si="38"/>
        <v>Error?</v>
      </c>
    </row>
    <row r="2558" spans="1:4" x14ac:dyDescent="0.2">
      <c r="A2558" s="5">
        <v>2497</v>
      </c>
      <c r="B2558" s="138">
        <f>'Acct Summary 7-8'!C14</f>
        <v>1500</v>
      </c>
      <c r="C2558" s="2" t="s">
        <v>594</v>
      </c>
      <c r="D2558" s="2" t="str">
        <f t="shared" si="38"/>
        <v>Error?</v>
      </c>
    </row>
    <row r="2559" spans="1:4" x14ac:dyDescent="0.2">
      <c r="A2559" s="5">
        <v>2498</v>
      </c>
      <c r="B2559" s="138">
        <f>'Acct Summary 7-8'!C15</f>
        <v>730394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8359751</v>
      </c>
      <c r="C2561" s="2" t="s">
        <v>594</v>
      </c>
      <c r="D2561" s="2" t="str">
        <f t="shared" si="39"/>
        <v>Error?</v>
      </c>
    </row>
    <row r="2562" spans="1:4" x14ac:dyDescent="0.2">
      <c r="A2562" s="5">
        <v>2501</v>
      </c>
      <c r="B2562" s="138">
        <f>'Acct Summary 7-8'!C20</f>
        <v>1744882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932927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932927</v>
      </c>
      <c r="C2568" s="2" t="s">
        <v>594</v>
      </c>
      <c r="D2568" s="2" t="str">
        <f t="shared" si="39"/>
        <v>Error?</v>
      </c>
    </row>
    <row r="2569" spans="1:4" x14ac:dyDescent="0.2">
      <c r="A2569" s="5">
        <v>2508</v>
      </c>
      <c r="B2569" s="138">
        <f>'Acct Summary 7-8'!D13</f>
        <v>1076254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1076254</v>
      </c>
      <c r="C2573" s="2" t="s">
        <v>594</v>
      </c>
      <c r="D2573" s="2" t="str">
        <f t="shared" si="39"/>
        <v>Error?</v>
      </c>
    </row>
    <row r="2574" spans="1:4" x14ac:dyDescent="0.2">
      <c r="A2574" s="5">
        <v>2513</v>
      </c>
      <c r="B2574" s="138">
        <f>'Acct Summary 7-8'!D20</f>
        <v>-143327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329017</v>
      </c>
      <c r="C2591" s="2" t="s">
        <v>594</v>
      </c>
      <c r="D2591" s="2" t="str">
        <f t="shared" si="39"/>
        <v>Error?</v>
      </c>
    </row>
    <row r="2592" spans="1:4" x14ac:dyDescent="0.2">
      <c r="A2592" s="10">
        <v>2531</v>
      </c>
      <c r="D2592" s="2" t="str">
        <f t="shared" si="39"/>
        <v>OK</v>
      </c>
    </row>
    <row r="2593" spans="1:4" x14ac:dyDescent="0.2">
      <c r="A2593" s="5">
        <v>2532</v>
      </c>
      <c r="B2593" s="138">
        <f>'Acct Summary 7-8'!F6</f>
        <v>270188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599205</v>
      </c>
      <c r="C2595" s="2" t="s">
        <v>594</v>
      </c>
      <c r="D2595" s="2" t="str">
        <f t="shared" si="39"/>
        <v>Error?</v>
      </c>
    </row>
    <row r="2596" spans="1:4" x14ac:dyDescent="0.2">
      <c r="A2596" s="5">
        <v>2535</v>
      </c>
      <c r="B2596" s="138">
        <f>'Acct Summary 7-8'!F13</f>
        <v>621810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621810</v>
      </c>
      <c r="C2600" s="2" t="s">
        <v>594</v>
      </c>
      <c r="D2600" s="2" t="str">
        <f t="shared" si="39"/>
        <v>Error?</v>
      </c>
    </row>
    <row r="2601" spans="1:4" x14ac:dyDescent="0.2">
      <c r="A2601" s="5">
        <v>2540</v>
      </c>
      <c r="B2601" s="138">
        <f>'Acct Summary 7-8'!F20</f>
        <v>-22605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393630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393630</v>
      </c>
      <c r="C2606" s="2" t="s">
        <v>594</v>
      </c>
      <c r="D2606" s="2" t="str">
        <f t="shared" si="39"/>
        <v>Error?</v>
      </c>
    </row>
    <row r="2607" spans="1:4" x14ac:dyDescent="0.2">
      <c r="A2607" s="5">
        <v>2546</v>
      </c>
      <c r="B2607" s="138">
        <f>'Acct Summary 7-8'!G12</f>
        <v>75589</v>
      </c>
      <c r="C2607" s="2" t="s">
        <v>594</v>
      </c>
      <c r="D2607" s="2" t="str">
        <f t="shared" si="39"/>
        <v>Error?</v>
      </c>
    </row>
    <row r="2608" spans="1:4" x14ac:dyDescent="0.2">
      <c r="A2608" s="5">
        <v>2547</v>
      </c>
      <c r="B2608" s="138">
        <f>'Acct Summary 7-8'!G13</f>
        <v>316447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392036</v>
      </c>
      <c r="C2612" s="2" t="s">
        <v>594</v>
      </c>
      <c r="D2612" s="2" t="str">
        <f t="shared" si="39"/>
        <v>Error?</v>
      </c>
    </row>
    <row r="2613" spans="1:4" x14ac:dyDescent="0.2">
      <c r="A2613" s="5">
        <v>2552</v>
      </c>
      <c r="B2613" s="138">
        <f>'Acct Summary 7-8'!G20</f>
        <v>1594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428624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428624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443000</v>
      </c>
      <c r="C2634" s="2" t="s">
        <v>594</v>
      </c>
      <c r="D2634" s="2" t="str">
        <f t="shared" si="40"/>
        <v>Error?</v>
      </c>
    </row>
    <row r="2635" spans="1:4" x14ac:dyDescent="0.2">
      <c r="A2635" s="5">
        <v>2574</v>
      </c>
      <c r="B2635" s="138">
        <f>'Acct Summary 7-8'!E17</f>
        <v>443000</v>
      </c>
      <c r="C2635" s="2" t="s">
        <v>594</v>
      </c>
      <c r="D2635" s="2" t="str">
        <f t="shared" si="40"/>
        <v>Error?</v>
      </c>
    </row>
    <row r="2636" spans="1:4" x14ac:dyDescent="0.2">
      <c r="A2636" s="5">
        <v>2575</v>
      </c>
      <c r="B2636" s="138">
        <f>'Acct Summary 7-8'!E20</f>
        <v>-14376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52305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423546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423546</v>
      </c>
      <c r="D2912" s="2" t="str">
        <f t="shared" si="44"/>
        <v>Error?</v>
      </c>
    </row>
    <row r="2913" spans="1:4" x14ac:dyDescent="0.2">
      <c r="A2913" s="5">
        <v>2852</v>
      </c>
      <c r="B2913" s="138">
        <f>'Assets-Liab 5-6'!I41</f>
        <v>423546</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86573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86573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72529</v>
      </c>
      <c r="D3055" s="2" t="str">
        <f t="shared" si="46"/>
        <v>Error?</v>
      </c>
    </row>
    <row r="3056" spans="1:4" x14ac:dyDescent="0.2">
      <c r="A3056" s="5">
        <v>2995</v>
      </c>
      <c r="B3056" s="138">
        <f>'Expenditures 15-22'!D10</f>
        <v>16847</v>
      </c>
      <c r="D3056" s="2" t="str">
        <f t="shared" si="46"/>
        <v>Error?</v>
      </c>
    </row>
    <row r="3057" spans="1:4" x14ac:dyDescent="0.2">
      <c r="A3057" s="5">
        <v>2996</v>
      </c>
      <c r="B3057" s="138">
        <f>'Expenditures 15-22'!E10</f>
        <v>24157</v>
      </c>
      <c r="D3057" s="2" t="str">
        <f t="shared" si="46"/>
        <v>Error?</v>
      </c>
    </row>
    <row r="3058" spans="1:4" x14ac:dyDescent="0.2">
      <c r="A3058" s="5">
        <v>2997</v>
      </c>
      <c r="B3058" s="138">
        <f>'Expenditures 15-22'!F10</f>
        <v>68282</v>
      </c>
      <c r="D3058" s="2" t="str">
        <f t="shared" si="46"/>
        <v>Error?</v>
      </c>
    </row>
    <row r="3059" spans="1:4" x14ac:dyDescent="0.2">
      <c r="A3059" s="5">
        <v>2998</v>
      </c>
      <c r="B3059" s="138">
        <f>'Expenditures 15-22'!G10</f>
        <v>27625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209440</v>
      </c>
      <c r="C3062" s="2" t="s">
        <v>594</v>
      </c>
      <c r="D3062" s="2" t="str">
        <f t="shared" si="46"/>
        <v>Error?</v>
      </c>
    </row>
    <row r="3063" spans="1:4" x14ac:dyDescent="0.2">
      <c r="A3063" s="10">
        <v>3002</v>
      </c>
      <c r="D3063" s="2" t="str">
        <f t="shared" si="46"/>
        <v>OK</v>
      </c>
    </row>
    <row r="3064" spans="1:4" x14ac:dyDescent="0.2">
      <c r="A3064" s="5">
        <v>3003</v>
      </c>
      <c r="B3064" s="138">
        <f>'Expenditures 15-22'!D219</f>
        <v>1009</v>
      </c>
      <c r="D3064" s="2" t="str">
        <f t="shared" si="46"/>
        <v>Error?</v>
      </c>
    </row>
    <row r="3065" spans="1:4" x14ac:dyDescent="0.2">
      <c r="A3065" s="5">
        <v>3004</v>
      </c>
      <c r="B3065" s="138">
        <f>'Expenditures 15-22'!K219</f>
        <v>1009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59922</v>
      </c>
      <c r="C3225" s="2" t="s">
        <v>594</v>
      </c>
      <c r="D3225" s="2" t="str">
        <f t="shared" si="49"/>
        <v>Error?</v>
      </c>
    </row>
    <row r="3226" spans="1:4" x14ac:dyDescent="0.2">
      <c r="A3226" s="5">
        <v>3165</v>
      </c>
      <c r="B3226" s="138">
        <f>'Acct Summary 7-8'!I8</f>
        <v>59922</v>
      </c>
      <c r="C3226" s="2" t="s">
        <v>594</v>
      </c>
      <c r="D3226" s="2" t="str">
        <f t="shared" si="49"/>
        <v>Error?</v>
      </c>
    </row>
    <row r="3227" spans="1:4" x14ac:dyDescent="0.2">
      <c r="A3227" s="5">
        <v>3166</v>
      </c>
      <c r="B3227" s="138">
        <f>'Acct Summary 7-8'!I20</f>
        <v>59922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1744882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-143327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-22605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-14376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59922</v>
      </c>
      <c r="C3320" s="2" t="s">
        <v>594</v>
      </c>
      <c r="D3320" s="2" t="str">
        <f t="shared" si="50"/>
        <v>Error?</v>
      </c>
    </row>
    <row r="3321" spans="1:4" x14ac:dyDescent="0.2">
      <c r="A3321" s="5">
        <v>3260</v>
      </c>
      <c r="B3321" s="138">
        <f>'Acct Summary 7-8'!I79</f>
        <v>363624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423546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834361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187040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10568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11969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1043938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44367</v>
      </c>
      <c r="D3387" s="2" t="str">
        <f t="shared" si="51"/>
        <v>Error?</v>
      </c>
    </row>
    <row r="3388" spans="1:4" x14ac:dyDescent="0.2">
      <c r="A3388" s="5">
        <v>3327</v>
      </c>
      <c r="B3388" s="138">
        <f>'Expenditures 15-22'!D217</f>
        <v>21882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44367</v>
      </c>
      <c r="C3390" s="2" t="s">
        <v>594</v>
      </c>
      <c r="D3390" s="2" t="str">
        <f t="shared" si="51"/>
        <v>Error?</v>
      </c>
    </row>
    <row r="3391" spans="1:4" x14ac:dyDescent="0.2">
      <c r="A3391" s="5">
        <v>3330</v>
      </c>
      <c r="B3391" s="138">
        <f>'Expenditures 15-22'!K217</f>
        <v>21882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12649717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155888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309824</v>
      </c>
      <c r="D3417" s="2" t="str">
        <f t="shared" si="52"/>
        <v>Error?</v>
      </c>
    </row>
    <row r="3418" spans="1:4" x14ac:dyDescent="0.2">
      <c r="A3418" s="10">
        <v>3357</v>
      </c>
      <c r="D3418" s="2" t="str">
        <f t="shared" si="52"/>
        <v>OK</v>
      </c>
    </row>
    <row r="3419" spans="1:4" x14ac:dyDescent="0.2">
      <c r="A3419" s="5">
        <v>3358</v>
      </c>
      <c r="B3419" s="138">
        <f>'Assets-Liab 5-6'!F4</f>
        <v>186206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423546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71815</v>
      </c>
      <c r="C3446" s="2" t="s">
        <v>594</v>
      </c>
      <c r="D3446" s="2" t="str">
        <f t="shared" si="52"/>
        <v>Error?</v>
      </c>
    </row>
    <row r="3447" spans="1:4" x14ac:dyDescent="0.2">
      <c r="A3447" s="5">
        <v>3386</v>
      </c>
      <c r="B3447" s="138">
        <f>'Tax Sched 23'!D16</f>
        <v>71815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52305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52305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52305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81168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81168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81168</v>
      </c>
      <c r="D3567" s="2" t="str">
        <f t="shared" si="54"/>
        <v>Error?</v>
      </c>
    </row>
    <row r="3568" spans="1:4" x14ac:dyDescent="0.2">
      <c r="A3568" s="5">
        <v>3507</v>
      </c>
      <c r="B3568" s="138">
        <f>'Assets-Liab 5-6'!K41</f>
        <v>81168</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81168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81168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243535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3639260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13743893</v>
      </c>
      <c r="C4122" s="2" t="s">
        <v>594</v>
      </c>
      <c r="D4122" s="2" t="str">
        <f t="shared" si="63"/>
        <v>Error?</v>
      </c>
    </row>
    <row r="4123" spans="1:4" x14ac:dyDescent="0.2">
      <c r="A4123" s="5">
        <v>4062</v>
      </c>
      <c r="B4123" s="138">
        <f>'Acct Summary 7-8'!D10</f>
        <v>932927</v>
      </c>
      <c r="C4123" s="2" t="s">
        <v>594</v>
      </c>
      <c r="D4123" s="2" t="str">
        <f t="shared" si="63"/>
        <v>Error?</v>
      </c>
    </row>
    <row r="4124" spans="1:4" x14ac:dyDescent="0.2">
      <c r="A4124" s="5">
        <v>4063</v>
      </c>
      <c r="B4124" s="138">
        <f>'Acct Summary 7-8'!E10</f>
        <v>428624</v>
      </c>
      <c r="C4124" s="2" t="s">
        <v>594</v>
      </c>
      <c r="D4124" s="2" t="str">
        <f t="shared" si="63"/>
        <v>Error?</v>
      </c>
    </row>
    <row r="4125" spans="1:4" x14ac:dyDescent="0.2">
      <c r="A4125" s="5">
        <v>4064</v>
      </c>
      <c r="B4125" s="138">
        <f>'Acct Summary 7-8'!F10</f>
        <v>599205</v>
      </c>
      <c r="C4125" s="2" t="s">
        <v>594</v>
      </c>
      <c r="D4125" s="2" t="str">
        <f t="shared" si="63"/>
        <v>Error?</v>
      </c>
    </row>
    <row r="4126" spans="1:4" x14ac:dyDescent="0.2">
      <c r="A4126" s="5">
        <v>4065</v>
      </c>
      <c r="B4126" s="138">
        <f>'Acct Summary 7-8'!G10</f>
        <v>393630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59922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3639260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11999011</v>
      </c>
      <c r="C4136" s="2" t="s">
        <v>594</v>
      </c>
      <c r="D4136" s="2" t="str">
        <f t="shared" si="63"/>
        <v>Error?</v>
      </c>
    </row>
    <row r="4137" spans="1:4" x14ac:dyDescent="0.2">
      <c r="A4137" s="5">
        <v>4076</v>
      </c>
      <c r="B4137" s="138">
        <f>'Acct Summary 7-8'!D19</f>
        <v>1076254</v>
      </c>
      <c r="C4137" s="2" t="s">
        <v>594</v>
      </c>
      <c r="D4137" s="2" t="str">
        <f t="shared" si="63"/>
        <v>Error?</v>
      </c>
    </row>
    <row r="4138" spans="1:4" x14ac:dyDescent="0.2">
      <c r="A4138" s="5">
        <v>4077</v>
      </c>
      <c r="B4138" s="138">
        <f>'Acct Summary 7-8'!E19</f>
        <v>443000</v>
      </c>
      <c r="C4138" s="2" t="s">
        <v>594</v>
      </c>
      <c r="D4138" s="2" t="str">
        <f t="shared" si="63"/>
        <v>Error?</v>
      </c>
    </row>
    <row r="4139" spans="1:4" x14ac:dyDescent="0.2">
      <c r="A4139" s="5">
        <v>4078</v>
      </c>
      <c r="B4139" s="138">
        <f>'Acct Summary 7-8'!F19</f>
        <v>621810</v>
      </c>
      <c r="C4139" s="2" t="s">
        <v>594</v>
      </c>
      <c r="D4139" s="2" t="str">
        <f t="shared" si="63"/>
        <v>Error?</v>
      </c>
    </row>
    <row r="4140" spans="1:4" x14ac:dyDescent="0.2">
      <c r="A4140" s="5">
        <v>4079</v>
      </c>
      <c r="B4140" s="138">
        <f>'Acct Summary 7-8'!G19</f>
        <v>392036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3255000</v>
      </c>
      <c r="C4171" s="2" t="s">
        <v>594</v>
      </c>
      <c r="D4171" s="2" t="str">
        <f t="shared" si="64"/>
        <v>Error?</v>
      </c>
    </row>
    <row r="4172" spans="1:4" x14ac:dyDescent="0.2">
      <c r="A4172" s="5">
        <v>4111</v>
      </c>
      <c r="B4172" s="138">
        <f>'Short-Term Long-Term Debt 24'!J49</f>
        <v>2945176</v>
      </c>
      <c r="C4172" s="2" t="s">
        <v>594</v>
      </c>
      <c r="D4172" s="2" t="str">
        <f t="shared" si="64"/>
        <v>Error?</v>
      </c>
    </row>
    <row r="4173" spans="1:4" x14ac:dyDescent="0.2">
      <c r="A4173" s="5">
        <v>4112</v>
      </c>
      <c r="B4173" s="138">
        <f>'Short-Term Long-Term Debt 24'!H49</f>
        <v>290000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3461.8</v>
      </c>
      <c r="C4265" s="2" t="s">
        <v>594</v>
      </c>
      <c r="D4265" s="2" t="str">
        <f t="shared" si="65"/>
        <v>Error?</v>
      </c>
      <c r="E4265" s="128"/>
    </row>
    <row r="4266" spans="1:5" x14ac:dyDescent="0.2">
      <c r="A4266" s="12">
        <v>4205</v>
      </c>
      <c r="B4266" s="138">
        <f>('FP Info 3'!F10)*100000</f>
        <v>514.6</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3975.9999999999995</v>
      </c>
      <c r="C4268" s="2" t="s">
        <v>594</v>
      </c>
      <c r="D4268" s="2" t="str">
        <f t="shared" si="65"/>
        <v>Error?</v>
      </c>
    </row>
    <row r="4269" spans="1:5" x14ac:dyDescent="0.2">
      <c r="A4269" s="12">
        <v>4208</v>
      </c>
      <c r="B4269" s="138">
        <f>'FP Info 3'!J16</f>
        <v>13409682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11427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81232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22103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13985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23.4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18013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31921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203955801</v>
      </c>
      <c r="D4995" s="2" t="str">
        <f t="shared" si="77"/>
        <v>Error?</v>
      </c>
    </row>
    <row r="4996" spans="1:4" x14ac:dyDescent="0.2">
      <c r="A4996" s="12">
        <v>4935</v>
      </c>
      <c r="B4996" s="138">
        <f>'FP Info 3'!H31</f>
        <v>14072950.269000001</v>
      </c>
      <c r="D4996" s="2" t="str">
        <f t="shared" si="77"/>
        <v>Error?</v>
      </c>
    </row>
    <row r="4997" spans="1:4" x14ac:dyDescent="0.2">
      <c r="A4997" s="12">
        <v>4936</v>
      </c>
      <c r="B4997" s="138">
        <f>'FP Info 3'!H37</f>
        <v>3255000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6088381</v>
      </c>
      <c r="D5061" s="2" t="str">
        <f t="shared" si="78"/>
        <v>Error?</v>
      </c>
    </row>
    <row r="5062" spans="1:4" x14ac:dyDescent="0.2">
      <c r="A5062" s="10">
        <v>5001</v>
      </c>
      <c r="D5062" s="2" t="str">
        <f t="shared" si="78"/>
        <v>OK</v>
      </c>
    </row>
    <row r="5063" spans="1:4" x14ac:dyDescent="0.2">
      <c r="A5063" s="5">
        <v>5002</v>
      </c>
      <c r="B5063" s="138">
        <f>'Revenues 9-14'!C7</f>
        <v>625736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6714117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243627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243627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128573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128573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58250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5771</v>
      </c>
      <c r="C5102" s="2" t="s">
        <v>594</v>
      </c>
      <c r="D5102" s="2" t="str">
        <f t="shared" si="78"/>
        <v>Error?</v>
      </c>
    </row>
    <row r="5103" spans="1:4" x14ac:dyDescent="0.2">
      <c r="A5103" s="5">
        <v>5042</v>
      </c>
      <c r="B5103" s="138">
        <f>'Revenues 9-14'!C84</f>
        <v>23733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23733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9763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48340</v>
      </c>
      <c r="D5118" s="2" t="str">
        <f t="shared" si="78"/>
        <v>Error?</v>
      </c>
    </row>
    <row r="5119" spans="1:4" x14ac:dyDescent="0.2">
      <c r="A5119" s="5">
        <v>5058</v>
      </c>
      <c r="B5119" s="138">
        <f>'Revenues 9-14'!C107</f>
        <v>501</v>
      </c>
      <c r="D5119" s="2" t="str">
        <f t="shared" ref="D5119:D5182" si="79">IF(ISBLANK(B5119),"OK",IF(A5119-B5119=0,"OK","Error?"))</f>
        <v>Error?</v>
      </c>
    </row>
    <row r="5120" spans="1:4" x14ac:dyDescent="0.2">
      <c r="A5120" s="5">
        <v>5059</v>
      </c>
      <c r="B5120" s="138">
        <f>'Revenues 9-14'!C108</f>
        <v>81962</v>
      </c>
      <c r="C5120" s="2" t="s">
        <v>594</v>
      </c>
      <c r="D5120" s="2" t="str">
        <f t="shared" si="79"/>
        <v>Error?</v>
      </c>
    </row>
    <row r="5121" spans="1:4" x14ac:dyDescent="0.2">
      <c r="A5121" s="5">
        <v>5060</v>
      </c>
      <c r="B5121" s="138">
        <f>'Revenues 9-14'!C109</f>
        <v>7256033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1574384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1574384</v>
      </c>
      <c r="C5132" s="2" t="s">
        <v>594</v>
      </c>
      <c r="D5132" s="2" t="str">
        <f t="shared" si="79"/>
        <v>Error?</v>
      </c>
    </row>
    <row r="5133" spans="1:4" x14ac:dyDescent="0.2">
      <c r="A5133" s="5">
        <v>5072</v>
      </c>
      <c r="B5133" s="138">
        <f>'Revenues 9-14'!C124</f>
        <v>76793</v>
      </c>
      <c r="D5133" s="2" t="str">
        <f t="shared" si="79"/>
        <v>Error?</v>
      </c>
    </row>
    <row r="5134" spans="1:4" x14ac:dyDescent="0.2">
      <c r="A5134" s="5">
        <v>5073</v>
      </c>
      <c r="B5134" s="138">
        <f>'Revenues 9-14'!C125</f>
        <v>50210</v>
      </c>
      <c r="D5134" s="2" t="str">
        <f t="shared" si="79"/>
        <v>Error?</v>
      </c>
    </row>
    <row r="5135" spans="1:4" x14ac:dyDescent="0.2">
      <c r="A5135" s="5">
        <v>5074</v>
      </c>
      <c r="B5135" s="138">
        <f>'Revenues 9-14'!C126</f>
        <v>49240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176243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1305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1305</v>
      </c>
      <c r="C5161" s="2" t="s">
        <v>594</v>
      </c>
      <c r="D5161" s="2" t="str">
        <f t="shared" si="79"/>
        <v>Error?</v>
      </c>
    </row>
    <row r="5162" spans="1:4" x14ac:dyDescent="0.2">
      <c r="A5162" s="10">
        <v>5101</v>
      </c>
      <c r="D5162" s="2" t="str">
        <f t="shared" si="79"/>
        <v>OK</v>
      </c>
    </row>
    <row r="5163" spans="1:4" x14ac:dyDescent="0.2">
      <c r="A5163" s="5">
        <v>5102</v>
      </c>
      <c r="B5163" s="138">
        <f>'Revenues 9-14'!C142</f>
        <v>82419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82419</v>
      </c>
      <c r="C5165" s="2" t="s">
        <v>594</v>
      </c>
      <c r="D5165" s="2" t="str">
        <f t="shared" si="79"/>
        <v>Error?</v>
      </c>
    </row>
    <row r="5166" spans="1:4" x14ac:dyDescent="0.2">
      <c r="A5166" s="10">
        <v>5105</v>
      </c>
      <c r="D5166" s="2" t="str">
        <f t="shared" si="79"/>
        <v>OK</v>
      </c>
    </row>
    <row r="5167" spans="1:4" x14ac:dyDescent="0.2">
      <c r="A5167" s="5">
        <v>5106</v>
      </c>
      <c r="B5167" s="138">
        <f>'Revenues 9-14'!C145</f>
        <v>3994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204560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500442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2074826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203189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58059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261248</v>
      </c>
      <c r="C5246" s="2" t="s">
        <v>594</v>
      </c>
      <c r="D5246" s="2" t="str">
        <f t="shared" si="80"/>
        <v>Error?</v>
      </c>
    </row>
    <row r="5247" spans="1:4" x14ac:dyDescent="0.2">
      <c r="A5247" s="5">
        <v>5186</v>
      </c>
      <c r="B5247" s="138">
        <f>'Revenues 9-14'!C203</f>
        <v>287505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287505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93101</v>
      </c>
      <c r="D5278" s="2" t="str">
        <f t="shared" si="81"/>
        <v>Error?</v>
      </c>
    </row>
    <row r="5279" spans="1:4" x14ac:dyDescent="0.2">
      <c r="A5279" s="5">
        <v>5218</v>
      </c>
      <c r="B5279" s="138">
        <f>'Revenues 9-14'!C221</f>
        <v>1239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96274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773774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773774</v>
      </c>
      <c r="C5326" s="2" t="s">
        <v>594</v>
      </c>
      <c r="D5326" s="2" t="str">
        <f t="shared" si="82"/>
        <v>Error?</v>
      </c>
    </row>
    <row r="5327" spans="1:4" x14ac:dyDescent="0.2">
      <c r="A5327" s="5">
        <v>5266</v>
      </c>
      <c r="B5327" s="138">
        <f>'Revenues 9-14'!C275</f>
        <v>10104633</v>
      </c>
      <c r="C5327" s="2" t="s">
        <v>594</v>
      </c>
      <c r="D5327" s="2" t="str">
        <f t="shared" si="82"/>
        <v>Error?</v>
      </c>
    </row>
    <row r="5328" spans="1:4" x14ac:dyDescent="0.2">
      <c r="A5328" s="5">
        <v>5267</v>
      </c>
      <c r="B5328" s="138">
        <f>'Revenues 9-14'!D5</f>
        <v>926836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926836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5998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5998</v>
      </c>
      <c r="C5355" s="2" t="s">
        <v>594</v>
      </c>
      <c r="D5355" s="2" t="str">
        <f t="shared" si="82"/>
        <v>Error?</v>
      </c>
    </row>
    <row r="5356" spans="1:4" x14ac:dyDescent="0.2">
      <c r="A5356" s="5">
        <v>5295</v>
      </c>
      <c r="B5356" s="138">
        <f>'Revenues 9-14'!D109</f>
        <v>932927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932927</v>
      </c>
      <c r="C5508" s="2" t="s">
        <v>594</v>
      </c>
      <c r="D5508" s="2" t="str">
        <f t="shared" si="85"/>
        <v>Error?</v>
      </c>
    </row>
    <row r="5509" spans="1:4" x14ac:dyDescent="0.2">
      <c r="A5509" s="5">
        <v>5448</v>
      </c>
      <c r="B5509" s="138">
        <f>'Revenues 9-14'!E5</f>
        <v>425031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425031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3593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428624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428624</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283612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45405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329017</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329017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7527</v>
      </c>
      <c r="D5615" s="2" t="str">
        <f t="shared" si="86"/>
        <v>Error?</v>
      </c>
    </row>
    <row r="5616" spans="1:4" x14ac:dyDescent="0.2">
      <c r="A5616" s="10">
        <v>5555</v>
      </c>
      <c r="D5616" s="2" t="str">
        <f t="shared" si="86"/>
        <v>OK</v>
      </c>
    </row>
    <row r="5617" spans="1:4" x14ac:dyDescent="0.2">
      <c r="A5617" s="5">
        <v>5556</v>
      </c>
      <c r="B5617" s="138">
        <f>'Revenues 9-14'!F152</f>
        <v>262661</v>
      </c>
      <c r="D5617" s="2" t="str">
        <f t="shared" si="86"/>
        <v>Error?</v>
      </c>
    </row>
    <row r="5618" spans="1:4" x14ac:dyDescent="0.2">
      <c r="A5618" s="5">
        <v>5557</v>
      </c>
      <c r="B5618" s="138">
        <f>'Revenues 9-14'!F154</f>
        <v>270188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270188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270188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599205</v>
      </c>
      <c r="C5720" s="2" t="s">
        <v>594</v>
      </c>
      <c r="D5720" s="2" t="str">
        <f t="shared" si="88"/>
        <v>Error?</v>
      </c>
    </row>
    <row r="5721" spans="1:4" x14ac:dyDescent="0.2">
      <c r="A5721" s="5">
        <v>5660</v>
      </c>
      <c r="B5721" s="138">
        <f>'Revenues 9-14'!G5</f>
        <v>71815</v>
      </c>
      <c r="D5721" s="2" t="str">
        <f t="shared" si="88"/>
        <v>Error?</v>
      </c>
    </row>
    <row r="5722" spans="1:4" x14ac:dyDescent="0.2">
      <c r="A5722" s="5">
        <v>5661</v>
      </c>
      <c r="B5722" s="138">
        <f>'Revenues 9-14'!G7</f>
        <v>0</v>
      </c>
      <c r="D5722" s="2" t="str">
        <f t="shared" si="88"/>
        <v>Error?</v>
      </c>
    </row>
    <row r="5723" spans="1:4" x14ac:dyDescent="0.2">
      <c r="A5723" s="5">
        <v>5662</v>
      </c>
      <c r="B5723" s="138">
        <f>'Revenues 9-14'!G8</f>
        <v>71815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143630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393630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59918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59918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59922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393630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59922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58250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22943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582.77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741900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741900</v>
      </c>
      <c r="D6215" s="2" t="str">
        <f t="shared" si="96"/>
        <v>Error?</v>
      </c>
      <c r="E6215" s="2" t="s">
        <v>199</v>
      </c>
    </row>
    <row r="6216" spans="1:5" x14ac:dyDescent="0.2">
      <c r="A6216">
        <v>6155</v>
      </c>
      <c r="B6216" s="138">
        <f>'Assets-Liab 5-6'!J41</f>
        <v>741900</v>
      </c>
      <c r="D6216" s="2" t="str">
        <f t="shared" si="96"/>
        <v>Error?</v>
      </c>
      <c r="E6216" s="2" t="s">
        <v>199</v>
      </c>
    </row>
    <row r="6217" spans="1:5" x14ac:dyDescent="0.2">
      <c r="A6217">
        <v>6156</v>
      </c>
      <c r="B6217" s="138">
        <f>'Assets-Liab 5-6'!J4</f>
        <v>741900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88872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88872</v>
      </c>
      <c r="D6229" s="2" t="str">
        <f t="shared" si="96"/>
        <v>Error?</v>
      </c>
      <c r="E6229" s="2" t="s">
        <v>199</v>
      </c>
    </row>
    <row r="6230" spans="1:5" x14ac:dyDescent="0.2">
      <c r="A6230">
        <v>6169</v>
      </c>
      <c r="B6230" s="138">
        <f>'Acct Summary 7-8'!J20</f>
        <v>-86535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-86535</v>
      </c>
      <c r="D6263" s="2" t="str">
        <f t="shared" si="96"/>
        <v>Error?</v>
      </c>
      <c r="E6263" s="2" t="s">
        <v>199</v>
      </c>
    </row>
    <row r="6264" spans="1:5" x14ac:dyDescent="0.2">
      <c r="A6264">
        <v>6203</v>
      </c>
      <c r="B6264" s="138">
        <f>'Acct Summary 7-8'!J79</f>
        <v>828435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741900</v>
      </c>
      <c r="D6266" s="2" t="str">
        <f t="shared" si="96"/>
        <v>Error?</v>
      </c>
      <c r="E6266" s="2" t="s">
        <v>199</v>
      </c>
    </row>
    <row r="6267" spans="1:5" x14ac:dyDescent="0.2">
      <c r="A6267">
        <v>6206</v>
      </c>
      <c r="B6267" s="138">
        <f>'Acct Summary 7-8'!C82</f>
        <v>1744882</v>
      </c>
      <c r="D6267" s="2" t="str">
        <f t="shared" si="96"/>
        <v>Error?</v>
      </c>
      <c r="E6267" s="2" t="s">
        <v>199</v>
      </c>
    </row>
    <row r="6268" spans="1:5" x14ac:dyDescent="0.2">
      <c r="A6268">
        <v>6207</v>
      </c>
      <c r="B6268" s="138">
        <f>'Acct Summary 7-8'!D82</f>
        <v>-143327</v>
      </c>
      <c r="D6268" s="2" t="str">
        <f t="shared" si="96"/>
        <v>Error?</v>
      </c>
      <c r="E6268" s="2" t="s">
        <v>199</v>
      </c>
    </row>
    <row r="6269" spans="1:5" x14ac:dyDescent="0.2">
      <c r="A6269">
        <v>6208</v>
      </c>
      <c r="B6269" s="138">
        <f>'Acct Summary 7-8'!E82</f>
        <v>-14376</v>
      </c>
      <c r="D6269" s="2" t="str">
        <f t="shared" si="96"/>
        <v>Error?</v>
      </c>
      <c r="E6269" s="2" t="s">
        <v>199</v>
      </c>
    </row>
    <row r="6270" spans="1:5" x14ac:dyDescent="0.2">
      <c r="A6270">
        <v>6209</v>
      </c>
      <c r="B6270" s="138">
        <f>'Acct Summary 7-8'!F82</f>
        <v>-22605</v>
      </c>
      <c r="D6270" s="2" t="str">
        <f t="shared" si="96"/>
        <v>Error?</v>
      </c>
      <c r="E6270" s="2" t="s">
        <v>199</v>
      </c>
    </row>
    <row r="6271" spans="1:5" x14ac:dyDescent="0.2">
      <c r="A6271">
        <v>6210</v>
      </c>
      <c r="B6271" s="138">
        <f>'Acct Summary 7-8'!G82</f>
        <v>1594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59922</v>
      </c>
      <c r="D6273" s="2" t="str">
        <f t="shared" si="97"/>
        <v>Error?</v>
      </c>
      <c r="E6273" s="2" t="s">
        <v>199</v>
      </c>
    </row>
    <row r="6274" spans="1:5" x14ac:dyDescent="0.2">
      <c r="A6274">
        <v>6213</v>
      </c>
      <c r="B6274" s="138">
        <f>'Acct Summary 7-8'!J82</f>
        <v>-86535</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0.13800033248861401</v>
      </c>
      <c r="D6276" s="2" t="str">
        <f t="shared" si="97"/>
        <v>Error?</v>
      </c>
      <c r="E6276" s="2" t="s">
        <v>199</v>
      </c>
    </row>
    <row r="6277" spans="1:5" x14ac:dyDescent="0.2">
      <c r="A6277">
        <v>6216</v>
      </c>
      <c r="B6277" s="138">
        <f>'Acct Summary 7-8'!D83</f>
        <v>-0.9194229190187827</v>
      </c>
      <c r="D6277" s="2" t="str">
        <f t="shared" si="97"/>
        <v>Error?</v>
      </c>
      <c r="E6277" s="2" t="s">
        <v>199</v>
      </c>
    </row>
    <row r="6278" spans="1:5" x14ac:dyDescent="0.2">
      <c r="A6278">
        <v>6217</v>
      </c>
      <c r="B6278" s="138">
        <f>'Acct Summary 7-8'!E83</f>
        <v>-4.6400537079115886E-2</v>
      </c>
      <c r="D6278" s="2" t="str">
        <f t="shared" si="97"/>
        <v>Error?</v>
      </c>
      <c r="E6278" s="2" t="s">
        <v>199</v>
      </c>
    </row>
    <row r="6279" spans="1:5" x14ac:dyDescent="0.2">
      <c r="A6279">
        <v>6218</v>
      </c>
      <c r="B6279" s="138">
        <f>'Acct Summary 7-8'!F83</f>
        <v>-0.12139780673018055</v>
      </c>
      <c r="D6279" s="2" t="str">
        <f t="shared" si="97"/>
        <v>Error?</v>
      </c>
      <c r="E6279" s="2" t="s">
        <v>199</v>
      </c>
    </row>
    <row r="6280" spans="1:5" x14ac:dyDescent="0.2">
      <c r="A6280">
        <v>6219</v>
      </c>
      <c r="B6280" s="138">
        <f>'Acct Summary 7-8'!G83</f>
        <v>0.49167180752621836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0.14147695881911293</v>
      </c>
      <c r="D6282" s="2" t="str">
        <f t="shared" si="97"/>
        <v>Error?</v>
      </c>
      <c r="E6282" s="2" t="s">
        <v>199</v>
      </c>
    </row>
    <row r="6283" spans="1:5" x14ac:dyDescent="0.2">
      <c r="A6283">
        <v>6222</v>
      </c>
      <c r="B6283" s="138">
        <f>'Acct Summary 7-8'!J83</f>
        <v>-0.11663970885564093</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2337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2337</v>
      </c>
      <c r="D6351" s="2" t="str">
        <f t="shared" si="98"/>
        <v>Error?</v>
      </c>
      <c r="E6351" s="2" t="s">
        <v>199</v>
      </c>
    </row>
    <row r="6352" spans="1:5" x14ac:dyDescent="0.2">
      <c r="A6352">
        <v>6291</v>
      </c>
      <c r="B6352" s="138">
        <f>'Revenues 9-14'!J109</f>
        <v>2337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103305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153126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106634</v>
      </c>
      <c r="D6880" s="2" t="str">
        <f t="shared" si="106"/>
        <v>Error?</v>
      </c>
    </row>
    <row r="6881" spans="1:4" x14ac:dyDescent="0.2">
      <c r="A6881">
        <v>6820</v>
      </c>
      <c r="B6881" s="138">
        <f>'Expenditures 15-22'!K22</f>
        <v>106634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643821</v>
      </c>
      <c r="D6983" s="2" t="str">
        <f t="shared" si="108"/>
        <v>Error?</v>
      </c>
    </row>
    <row r="6984" spans="1:4" x14ac:dyDescent="0.2">
      <c r="A6984">
        <v>6923</v>
      </c>
      <c r="B6984" s="138">
        <f>'Expenditures 15-22'!K86</f>
        <v>643821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643821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88872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6494</v>
      </c>
      <c r="D7073" s="2" t="str">
        <f t="shared" si="109"/>
        <v>Error?</v>
      </c>
    </row>
    <row r="7074" spans="1:4" x14ac:dyDescent="0.2">
      <c r="A7074">
        <v>7013</v>
      </c>
      <c r="B7074" s="138">
        <f>'Expenditures 15-22'!K216</f>
        <v>6494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62878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62878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25994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25994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88872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88872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88872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88872</v>
      </c>
      <c r="D7224" s="2" t="str">
        <f t="shared" si="111"/>
        <v>Error?</v>
      </c>
    </row>
    <row r="7225" spans="1:4" x14ac:dyDescent="0.2">
      <c r="A7225">
        <v>7164</v>
      </c>
      <c r="B7225" s="138">
        <f>'Expenditures 15-22'!K343</f>
        <v>-86535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31669</v>
      </c>
      <c r="D7246" s="2" t="str">
        <f t="shared" si="112"/>
        <v>Error?</v>
      </c>
    </row>
    <row r="7247" spans="1:4" x14ac:dyDescent="0.2">
      <c r="A7247">
        <f t="shared" si="113"/>
        <v>7186</v>
      </c>
      <c r="B7247" s="138">
        <f>'Expenditures 15-22'!E7</f>
        <v>2891</v>
      </c>
      <c r="D7247" s="2" t="str">
        <f t="shared" si="112"/>
        <v>Error?</v>
      </c>
    </row>
    <row r="7248" spans="1:4" x14ac:dyDescent="0.2">
      <c r="A7248">
        <f t="shared" si="113"/>
        <v>7187</v>
      </c>
      <c r="B7248" s="138">
        <f>'Expenditures 15-22'!F7</f>
        <v>7978</v>
      </c>
      <c r="D7248" s="2" t="str">
        <f t="shared" si="112"/>
        <v>Error?</v>
      </c>
    </row>
    <row r="7249" spans="1:4" x14ac:dyDescent="0.2">
      <c r="A7249">
        <f t="shared" si="113"/>
        <v>7188</v>
      </c>
      <c r="B7249" s="138">
        <f>'Expenditures 15-22'!G7</f>
        <v>7283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488872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625736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34800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9800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Rhodes SD 84-5</v>
      </c>
      <c r="B7" s="2422"/>
      <c r="C7" s="2422"/>
      <c r="D7" s="2423"/>
      <c r="E7" s="2424">
        <f>COVER!A13</f>
        <v>6016084502</v>
      </c>
      <c r="F7" s="2425"/>
      <c r="G7" s="2431" t="str">
        <f>COVER!T23</f>
        <v>066-003289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EVOY, KAMSCHULTE, JACOBS &amp; CO. LLP</v>
      </c>
      <c r="H9" s="2437"/>
      <c r="I9" s="2437"/>
      <c r="J9" s="2437"/>
      <c r="K9" s="2437"/>
      <c r="L9" s="2438"/>
    </row>
    <row r="10" spans="1:29" ht="13.5" customHeight="1" x14ac:dyDescent="0.2">
      <c r="A10" s="2411">
        <f>COVER!A38</f>
        <v>0</v>
      </c>
      <c r="B10" s="2412"/>
      <c r="C10" s="2412"/>
      <c r="D10" s="2412"/>
      <c r="E10" s="2412"/>
      <c r="F10" s="2413"/>
      <c r="G10" s="2405" t="str">
        <f>COVER!T17</f>
        <v>2122 YEOMAN STREET</v>
      </c>
      <c r="H10" s="2406"/>
      <c r="I10" s="2406"/>
      <c r="J10" s="2406"/>
      <c r="K10" s="2406"/>
      <c r="L10" s="2407"/>
    </row>
    <row r="11" spans="1:29" ht="13.5" customHeight="1" x14ac:dyDescent="0.2">
      <c r="A11" s="1185" t="s">
        <v>1599</v>
      </c>
      <c r="B11" s="1186"/>
      <c r="C11" s="1187"/>
      <c r="D11" s="1192"/>
      <c r="E11" s="1187"/>
      <c r="F11" s="1191"/>
      <c r="G11" s="2405" t="str">
        <f>COVER!T19</f>
        <v>WAUKEGAN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JHENRY@EKJLLP.COM</v>
      </c>
      <c r="J13" s="2418"/>
      <c r="K13" s="2418"/>
      <c r="L13" s="2419"/>
    </row>
    <row r="14" spans="1:29" ht="13.5" customHeight="1" x14ac:dyDescent="0.2">
      <c r="A14" s="2405" t="str">
        <f>COVER!A19</f>
        <v>8931 FULLERTON AVENUE</v>
      </c>
      <c r="B14" s="2406"/>
      <c r="C14" s="2406"/>
      <c r="D14" s="2406"/>
      <c r="E14" s="2406"/>
      <c r="F14" s="2407"/>
      <c r="G14" s="1196" t="s">
        <v>1247</v>
      </c>
      <c r="H14" s="1194"/>
      <c r="I14" s="1194"/>
      <c r="J14" s="1194"/>
      <c r="K14" s="1194"/>
      <c r="L14" s="1195"/>
    </row>
    <row r="15" spans="1:29" ht="13.5" customHeight="1" x14ac:dyDescent="0.2">
      <c r="A15" s="2405" t="str">
        <f>COVER!A21</f>
        <v>RIVER GROVE</v>
      </c>
      <c r="B15" s="2406"/>
      <c r="C15" s="2406"/>
      <c r="D15" s="2406"/>
      <c r="E15" s="2406"/>
      <c r="F15" s="2407"/>
      <c r="G15" s="2402" t="str">
        <f>COVER!T15</f>
        <v>JAMES HENRY, CPA</v>
      </c>
      <c r="H15" s="2403"/>
      <c r="I15" s="2403"/>
      <c r="J15" s="2403"/>
      <c r="K15" s="2403"/>
      <c r="L15" s="2404"/>
    </row>
    <row r="16" spans="1:29" ht="12.2" customHeight="1" x14ac:dyDescent="0.2">
      <c r="A16" s="2427">
        <f>COVER!A25</f>
        <v>60717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847-662-8300</v>
      </c>
      <c r="H18" s="2422"/>
      <c r="I18" s="2422"/>
      <c r="J18" s="2422"/>
      <c r="K18" s="2421" t="str">
        <f>COVER!X21</f>
        <v>847-662-8305</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Rhodes SD 84-5</v>
      </c>
      <c r="B1" s="2420"/>
      <c r="C1" s="2420"/>
      <c r="D1" s="2420"/>
    </row>
    <row r="2" spans="1:11" s="1215" customFormat="1" ht="12.75" x14ac:dyDescent="0.2">
      <c r="A2" s="2444">
        <f>'Single Audit Cover'!E7</f>
        <v>6016084502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Rhodes SD 84-5</v>
      </c>
      <c r="B1" s="2447"/>
      <c r="C1" s="2447"/>
      <c r="D1" s="2447"/>
      <c r="E1" s="2447"/>
    </row>
    <row r="2" spans="1:5" x14ac:dyDescent="0.2">
      <c r="A2" s="2448">
        <f>'Single Audit Cover'!E7</f>
        <v>6016084502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773774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22943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-81232</v>
      </c>
    </row>
    <row r="19" spans="1:4" ht="13.5" thickBot="1" x14ac:dyDescent="0.25">
      <c r="A19" s="1265" t="s">
        <v>1297</v>
      </c>
      <c r="D19" s="1266">
        <f>SUM(D10:D17)</f>
        <v>715485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715485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715485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Rhodes SD 84-5</v>
      </c>
      <c r="B1" s="2460"/>
      <c r="C1" s="2460"/>
      <c r="D1" s="2460"/>
      <c r="E1" s="2460"/>
      <c r="F1" s="2460"/>
    </row>
    <row r="2" spans="1:7" ht="13.5" customHeight="1" x14ac:dyDescent="0.2">
      <c r="A2" s="2461">
        <f>'Single Audit Cover'!E7</f>
        <v>6016084502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Rhodes SD 84-5</v>
      </c>
      <c r="C1" s="2464"/>
      <c r="D1" s="2464"/>
      <c r="E1" s="2464"/>
      <c r="F1" s="2464"/>
      <c r="G1" s="2464"/>
      <c r="H1" s="2464"/>
      <c r="I1" s="2464"/>
      <c r="J1" s="2464"/>
      <c r="K1" s="2464"/>
      <c r="L1" s="2464"/>
      <c r="M1" s="2464"/>
    </row>
    <row r="2" spans="2:14" ht="15" x14ac:dyDescent="0.2">
      <c r="B2" s="2461">
        <f>'Single Audit Cover'!E7</f>
        <v>6016084502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2090</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Rhodes SD 84-5</v>
      </c>
      <c r="C1" s="2479"/>
      <c r="D1" s="2479"/>
      <c r="E1" s="2479"/>
      <c r="F1" s="2479"/>
      <c r="G1" s="2479"/>
      <c r="H1" s="2479"/>
      <c r="I1" s="2479"/>
      <c r="J1" s="1422"/>
    </row>
    <row r="2" spans="2:10" s="317" customFormat="1" ht="12.75" customHeight="1" x14ac:dyDescent="0.2">
      <c r="B2" s="2480">
        <f>'Single Audit Cover'!E7</f>
        <v>6016084502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Rhodes SD 84-5</v>
      </c>
      <c r="C1" s="2478"/>
      <c r="D1" s="2478"/>
      <c r="E1" s="2478"/>
      <c r="F1" s="2478"/>
      <c r="G1" s="2478"/>
      <c r="H1" s="2478"/>
      <c r="I1" s="2478"/>
      <c r="J1" s="2478"/>
      <c r="K1" s="2478"/>
      <c r="L1" s="1374"/>
      <c r="M1" s="1374"/>
    </row>
    <row r="2" spans="1:13" ht="12" customHeight="1" x14ac:dyDescent="0.2">
      <c r="B2" s="2480">
        <f>'Single Audit Cover'!E7</f>
        <v>6016084502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Rhodes SD 84-5</v>
      </c>
      <c r="C1" s="2501"/>
      <c r="D1" s="2501"/>
      <c r="E1" s="2501"/>
      <c r="F1" s="2501"/>
      <c r="G1" s="2501"/>
      <c r="H1" s="2501"/>
      <c r="I1" s="2501"/>
      <c r="J1" s="2501"/>
      <c r="K1" s="2501"/>
      <c r="L1" s="1465"/>
    </row>
    <row r="2" spans="1:12" ht="12.75" customHeight="1" x14ac:dyDescent="0.2">
      <c r="B2" s="2502">
        <f>'Single Audit Cover'!E7</f>
        <v>6016084502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Rhodes SD 84-5</v>
      </c>
      <c r="C1" s="2478"/>
      <c r="D1" s="2478"/>
      <c r="E1" s="1491"/>
    </row>
    <row r="2" spans="2:5" s="1282" customFormat="1" ht="12.75" customHeight="1" x14ac:dyDescent="0.2">
      <c r="B2" s="2480">
        <f>'Single Audit Cover'!E7</f>
        <v>6016084502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203955801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3.4618000000000003E-2</v>
      </c>
      <c r="E10" s="356" t="s">
        <v>1062</v>
      </c>
      <c r="F10" s="355">
        <v>5.1460000000000004E-3</v>
      </c>
      <c r="G10" s="356" t="s">
        <v>1062</v>
      </c>
      <c r="H10" s="355">
        <v>0</v>
      </c>
      <c r="I10" s="356" t="s">
        <v>1063</v>
      </c>
      <c r="J10" s="1754">
        <f>ROUND(D10+F10+H10,5)</f>
        <v>3.9759999999999997E-2</v>
      </c>
      <c r="K10" s="222"/>
      <c r="L10" s="355">
        <v>2.34E-4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11696687</v>
      </c>
      <c r="E16" s="356"/>
      <c r="F16" s="1755">
        <f>SUM('Acct Summary 7-8'!C17,'Acct Summary 7-8'!D17,'Acct Summary 7-8'!F17)</f>
        <v>10057815</v>
      </c>
      <c r="G16" s="356"/>
      <c r="H16" s="1755">
        <f>SUM(D16-F16)</f>
        <v>1638872</v>
      </c>
      <c r="I16" s="222"/>
      <c r="J16" s="1755">
        <f>SUM('Acct Summary 7-8'!C81,'Acct Summary 7-8'!D81,'Acct Summary 7-8'!F81,'Acct Summary 7-8'!I81)</f>
        <v>13409682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14072950.269000001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Rhodes SD 84-5</v>
      </c>
      <c r="E7" s="391"/>
      <c r="G7" s="252"/>
      <c r="H7" s="387"/>
      <c r="I7" s="387"/>
      <c r="J7" s="387"/>
      <c r="K7" s="387"/>
      <c r="L7" s="329"/>
      <c r="M7" s="329"/>
      <c r="N7" s="329"/>
      <c r="O7" s="329"/>
      <c r="P7" s="329"/>
    </row>
    <row r="8" spans="1:18" ht="12.75" x14ac:dyDescent="0.2">
      <c r="A8" s="329"/>
      <c r="B8" s="329"/>
      <c r="C8" s="389" t="s">
        <v>1187</v>
      </c>
      <c r="D8" s="392">
        <f>COVER!A13</f>
        <v>6016084502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13409682</v>
      </c>
      <c r="I12" s="404"/>
      <c r="J12" s="404"/>
      <c r="K12" s="405">
        <f>TRUNC((H12/H13*100000),5)/100000</f>
        <v>1.1464512984999999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11696687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10057815</v>
      </c>
      <c r="I17" s="404"/>
      <c r="J17" s="416"/>
      <c r="K17" s="405">
        <f>TRUNC((H17/H18*100000),5)/100000</f>
        <v>0.85988579500000006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11696687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13415357</v>
      </c>
      <c r="I24" s="422"/>
      <c r="J24" s="422"/>
      <c r="K24" s="423">
        <f>TRUNC(((H24/H25*100000)/100000),2)</f>
        <v>480.17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27938.375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6892890.2505999999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3255000</v>
      </c>
      <c r="I32" s="420"/>
      <c r="J32" s="420"/>
      <c r="K32" s="423">
        <f>TRUNC(100-((((H32/H33*100))*100)/100),2)</f>
        <v>76.87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14072950.269000001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9" activePane="bottomLeft" state="frozen"/>
      <selection activeCell="A47" sqref="A47"/>
      <selection pane="bottomLeft" activeCell="K23" sqref="K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12649717</v>
      </c>
      <c r="D4" s="466">
        <v>155888</v>
      </c>
      <c r="E4" s="466">
        <v>309824</v>
      </c>
      <c r="F4" s="466">
        <v>186206</v>
      </c>
      <c r="G4" s="466">
        <v>3242</v>
      </c>
      <c r="H4" s="466">
        <v>0</v>
      </c>
      <c r="I4" s="466">
        <v>423546</v>
      </c>
      <c r="J4" s="467">
        <v>741900</v>
      </c>
      <c r="K4" s="466">
        <v>81168</v>
      </c>
      <c r="L4" s="466">
        <v>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12649717</v>
      </c>
      <c r="D13" s="1759">
        <f t="shared" ref="D13:L13" si="0">SUM(D4:D12)</f>
        <v>155888</v>
      </c>
      <c r="E13" s="1759">
        <f t="shared" si="0"/>
        <v>309824</v>
      </c>
      <c r="F13" s="1759">
        <f t="shared" si="0"/>
        <v>186206</v>
      </c>
      <c r="G13" s="1759">
        <f t="shared" si="0"/>
        <v>3242</v>
      </c>
      <c r="H13" s="1759">
        <f t="shared" si="0"/>
        <v>0</v>
      </c>
      <c r="I13" s="1759">
        <f t="shared" si="0"/>
        <v>423546</v>
      </c>
      <c r="J13" s="1759">
        <f t="shared" si="0"/>
        <v>741900</v>
      </c>
      <c r="K13" s="1759">
        <f t="shared" si="0"/>
        <v>81168</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7000</v>
      </c>
      <c r="N16" s="484"/>
    </row>
    <row r="17" spans="1:14" s="485" customFormat="1" ht="12.75" customHeight="1" x14ac:dyDescent="0.2">
      <c r="A17" s="482" t="s">
        <v>1470</v>
      </c>
      <c r="B17" s="483">
        <v>230</v>
      </c>
      <c r="C17" s="477"/>
      <c r="D17" s="477"/>
      <c r="E17" s="477"/>
      <c r="F17" s="477"/>
      <c r="G17" s="477"/>
      <c r="H17" s="477"/>
      <c r="I17" s="477"/>
      <c r="J17" s="477"/>
      <c r="K17" s="477"/>
      <c r="L17" s="477"/>
      <c r="M17" s="467">
        <v>11704618</v>
      </c>
      <c r="N17" s="484"/>
    </row>
    <row r="18" spans="1:14" s="485" customFormat="1" ht="12.75" customHeight="1" x14ac:dyDescent="0.2">
      <c r="A18" s="482" t="s">
        <v>1471</v>
      </c>
      <c r="B18" s="483">
        <v>240</v>
      </c>
      <c r="C18" s="477"/>
      <c r="D18" s="477"/>
      <c r="E18" s="477"/>
      <c r="F18" s="477"/>
      <c r="G18" s="477"/>
      <c r="H18" s="477"/>
      <c r="I18" s="477"/>
      <c r="J18" s="477"/>
      <c r="K18" s="477"/>
      <c r="L18" s="477"/>
      <c r="M18" s="467">
        <v>70846</v>
      </c>
      <c r="N18" s="484"/>
    </row>
    <row r="19" spans="1:14" s="485" customFormat="1" ht="12.75" customHeight="1" x14ac:dyDescent="0.2">
      <c r="A19" s="482" t="s">
        <v>1472</v>
      </c>
      <c r="B19" s="483">
        <v>250</v>
      </c>
      <c r="C19" s="477"/>
      <c r="D19" s="477"/>
      <c r="E19" s="477"/>
      <c r="F19" s="477"/>
      <c r="G19" s="477"/>
      <c r="H19" s="477"/>
      <c r="I19" s="477"/>
      <c r="J19" s="477"/>
      <c r="K19" s="477"/>
      <c r="L19" s="477"/>
      <c r="M19" s="467">
        <v>736002</v>
      </c>
      <c r="N19" s="484"/>
    </row>
    <row r="20" spans="1:14" s="485" customFormat="1" ht="12.75" customHeight="1" x14ac:dyDescent="0.2">
      <c r="A20" s="482" t="s">
        <v>1473</v>
      </c>
      <c r="B20" s="483">
        <v>260</v>
      </c>
      <c r="C20" s="477"/>
      <c r="D20" s="477"/>
      <c r="E20" s="477"/>
      <c r="F20" s="477"/>
      <c r="G20" s="477"/>
      <c r="H20" s="477"/>
      <c r="I20" s="477"/>
      <c r="J20" s="477"/>
      <c r="K20" s="477"/>
      <c r="L20" s="477"/>
      <c r="M20" s="467">
        <v>52305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309824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2945176</v>
      </c>
    </row>
    <row r="23" spans="1:14" ht="13.5" customHeight="1" thickBot="1" x14ac:dyDescent="0.25">
      <c r="A23" s="1758" t="s">
        <v>664</v>
      </c>
      <c r="B23" s="1763"/>
      <c r="C23" s="468"/>
      <c r="D23" s="468"/>
      <c r="E23" s="468"/>
      <c r="F23" s="468"/>
      <c r="G23" s="468"/>
      <c r="H23" s="468"/>
      <c r="I23" s="468"/>
      <c r="J23" s="468"/>
      <c r="K23" s="468"/>
      <c r="L23" s="468"/>
      <c r="M23" s="1710">
        <f>SUM(M15:M22)</f>
        <v>12570771</v>
      </c>
      <c r="N23" s="1710">
        <f>SUM(N21:N22)</f>
        <v>3255000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5675</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0</v>
      </c>
      <c r="M33" s="468"/>
      <c r="N33" s="469"/>
    </row>
    <row r="34" spans="1:14" ht="13.5" customHeight="1" thickBot="1" x14ac:dyDescent="0.25">
      <c r="A34" s="1760" t="s">
        <v>675</v>
      </c>
      <c r="B34" s="1761"/>
      <c r="C34" s="1762">
        <f>SUM(C25:C33)</f>
        <v>5675</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3255000</v>
      </c>
    </row>
    <row r="37" spans="1:14" ht="13.5" thickBot="1" x14ac:dyDescent="0.25">
      <c r="A37" s="1758" t="s">
        <v>674</v>
      </c>
      <c r="B37" s="1763"/>
      <c r="C37" s="477"/>
      <c r="D37" s="477"/>
      <c r="E37" s="477"/>
      <c r="F37" s="477"/>
      <c r="G37" s="477"/>
      <c r="H37" s="477"/>
      <c r="I37" s="477"/>
      <c r="J37" s="477"/>
      <c r="K37" s="477"/>
      <c r="L37" s="480"/>
      <c r="M37" s="468"/>
      <c r="N37" s="1710">
        <f>SUM(N36:N36)</f>
        <v>3255000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12644042</v>
      </c>
      <c r="D39" s="466">
        <v>155888</v>
      </c>
      <c r="E39" s="466">
        <v>309824</v>
      </c>
      <c r="F39" s="466">
        <v>186206</v>
      </c>
      <c r="G39" s="466">
        <v>3242</v>
      </c>
      <c r="H39" s="466">
        <v>0</v>
      </c>
      <c r="I39" s="466">
        <v>423546</v>
      </c>
      <c r="J39" s="467">
        <v>741900</v>
      </c>
      <c r="K39" s="466">
        <v>81168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12570771</v>
      </c>
      <c r="N40" s="497"/>
    </row>
    <row r="41" spans="1:14" ht="13.5" customHeight="1" thickBot="1" x14ac:dyDescent="0.25">
      <c r="A41" s="1758" t="s">
        <v>676</v>
      </c>
      <c r="B41" s="1728"/>
      <c r="C41" s="1710">
        <f>(SUM(C34,C37,C38,C39))</f>
        <v>12649717</v>
      </c>
      <c r="D41" s="1710">
        <f t="shared" ref="D41:L41" si="2">SUM(D34,D37,D38:D39)</f>
        <v>155888</v>
      </c>
      <c r="E41" s="1710">
        <f t="shared" si="2"/>
        <v>309824</v>
      </c>
      <c r="F41" s="1710">
        <f t="shared" si="2"/>
        <v>186206</v>
      </c>
      <c r="G41" s="1710">
        <f t="shared" si="2"/>
        <v>3242</v>
      </c>
      <c r="H41" s="1710">
        <f t="shared" si="2"/>
        <v>0</v>
      </c>
      <c r="I41" s="1710">
        <f t="shared" si="2"/>
        <v>423546</v>
      </c>
      <c r="J41" s="1710">
        <f t="shared" si="2"/>
        <v>741900</v>
      </c>
      <c r="K41" s="1710">
        <f t="shared" si="2"/>
        <v>81168</v>
      </c>
      <c r="L41" s="1710">
        <f t="shared" si="2"/>
        <v>0</v>
      </c>
      <c r="M41" s="1710">
        <f>SUM(M40)</f>
        <v>12570771</v>
      </c>
      <c r="N41" s="1710">
        <f>SUM(N37)</f>
        <v>3255000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C85" sqref="C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7256033</v>
      </c>
      <c r="D4" s="1764">
        <f>'Revenues 9-14'!D109</f>
        <v>932927</v>
      </c>
      <c r="E4" s="1764">
        <f>'Revenues 9-14'!E109</f>
        <v>428624</v>
      </c>
      <c r="F4" s="1764">
        <f>'Revenues 9-14'!F109</f>
        <v>329017</v>
      </c>
      <c r="G4" s="1764">
        <f>'Revenues 9-14'!G109</f>
        <v>393630</v>
      </c>
      <c r="H4" s="1764">
        <f>'Revenues 9-14'!H109</f>
        <v>0</v>
      </c>
      <c r="I4" s="1764">
        <f>'Revenues 9-14'!I109</f>
        <v>59922</v>
      </c>
      <c r="J4" s="1764">
        <f>'Revenues 9-14'!J109</f>
        <v>2337</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2074826</v>
      </c>
      <c r="D6" s="1765">
        <f>'Revenues 9-14'!D173</f>
        <v>0</v>
      </c>
      <c r="E6" s="1765">
        <f>'Revenues 9-14'!E173</f>
        <v>0</v>
      </c>
      <c r="F6" s="1765">
        <f>'Revenues 9-14'!F173</f>
        <v>270188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773774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10104633</v>
      </c>
      <c r="D8" s="1710">
        <f t="shared" ref="D8:K8" si="0">SUM(D4:D7)</f>
        <v>932927</v>
      </c>
      <c r="E8" s="1710">
        <f t="shared" si="0"/>
        <v>428624</v>
      </c>
      <c r="F8" s="1710">
        <f t="shared" si="0"/>
        <v>599205</v>
      </c>
      <c r="G8" s="1710">
        <f t="shared" si="0"/>
        <v>393630</v>
      </c>
      <c r="H8" s="1710">
        <f t="shared" si="0"/>
        <v>0</v>
      </c>
      <c r="I8" s="1710">
        <f t="shared" si="0"/>
        <v>59922</v>
      </c>
      <c r="J8" s="1710">
        <f t="shared" si="0"/>
        <v>2337</v>
      </c>
      <c r="K8" s="1710">
        <f t="shared" si="0"/>
        <v>0</v>
      </c>
      <c r="L8" s="347"/>
    </row>
    <row r="9" spans="1:13" ht="15.75" thickTop="1" x14ac:dyDescent="0.2">
      <c r="A9" s="514" t="s">
        <v>1752</v>
      </c>
      <c r="B9" s="515">
        <v>3998</v>
      </c>
      <c r="C9" s="481">
        <v>3639260</v>
      </c>
      <c r="D9" s="516"/>
      <c r="E9" s="481"/>
      <c r="F9" s="481"/>
      <c r="G9" s="517"/>
      <c r="H9" s="481"/>
      <c r="I9" s="509" t="s">
        <v>1231</v>
      </c>
      <c r="J9" s="478"/>
      <c r="K9" s="481"/>
      <c r="L9" s="347"/>
    </row>
    <row r="10" spans="1:13" s="519" customFormat="1" ht="13.5" thickBot="1" x14ac:dyDescent="0.25">
      <c r="A10" s="1758" t="s">
        <v>1235</v>
      </c>
      <c r="B10" s="1731"/>
      <c r="C10" s="1710">
        <f>SUM(C8:C9)</f>
        <v>13743893</v>
      </c>
      <c r="D10" s="1710">
        <f t="shared" ref="D10:K10" si="1">SUM(D8:D9)</f>
        <v>932927</v>
      </c>
      <c r="E10" s="1710">
        <f t="shared" si="1"/>
        <v>428624</v>
      </c>
      <c r="F10" s="1710">
        <f t="shared" si="1"/>
        <v>599205</v>
      </c>
      <c r="G10" s="1710">
        <f t="shared" si="1"/>
        <v>393630</v>
      </c>
      <c r="H10" s="1710">
        <f t="shared" si="1"/>
        <v>0</v>
      </c>
      <c r="I10" s="1710">
        <f t="shared" si="1"/>
        <v>59922</v>
      </c>
      <c r="J10" s="1710">
        <f t="shared" si="1"/>
        <v>2337</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5481652</v>
      </c>
      <c r="D12" s="520" t="s">
        <v>1231</v>
      </c>
      <c r="E12" s="468" t="s">
        <v>1231</v>
      </c>
      <c r="F12" s="468" t="s">
        <v>1231</v>
      </c>
      <c r="G12" s="1764">
        <f>'Expenditures 15-22'!K229</f>
        <v>75589</v>
      </c>
      <c r="H12" s="521"/>
      <c r="I12" s="468" t="s">
        <v>1231</v>
      </c>
      <c r="J12" s="468" t="s">
        <v>1231</v>
      </c>
      <c r="K12" s="521" t="s">
        <v>1231</v>
      </c>
      <c r="L12" s="347"/>
    </row>
    <row r="13" spans="1:13" ht="15.75" customHeight="1" x14ac:dyDescent="0.2">
      <c r="A13" s="1598" t="s">
        <v>477</v>
      </c>
      <c r="B13" s="1600">
        <v>2000</v>
      </c>
      <c r="C13" s="1765">
        <f>'Expenditures 15-22'!K74</f>
        <v>2146205</v>
      </c>
      <c r="D13" s="1765">
        <f>'Expenditures 15-22'!K129</f>
        <v>1076254</v>
      </c>
      <c r="E13" s="469" t="s">
        <v>1231</v>
      </c>
      <c r="F13" s="1765">
        <f>'Expenditures 15-22'!K184</f>
        <v>621810</v>
      </c>
      <c r="G13" s="1765">
        <f>'Expenditures 15-22'!K279</f>
        <v>316447</v>
      </c>
      <c r="H13" s="1765">
        <f>'Expenditures 15-22'!K303</f>
        <v>0</v>
      </c>
      <c r="I13" s="468" t="s">
        <v>1231</v>
      </c>
      <c r="J13" s="1765">
        <f>'Expenditures 15-22'!K330</f>
        <v>88872</v>
      </c>
      <c r="K13" s="1769">
        <f>'Expenditures 15-22'!K352</f>
        <v>0</v>
      </c>
      <c r="L13" s="347"/>
    </row>
    <row r="14" spans="1:13" ht="15.75" customHeight="1" x14ac:dyDescent="0.2">
      <c r="A14" s="1598" t="s">
        <v>469</v>
      </c>
      <c r="B14" s="1600">
        <v>3000</v>
      </c>
      <c r="C14" s="1765">
        <f>'Expenditures 15-22'!K75</f>
        <v>1500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730394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443000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8359751</v>
      </c>
      <c r="D17" s="1710">
        <f t="shared" si="2"/>
        <v>1076254</v>
      </c>
      <c r="E17" s="1710">
        <f t="shared" si="2"/>
        <v>443000</v>
      </c>
      <c r="F17" s="1710">
        <f t="shared" si="2"/>
        <v>621810</v>
      </c>
      <c r="G17" s="1710">
        <f t="shared" si="2"/>
        <v>392036</v>
      </c>
      <c r="H17" s="1710">
        <f t="shared" si="2"/>
        <v>0</v>
      </c>
      <c r="I17" s="468"/>
      <c r="J17" s="1710">
        <f>SUM(J12:J16)</f>
        <v>88872</v>
      </c>
      <c r="K17" s="1710">
        <f>SUM(K12:K16)</f>
        <v>0</v>
      </c>
      <c r="L17" s="347"/>
    </row>
    <row r="18" spans="1:12" ht="15" customHeight="1" thickTop="1" x14ac:dyDescent="0.2">
      <c r="A18" s="1766" t="s">
        <v>1753</v>
      </c>
      <c r="B18" s="1767">
        <v>4180</v>
      </c>
      <c r="C18" s="1764">
        <f t="shared" ref="C18:H18" si="3">C9</f>
        <v>3639260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11999011</v>
      </c>
      <c r="D19" s="1710">
        <f t="shared" si="4"/>
        <v>1076254</v>
      </c>
      <c r="E19" s="1710">
        <f t="shared" si="4"/>
        <v>443000</v>
      </c>
      <c r="F19" s="1710">
        <f t="shared" si="4"/>
        <v>621810</v>
      </c>
      <c r="G19" s="1710">
        <f t="shared" si="4"/>
        <v>392036</v>
      </c>
      <c r="H19" s="1710">
        <f t="shared" si="4"/>
        <v>0</v>
      </c>
      <c r="I19" s="468"/>
      <c r="J19" s="1710">
        <f>SUM(J17:J18)</f>
        <v>88872</v>
      </c>
      <c r="K19" s="1710">
        <f>SUM(K17:K18)</f>
        <v>0</v>
      </c>
      <c r="L19" s="347"/>
    </row>
    <row r="20" spans="1:12" ht="16.5" thickTop="1" thickBot="1" x14ac:dyDescent="0.25">
      <c r="A20" s="2144" t="s">
        <v>1754</v>
      </c>
      <c r="B20" s="2145"/>
      <c r="C20" s="1768">
        <f>C8-C17</f>
        <v>1744882</v>
      </c>
      <c r="D20" s="1768">
        <f t="shared" ref="D20:K20" si="5">D8-D17</f>
        <v>-143327</v>
      </c>
      <c r="E20" s="1768">
        <f t="shared" si="5"/>
        <v>-14376</v>
      </c>
      <c r="F20" s="1768">
        <f t="shared" si="5"/>
        <v>-22605</v>
      </c>
      <c r="G20" s="1768">
        <f t="shared" si="5"/>
        <v>1594</v>
      </c>
      <c r="H20" s="1768">
        <f t="shared" si="5"/>
        <v>0</v>
      </c>
      <c r="I20" s="1768">
        <f t="shared" si="5"/>
        <v>59922</v>
      </c>
      <c r="J20" s="1768">
        <f t="shared" si="5"/>
        <v>-86535</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1744882</v>
      </c>
      <c r="D78" s="1724">
        <f t="shared" si="9"/>
        <v>-143327</v>
      </c>
      <c r="E78" s="1724">
        <f t="shared" si="9"/>
        <v>-14376</v>
      </c>
      <c r="F78" s="1724">
        <f t="shared" si="9"/>
        <v>-22605</v>
      </c>
      <c r="G78" s="1724">
        <f t="shared" si="9"/>
        <v>1594</v>
      </c>
      <c r="H78" s="1724">
        <f t="shared" si="9"/>
        <v>0</v>
      </c>
      <c r="I78" s="1724">
        <f t="shared" si="9"/>
        <v>59922</v>
      </c>
      <c r="J78" s="1724">
        <f t="shared" si="9"/>
        <v>-86535</v>
      </c>
      <c r="K78" s="1724">
        <f t="shared" si="9"/>
        <v>0</v>
      </c>
      <c r="L78" s="533"/>
    </row>
    <row r="79" spans="1:12" ht="13.5" thickTop="1" x14ac:dyDescent="0.2">
      <c r="A79" s="1516" t="s">
        <v>2073</v>
      </c>
      <c r="B79" s="534"/>
      <c r="C79" s="478">
        <v>10899160</v>
      </c>
      <c r="D79" s="535">
        <v>299215</v>
      </c>
      <c r="E79" s="535">
        <v>324200</v>
      </c>
      <c r="F79" s="535">
        <v>208811</v>
      </c>
      <c r="G79" s="535">
        <v>1648</v>
      </c>
      <c r="H79" s="535">
        <v>0</v>
      </c>
      <c r="I79" s="535">
        <v>363624</v>
      </c>
      <c r="J79" s="535">
        <v>828435</v>
      </c>
      <c r="K79" s="535">
        <v>81168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12644042</v>
      </c>
      <c r="D81" s="1710">
        <f>SUM(D78:D80)</f>
        <v>155888</v>
      </c>
      <c r="E81" s="1710">
        <f t="shared" ref="E81:K81" si="10">SUM(E78:E80)</f>
        <v>309824</v>
      </c>
      <c r="F81" s="1710">
        <f t="shared" si="10"/>
        <v>186206</v>
      </c>
      <c r="G81" s="1710">
        <f t="shared" si="10"/>
        <v>3242</v>
      </c>
      <c r="H81" s="1710">
        <f t="shared" si="10"/>
        <v>0</v>
      </c>
      <c r="I81" s="1710">
        <f t="shared" si="10"/>
        <v>423546</v>
      </c>
      <c r="J81" s="1710">
        <f t="shared" si="10"/>
        <v>741900</v>
      </c>
      <c r="K81" s="1710">
        <f t="shared" si="10"/>
        <v>81168</v>
      </c>
      <c r="L81" s="347"/>
    </row>
    <row r="82" spans="1:12" ht="0.75" customHeight="1" thickTop="1" thickBot="1" x14ac:dyDescent="0.25">
      <c r="A82" s="536" t="s">
        <v>361</v>
      </c>
      <c r="B82" s="537"/>
      <c r="C82" s="538">
        <f>(C81-C79)</f>
        <v>1744882</v>
      </c>
      <c r="D82" s="538">
        <f t="shared" ref="D82:K82" si="11">(D81-D79)</f>
        <v>-143327</v>
      </c>
      <c r="E82" s="538">
        <f t="shared" si="11"/>
        <v>-14376</v>
      </c>
      <c r="F82" s="538">
        <f t="shared" si="11"/>
        <v>-22605</v>
      </c>
      <c r="G82" s="538">
        <f t="shared" si="11"/>
        <v>1594</v>
      </c>
      <c r="H82" s="538">
        <f t="shared" si="11"/>
        <v>0</v>
      </c>
      <c r="I82" s="538">
        <f t="shared" si="11"/>
        <v>59922</v>
      </c>
      <c r="J82" s="538">
        <f t="shared" si="11"/>
        <v>-86535</v>
      </c>
      <c r="K82" s="538">
        <f t="shared" si="11"/>
        <v>0</v>
      </c>
    </row>
    <row r="83" spans="1:12" ht="14.25" hidden="1" thickTop="1" thickBot="1" x14ac:dyDescent="0.25">
      <c r="A83" s="539" t="s">
        <v>362</v>
      </c>
      <c r="B83" s="464"/>
      <c r="C83" s="540">
        <f>C82/C81</f>
        <v>0.13800033248861401</v>
      </c>
      <c r="D83" s="540">
        <f t="shared" ref="D83:K83" si="12">D82/D81</f>
        <v>-0.9194229190187827</v>
      </c>
      <c r="E83" s="540">
        <f t="shared" si="12"/>
        <v>-4.6400537079115886E-2</v>
      </c>
      <c r="F83" s="540">
        <f t="shared" si="12"/>
        <v>-0.12139780673018055</v>
      </c>
      <c r="G83" s="540">
        <f t="shared" si="12"/>
        <v>0.49167180752621836</v>
      </c>
      <c r="H83" s="540" t="e">
        <f t="shared" si="12"/>
        <v>#DIV/0!</v>
      </c>
      <c r="I83" s="540">
        <f t="shared" si="12"/>
        <v>0.14147695881911293</v>
      </c>
      <c r="J83" s="540">
        <f t="shared" si="12"/>
        <v>-0.11663970885564093</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04" activePane="bottomLeft" state="frozen"/>
      <selection activeCell="A47" sqref="A47"/>
      <selection pane="bottomLeft" activeCell="C220" sqref="C22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6088381</v>
      </c>
      <c r="D5" s="481">
        <v>926836</v>
      </c>
      <c r="E5" s="466">
        <v>425031</v>
      </c>
      <c r="F5" s="548"/>
      <c r="G5" s="466">
        <v>71815</v>
      </c>
      <c r="H5" s="466"/>
      <c r="I5" s="466">
        <v>59918</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625736</v>
      </c>
      <c r="D7" s="466"/>
      <c r="E7" s="468"/>
      <c r="F7" s="467"/>
      <c r="G7" s="467"/>
      <c r="H7" s="467"/>
      <c r="I7" s="468"/>
      <c r="J7" s="468"/>
      <c r="K7" s="468"/>
    </row>
    <row r="8" spans="1:12" x14ac:dyDescent="0.2">
      <c r="A8" s="463" t="s">
        <v>433</v>
      </c>
      <c r="B8" s="470">
        <v>1150</v>
      </c>
      <c r="C8" s="475"/>
      <c r="D8" s="475"/>
      <c r="E8" s="477"/>
      <c r="F8" s="477"/>
      <c r="G8" s="481">
        <v>71815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6714117</v>
      </c>
      <c r="D12" s="1729">
        <f t="shared" si="0"/>
        <v>926836</v>
      </c>
      <c r="E12" s="1729">
        <f t="shared" si="0"/>
        <v>425031</v>
      </c>
      <c r="F12" s="1729">
        <f t="shared" si="0"/>
        <v>0</v>
      </c>
      <c r="G12" s="1729">
        <f t="shared" si="0"/>
        <v>143630</v>
      </c>
      <c r="H12" s="1729">
        <f t="shared" si="0"/>
        <v>0</v>
      </c>
      <c r="I12" s="1729">
        <f t="shared" si="0"/>
        <v>59918</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243627</v>
      </c>
      <c r="D16" s="466"/>
      <c r="E16" s="466"/>
      <c r="F16" s="466"/>
      <c r="G16" s="466">
        <v>250000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243627</v>
      </c>
      <c r="D18" s="1732">
        <f t="shared" ref="D18:K18" si="1">SUM(D14:D17)</f>
        <v>0</v>
      </c>
      <c r="E18" s="1732">
        <f t="shared" si="1"/>
        <v>0</v>
      </c>
      <c r="F18" s="1732">
        <f t="shared" si="1"/>
        <v>0</v>
      </c>
      <c r="G18" s="1732">
        <f t="shared" si="1"/>
        <v>250000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283612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45405</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329017</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128573</v>
      </c>
      <c r="D65" s="466">
        <v>93</v>
      </c>
      <c r="E65" s="466">
        <v>3593</v>
      </c>
      <c r="F65" s="467"/>
      <c r="G65" s="466"/>
      <c r="H65" s="466"/>
      <c r="I65" s="466">
        <v>4</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128573</v>
      </c>
      <c r="D67" s="1710">
        <f t="shared" ref="D67:K67" si="2">SUM(D65:D66)</f>
        <v>93</v>
      </c>
      <c r="E67" s="1710">
        <f t="shared" si="2"/>
        <v>3593</v>
      </c>
      <c r="F67" s="1710">
        <f t="shared" si="2"/>
        <v>0</v>
      </c>
      <c r="G67" s="1710">
        <f t="shared" si="2"/>
        <v>0</v>
      </c>
      <c r="H67" s="1710">
        <f t="shared" si="2"/>
        <v>0</v>
      </c>
      <c r="I67" s="1710">
        <f t="shared" si="2"/>
        <v>4</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58250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58250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5771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5771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23733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23733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5345</v>
      </c>
      <c r="D96" s="551">
        <v>5998</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9763</v>
      </c>
      <c r="D99" s="466"/>
      <c r="E99" s="466"/>
      <c r="F99" s="466"/>
      <c r="G99" s="466"/>
      <c r="H99" s="466"/>
      <c r="I99" s="468"/>
      <c r="J99" s="467">
        <v>2337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18013</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48340</v>
      </c>
      <c r="D106" s="489"/>
      <c r="E106" s="467"/>
      <c r="F106" s="467"/>
      <c r="G106" s="467"/>
      <c r="H106" s="467"/>
      <c r="I106" s="521"/>
      <c r="J106" s="467"/>
      <c r="K106" s="467"/>
    </row>
    <row r="107" spans="1:12" ht="12.75" customHeight="1" x14ac:dyDescent="0.2">
      <c r="A107" s="463" t="s">
        <v>80</v>
      </c>
      <c r="B107" s="470">
        <v>1999</v>
      </c>
      <c r="C107" s="551">
        <v>501</v>
      </c>
      <c r="D107" s="466"/>
      <c r="E107" s="466"/>
      <c r="F107" s="466"/>
      <c r="G107" s="466"/>
      <c r="H107" s="466"/>
      <c r="I107" s="466"/>
      <c r="J107" s="467"/>
      <c r="K107" s="466"/>
    </row>
    <row r="108" spans="1:12" ht="12.75" customHeight="1" thickBot="1" x14ac:dyDescent="0.25">
      <c r="A108" s="1730" t="s">
        <v>508</v>
      </c>
      <c r="B108" s="1734"/>
      <c r="C108" s="1729">
        <f>SUM(C95:C107)</f>
        <v>81962</v>
      </c>
      <c r="D108" s="1729">
        <f t="shared" ref="D108:K108" si="3">SUM(D95:D107)</f>
        <v>5998</v>
      </c>
      <c r="E108" s="1729">
        <f t="shared" si="3"/>
        <v>0</v>
      </c>
      <c r="F108" s="1729">
        <f t="shared" si="3"/>
        <v>0</v>
      </c>
      <c r="G108" s="1729">
        <f t="shared" si="3"/>
        <v>0</v>
      </c>
      <c r="H108" s="1729">
        <f t="shared" si="3"/>
        <v>0</v>
      </c>
      <c r="I108" s="1729">
        <f t="shared" si="3"/>
        <v>0</v>
      </c>
      <c r="J108" s="1729">
        <f t="shared" si="3"/>
        <v>2337</v>
      </c>
      <c r="K108" s="1710">
        <f t="shared" si="3"/>
        <v>0</v>
      </c>
    </row>
    <row r="109" spans="1:12" ht="14.25" thickTop="1" thickBot="1" x14ac:dyDescent="0.25">
      <c r="A109" s="1735" t="s">
        <v>266</v>
      </c>
      <c r="B109" s="1736" t="s">
        <v>591</v>
      </c>
      <c r="C109" s="1737">
        <f t="shared" ref="C109:K109" si="4">SUM(C12,C18,C40,C63,C67,C75,C82,C93,C108,)</f>
        <v>7256033</v>
      </c>
      <c r="D109" s="1737">
        <f t="shared" si="4"/>
        <v>932927</v>
      </c>
      <c r="E109" s="1737">
        <f t="shared" si="4"/>
        <v>428624</v>
      </c>
      <c r="F109" s="1737">
        <f t="shared" si="4"/>
        <v>329017</v>
      </c>
      <c r="G109" s="1737">
        <f t="shared" si="4"/>
        <v>393630</v>
      </c>
      <c r="H109" s="1737">
        <f t="shared" si="4"/>
        <v>0</v>
      </c>
      <c r="I109" s="1737">
        <f t="shared" si="4"/>
        <v>59922</v>
      </c>
      <c r="J109" s="1737">
        <f t="shared" si="4"/>
        <v>2337</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1574384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1574384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76793</v>
      </c>
      <c r="D124" s="561"/>
      <c r="E124" s="468"/>
      <c r="F124" s="548"/>
      <c r="G124" s="468"/>
      <c r="H124" s="468"/>
      <c r="I124" s="468"/>
      <c r="J124" s="468"/>
      <c r="K124" s="468"/>
    </row>
    <row r="125" spans="1:11" ht="12.75" customHeight="1" x14ac:dyDescent="0.2">
      <c r="A125" s="463" t="s">
        <v>1521</v>
      </c>
      <c r="B125" s="562">
        <v>3105</v>
      </c>
      <c r="C125" s="466">
        <v>50210</v>
      </c>
      <c r="D125" s="561"/>
      <c r="E125" s="468"/>
      <c r="F125" s="466"/>
      <c r="G125" s="468"/>
      <c r="H125" s="468"/>
      <c r="I125" s="468"/>
      <c r="J125" s="468"/>
      <c r="K125" s="468"/>
    </row>
    <row r="126" spans="1:11" ht="12.75" customHeight="1" x14ac:dyDescent="0.2">
      <c r="A126" s="463" t="s">
        <v>922</v>
      </c>
      <c r="B126" s="562">
        <v>3110</v>
      </c>
      <c r="C126" s="551">
        <v>49240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176243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1305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1305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82419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82419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3994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7527</v>
      </c>
      <c r="G151" s="467"/>
      <c r="H151" s="468"/>
      <c r="I151" s="468"/>
      <c r="J151" s="468"/>
      <c r="K151" s="468"/>
    </row>
    <row r="152" spans="1:11" ht="12.75" customHeight="1" x14ac:dyDescent="0.2">
      <c r="A152" s="463" t="s">
        <v>1117</v>
      </c>
      <c r="B152" s="562">
        <v>3510</v>
      </c>
      <c r="C152" s="551"/>
      <c r="D152" s="466"/>
      <c r="E152" s="561"/>
      <c r="F152" s="466">
        <v>262661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270188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204560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31921</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500442</v>
      </c>
      <c r="D172" s="1744">
        <f t="shared" si="6"/>
        <v>0</v>
      </c>
      <c r="E172" s="1744">
        <f t="shared" si="6"/>
        <v>0</v>
      </c>
      <c r="F172" s="1744">
        <f t="shared" si="6"/>
        <v>270188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2074826</v>
      </c>
      <c r="D173" s="1737">
        <f>SUM(D121,D172)</f>
        <v>0</v>
      </c>
      <c r="E173" s="1737">
        <f>SUM(E121,E172)</f>
        <v>0</v>
      </c>
      <c r="F173" s="1737">
        <f t="shared" ref="F173:K173" si="7">SUM(F121,F172)</f>
        <v>270188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203189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58059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261248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287505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287505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1934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93101</v>
      </c>
      <c r="D220" s="466"/>
      <c r="E220" s="468"/>
      <c r="F220" s="466"/>
      <c r="G220" s="466"/>
      <c r="H220" s="468"/>
      <c r="I220" s="468"/>
      <c r="J220" s="468"/>
      <c r="K220" s="468"/>
    </row>
    <row r="221" spans="1:11" ht="12.75" customHeight="1" x14ac:dyDescent="0.2">
      <c r="A221" s="463" t="s">
        <v>1114</v>
      </c>
      <c r="B221" s="470">
        <v>4625</v>
      </c>
      <c r="C221" s="551">
        <v>1239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96274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22103</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13985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11427</v>
      </c>
      <c r="D270" s="576"/>
      <c r="E270" s="468"/>
      <c r="F270" s="576"/>
      <c r="G270" s="576"/>
      <c r="H270" s="468"/>
      <c r="I270" s="468"/>
      <c r="J270" s="468"/>
      <c r="K270" s="468"/>
    </row>
    <row r="271" spans="1:11" ht="12.75" customHeight="1" thickTop="1" thickBot="1" x14ac:dyDescent="0.25">
      <c r="A271" s="463" t="s">
        <v>395</v>
      </c>
      <c r="B271" s="470">
        <v>4992</v>
      </c>
      <c r="C271" s="575">
        <v>81232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773774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773774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10104633</v>
      </c>
      <c r="D275" s="1737">
        <f t="shared" si="12"/>
        <v>932927</v>
      </c>
      <c r="E275" s="1737">
        <f t="shared" si="12"/>
        <v>428624</v>
      </c>
      <c r="F275" s="1737">
        <f t="shared" si="12"/>
        <v>599205</v>
      </c>
      <c r="G275" s="1737">
        <f t="shared" si="12"/>
        <v>393630</v>
      </c>
      <c r="H275" s="1737">
        <f t="shared" si="12"/>
        <v>0</v>
      </c>
      <c r="I275" s="1737">
        <f t="shared" si="12"/>
        <v>59922</v>
      </c>
      <c r="J275" s="1737">
        <f t="shared" si="12"/>
        <v>2337</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227" activePane="bottomRight" state="frozen"/>
      <selection pane="topRight" activeCell="C1" sqref="C1"/>
      <selection pane="bottomLeft" activeCell="A3" sqref="A3"/>
      <selection pane="bottomRight" activeCell="G262" sqref="G26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2935799</v>
      </c>
      <c r="D5" s="466">
        <v>592534</v>
      </c>
      <c r="E5" s="466">
        <v>31528</v>
      </c>
      <c r="F5" s="466">
        <v>210538</v>
      </c>
      <c r="G5" s="466">
        <v>42615</v>
      </c>
      <c r="H5" s="466"/>
      <c r="I5" s="467"/>
      <c r="J5" s="467"/>
      <c r="K5" s="1693">
        <f>SUM(C5:J5)</f>
        <v>3813014</v>
      </c>
      <c r="L5" s="466">
        <v>4154750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103305</v>
      </c>
      <c r="D7" s="467">
        <v>31669</v>
      </c>
      <c r="E7" s="467">
        <v>2891</v>
      </c>
      <c r="F7" s="467">
        <v>7978</v>
      </c>
      <c r="G7" s="467">
        <v>7283</v>
      </c>
      <c r="H7" s="467"/>
      <c r="I7" s="467"/>
      <c r="J7" s="467"/>
      <c r="K7" s="1693">
        <f t="shared" ref="K7:K32" si="0">SUM(C7:J7)</f>
        <v>153126</v>
      </c>
      <c r="L7" s="466">
        <v>154250</v>
      </c>
    </row>
    <row r="8" spans="1:14" x14ac:dyDescent="0.2">
      <c r="A8" s="1526" t="s">
        <v>166</v>
      </c>
      <c r="B8" s="615">
        <v>1200</v>
      </c>
      <c r="C8" s="466">
        <v>834361</v>
      </c>
      <c r="D8" s="466">
        <v>187040</v>
      </c>
      <c r="E8" s="466">
        <v>10568</v>
      </c>
      <c r="F8" s="466">
        <v>11969</v>
      </c>
      <c r="G8" s="466"/>
      <c r="H8" s="466"/>
      <c r="I8" s="467"/>
      <c r="J8" s="467"/>
      <c r="K8" s="1693">
        <f t="shared" si="0"/>
        <v>1043938</v>
      </c>
      <c r="L8" s="466">
        <v>1316000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72529</v>
      </c>
      <c r="D10" s="466">
        <v>16847</v>
      </c>
      <c r="E10" s="466">
        <v>24157</v>
      </c>
      <c r="F10" s="466">
        <v>68282</v>
      </c>
      <c r="G10" s="466">
        <v>27625</v>
      </c>
      <c r="H10" s="466"/>
      <c r="I10" s="467"/>
      <c r="J10" s="467"/>
      <c r="K10" s="1693">
        <f t="shared" si="0"/>
        <v>209440</v>
      </c>
      <c r="L10" s="466">
        <v>223000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133793</v>
      </c>
      <c r="D14" s="466"/>
      <c r="E14" s="466">
        <v>4567</v>
      </c>
      <c r="F14" s="466">
        <v>17096</v>
      </c>
      <c r="G14" s="466"/>
      <c r="H14" s="466"/>
      <c r="I14" s="467"/>
      <c r="J14" s="467"/>
      <c r="K14" s="1693">
        <f t="shared" si="0"/>
        <v>155456</v>
      </c>
      <c r="L14" s="466">
        <v>174150</v>
      </c>
    </row>
    <row r="15" spans="1:14" x14ac:dyDescent="0.2">
      <c r="A15" s="1526" t="s">
        <v>1021</v>
      </c>
      <c r="B15" s="615">
        <v>1600</v>
      </c>
      <c r="C15" s="466"/>
      <c r="D15" s="466"/>
      <c r="E15" s="466"/>
      <c r="F15" s="466">
        <v>44</v>
      </c>
      <c r="G15" s="466"/>
      <c r="H15" s="466"/>
      <c r="I15" s="467"/>
      <c r="J15" s="467"/>
      <c r="K15" s="1693">
        <f t="shared" si="0"/>
        <v>44</v>
      </c>
      <c r="L15" s="466">
        <v>52000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106634</v>
      </c>
      <c r="I22" s="617"/>
      <c r="J22" s="477"/>
      <c r="K22" s="1693">
        <f t="shared" si="0"/>
        <v>106634</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4079787</v>
      </c>
      <c r="D33" s="1692">
        <f t="shared" ref="D33:L33" si="1">SUM(D5:D32)</f>
        <v>828090</v>
      </c>
      <c r="E33" s="1692">
        <f t="shared" si="1"/>
        <v>73711</v>
      </c>
      <c r="F33" s="1692">
        <f t="shared" si="1"/>
        <v>315907</v>
      </c>
      <c r="G33" s="1692">
        <f t="shared" si="1"/>
        <v>77523</v>
      </c>
      <c r="H33" s="1692">
        <f t="shared" si="1"/>
        <v>106634</v>
      </c>
      <c r="I33" s="1692">
        <f t="shared" si="1"/>
        <v>0</v>
      </c>
      <c r="J33" s="1692">
        <f t="shared" si="1"/>
        <v>0</v>
      </c>
      <c r="K33" s="1692">
        <f t="shared" si="1"/>
        <v>5481652</v>
      </c>
      <c r="L33" s="1692">
        <f t="shared" si="1"/>
        <v>6074150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117160</v>
      </c>
      <c r="D36" s="481">
        <v>30814</v>
      </c>
      <c r="E36" s="481"/>
      <c r="F36" s="481"/>
      <c r="G36" s="481"/>
      <c r="H36" s="481"/>
      <c r="I36" s="467"/>
      <c r="J36" s="467"/>
      <c r="K36" s="1693">
        <f t="shared" ref="K36:K41" si="2">SUM(C36:J36)</f>
        <v>147974</v>
      </c>
      <c r="L36" s="466">
        <v>175500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61314</v>
      </c>
      <c r="D38" s="466">
        <v>9150</v>
      </c>
      <c r="E38" s="466">
        <v>210</v>
      </c>
      <c r="F38" s="466">
        <v>2333</v>
      </c>
      <c r="G38" s="466"/>
      <c r="H38" s="466"/>
      <c r="I38" s="467"/>
      <c r="J38" s="467"/>
      <c r="K38" s="1693">
        <f t="shared" si="2"/>
        <v>73007</v>
      </c>
      <c r="L38" s="466">
        <v>84250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48707</v>
      </c>
      <c r="D40" s="466">
        <v>8524</v>
      </c>
      <c r="E40" s="466"/>
      <c r="F40" s="466"/>
      <c r="G40" s="466"/>
      <c r="H40" s="466"/>
      <c r="I40" s="467"/>
      <c r="J40" s="467"/>
      <c r="K40" s="1693">
        <f t="shared" si="2"/>
        <v>57231</v>
      </c>
      <c r="L40" s="466">
        <v>63500</v>
      </c>
    </row>
    <row r="41" spans="1:14" x14ac:dyDescent="0.2">
      <c r="A41" s="1526" t="s">
        <v>1768</v>
      </c>
      <c r="B41" s="615">
        <v>2190</v>
      </c>
      <c r="C41" s="466">
        <v>92290</v>
      </c>
      <c r="D41" s="466"/>
      <c r="E41" s="466">
        <v>16985</v>
      </c>
      <c r="F41" s="466">
        <v>6826</v>
      </c>
      <c r="G41" s="466"/>
      <c r="H41" s="466">
        <v>2851</v>
      </c>
      <c r="I41" s="467"/>
      <c r="J41" s="467"/>
      <c r="K41" s="1693">
        <f t="shared" si="2"/>
        <v>118952</v>
      </c>
      <c r="L41" s="466">
        <v>144100</v>
      </c>
    </row>
    <row r="42" spans="1:14" ht="12.75" customHeight="1" thickBot="1" x14ac:dyDescent="0.25">
      <c r="A42" s="1690" t="s">
        <v>581</v>
      </c>
      <c r="B42" s="1691" t="s">
        <v>740</v>
      </c>
      <c r="C42" s="1692">
        <f>SUM(C36:C41)</f>
        <v>319471</v>
      </c>
      <c r="D42" s="1692">
        <f t="shared" ref="D42:L42" si="3">SUM(D36:D41)</f>
        <v>48488</v>
      </c>
      <c r="E42" s="1692">
        <f t="shared" si="3"/>
        <v>17195</v>
      </c>
      <c r="F42" s="1692">
        <f t="shared" si="3"/>
        <v>9159</v>
      </c>
      <c r="G42" s="1692">
        <f t="shared" si="3"/>
        <v>0</v>
      </c>
      <c r="H42" s="1692">
        <f t="shared" si="3"/>
        <v>2851</v>
      </c>
      <c r="I42" s="1692">
        <f t="shared" si="3"/>
        <v>0</v>
      </c>
      <c r="J42" s="1692">
        <f t="shared" si="3"/>
        <v>0</v>
      </c>
      <c r="K42" s="1692">
        <f t="shared" si="3"/>
        <v>397164</v>
      </c>
      <c r="L42" s="1692">
        <f t="shared" si="3"/>
        <v>467350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18731</v>
      </c>
      <c r="F44" s="481"/>
      <c r="G44" s="481"/>
      <c r="H44" s="481"/>
      <c r="I44" s="467"/>
      <c r="J44" s="467"/>
      <c r="K44" s="1694">
        <f>SUM(C44:J44)</f>
        <v>18731</v>
      </c>
      <c r="L44" s="481">
        <v>10000</v>
      </c>
    </row>
    <row r="45" spans="1:14" x14ac:dyDescent="0.2">
      <c r="A45" s="1526" t="s">
        <v>869</v>
      </c>
      <c r="B45" s="615">
        <v>2220</v>
      </c>
      <c r="C45" s="466">
        <v>57505</v>
      </c>
      <c r="D45" s="466">
        <v>8526</v>
      </c>
      <c r="E45" s="466"/>
      <c r="F45" s="466">
        <v>10311</v>
      </c>
      <c r="G45" s="466"/>
      <c r="H45" s="466"/>
      <c r="I45" s="467"/>
      <c r="J45" s="467"/>
      <c r="K45" s="1694">
        <f>SUM(C45:J45)</f>
        <v>76342</v>
      </c>
      <c r="L45" s="466">
        <v>92250</v>
      </c>
    </row>
    <row r="46" spans="1:14" x14ac:dyDescent="0.2">
      <c r="A46" s="1526" t="s">
        <v>870</v>
      </c>
      <c r="B46" s="615">
        <v>2230</v>
      </c>
      <c r="C46" s="466"/>
      <c r="D46" s="466"/>
      <c r="E46" s="466">
        <v>30303</v>
      </c>
      <c r="F46" s="466"/>
      <c r="G46" s="466"/>
      <c r="H46" s="466"/>
      <c r="I46" s="467"/>
      <c r="J46" s="467"/>
      <c r="K46" s="1694">
        <f>SUM(C46:J46)</f>
        <v>30303</v>
      </c>
      <c r="L46" s="466">
        <v>10000</v>
      </c>
    </row>
    <row r="47" spans="1:14" ht="12.75" customHeight="1" thickBot="1" x14ac:dyDescent="0.25">
      <c r="A47" s="1690" t="s">
        <v>582</v>
      </c>
      <c r="B47" s="1691" t="s">
        <v>32</v>
      </c>
      <c r="C47" s="1692">
        <f>SUM(C44:C46)</f>
        <v>57505</v>
      </c>
      <c r="D47" s="1692">
        <f t="shared" ref="D47:K47" si="4">SUM(D44:D46)</f>
        <v>8526</v>
      </c>
      <c r="E47" s="1692">
        <f t="shared" si="4"/>
        <v>49034</v>
      </c>
      <c r="F47" s="1692">
        <f t="shared" si="4"/>
        <v>10311</v>
      </c>
      <c r="G47" s="1692">
        <f t="shared" si="4"/>
        <v>0</v>
      </c>
      <c r="H47" s="1692">
        <f t="shared" si="4"/>
        <v>0</v>
      </c>
      <c r="I47" s="1692">
        <f t="shared" si="4"/>
        <v>0</v>
      </c>
      <c r="J47" s="1692">
        <f t="shared" si="4"/>
        <v>0</v>
      </c>
      <c r="K47" s="1692">
        <f t="shared" si="4"/>
        <v>125376</v>
      </c>
      <c r="L47" s="1692">
        <f>SUM(L44:L46)</f>
        <v>112250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169939</v>
      </c>
      <c r="F49" s="481"/>
      <c r="G49" s="481"/>
      <c r="H49" s="481">
        <v>17142</v>
      </c>
      <c r="I49" s="467"/>
      <c r="J49" s="467"/>
      <c r="K49" s="1694">
        <f>SUM(C49:J49)</f>
        <v>187081</v>
      </c>
      <c r="L49" s="481">
        <v>235250</v>
      </c>
    </row>
    <row r="50" spans="1:14" x14ac:dyDescent="0.2">
      <c r="A50" s="1526" t="s">
        <v>872</v>
      </c>
      <c r="B50" s="615">
        <v>2320</v>
      </c>
      <c r="C50" s="466">
        <v>238066</v>
      </c>
      <c r="D50" s="466">
        <v>58906</v>
      </c>
      <c r="E50" s="466">
        <v>3045</v>
      </c>
      <c r="F50" s="466"/>
      <c r="G50" s="466"/>
      <c r="H50" s="466">
        <v>5193</v>
      </c>
      <c r="I50" s="467"/>
      <c r="J50" s="467"/>
      <c r="K50" s="1694">
        <f>SUM(C50:J50)</f>
        <v>305210</v>
      </c>
      <c r="L50" s="466">
        <v>318700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238066</v>
      </c>
      <c r="D53" s="1692">
        <f t="shared" ref="D53:L53" si="5">SUM(D49:D52)</f>
        <v>58906</v>
      </c>
      <c r="E53" s="1692">
        <f t="shared" si="5"/>
        <v>172984</v>
      </c>
      <c r="F53" s="1692">
        <f t="shared" si="5"/>
        <v>0</v>
      </c>
      <c r="G53" s="1692">
        <f t="shared" si="5"/>
        <v>0</v>
      </c>
      <c r="H53" s="1692">
        <f t="shared" si="5"/>
        <v>22335</v>
      </c>
      <c r="I53" s="1692">
        <f t="shared" si="5"/>
        <v>0</v>
      </c>
      <c r="J53" s="1692">
        <f t="shared" si="5"/>
        <v>0</v>
      </c>
      <c r="K53" s="1692">
        <f t="shared" si="5"/>
        <v>492291</v>
      </c>
      <c r="L53" s="1692">
        <f t="shared" si="5"/>
        <v>553950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393941</v>
      </c>
      <c r="D55" s="481">
        <v>138382</v>
      </c>
      <c r="E55" s="481">
        <v>339</v>
      </c>
      <c r="F55" s="481">
        <v>7877</v>
      </c>
      <c r="G55" s="481"/>
      <c r="H55" s="481">
        <v>3072</v>
      </c>
      <c r="I55" s="467"/>
      <c r="J55" s="467"/>
      <c r="K55" s="1694">
        <f>SUM(C55:J55)</f>
        <v>543611</v>
      </c>
      <c r="L55" s="481">
        <v>524500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393941</v>
      </c>
      <c r="D57" s="1696">
        <f t="shared" ref="D57:K57" si="6">SUM(D55:D56)</f>
        <v>138382</v>
      </c>
      <c r="E57" s="1696">
        <f t="shared" si="6"/>
        <v>339</v>
      </c>
      <c r="F57" s="1696">
        <f t="shared" si="6"/>
        <v>7877</v>
      </c>
      <c r="G57" s="1696">
        <f t="shared" si="6"/>
        <v>0</v>
      </c>
      <c r="H57" s="1696">
        <f t="shared" si="6"/>
        <v>3072</v>
      </c>
      <c r="I57" s="1696">
        <f t="shared" si="6"/>
        <v>0</v>
      </c>
      <c r="J57" s="1696">
        <f t="shared" si="6"/>
        <v>0</v>
      </c>
      <c r="K57" s="1696">
        <f t="shared" si="6"/>
        <v>543611</v>
      </c>
      <c r="L57" s="1692">
        <f>SUM(L55:L56)</f>
        <v>524500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9416</v>
      </c>
      <c r="F59" s="481"/>
      <c r="G59" s="481"/>
      <c r="H59" s="481">
        <v>17076</v>
      </c>
      <c r="I59" s="467"/>
      <c r="J59" s="467"/>
      <c r="K59" s="1694">
        <f t="shared" ref="K59:K64" si="7">SUM(C59:J59)</f>
        <v>26492</v>
      </c>
      <c r="L59" s="481">
        <v>39500</v>
      </c>
      <c r="M59" s="610"/>
      <c r="N59" s="610"/>
    </row>
    <row r="60" spans="1:14" s="343" customFormat="1" x14ac:dyDescent="0.2">
      <c r="A60" s="1526" t="s">
        <v>483</v>
      </c>
      <c r="B60" s="615">
        <v>2520</v>
      </c>
      <c r="C60" s="466">
        <v>167156</v>
      </c>
      <c r="D60" s="466">
        <v>54805</v>
      </c>
      <c r="E60" s="466"/>
      <c r="F60" s="466">
        <v>2588</v>
      </c>
      <c r="G60" s="466"/>
      <c r="H60" s="466"/>
      <c r="I60" s="467"/>
      <c r="J60" s="467"/>
      <c r="K60" s="1694">
        <f t="shared" si="7"/>
        <v>224549</v>
      </c>
      <c r="L60" s="466">
        <v>230000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83789</v>
      </c>
      <c r="D63" s="466">
        <v>9122</v>
      </c>
      <c r="E63" s="466">
        <v>276</v>
      </c>
      <c r="F63" s="466">
        <v>243535</v>
      </c>
      <c r="G63" s="466"/>
      <c r="H63" s="466"/>
      <c r="I63" s="467"/>
      <c r="J63" s="467"/>
      <c r="K63" s="1694">
        <f t="shared" si="7"/>
        <v>336722</v>
      </c>
      <c r="L63" s="466">
        <v>359500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250945</v>
      </c>
      <c r="D65" s="1692">
        <f t="shared" ref="D65:L65" si="8">SUM(D59:D64)</f>
        <v>63927</v>
      </c>
      <c r="E65" s="1692">
        <f t="shared" si="8"/>
        <v>9692</v>
      </c>
      <c r="F65" s="1692">
        <f t="shared" si="8"/>
        <v>246123</v>
      </c>
      <c r="G65" s="1692">
        <f t="shared" si="8"/>
        <v>0</v>
      </c>
      <c r="H65" s="1692">
        <f t="shared" si="8"/>
        <v>17076</v>
      </c>
      <c r="I65" s="1692">
        <f t="shared" si="8"/>
        <v>0</v>
      </c>
      <c r="J65" s="1692">
        <f t="shared" si="8"/>
        <v>0</v>
      </c>
      <c r="K65" s="1692">
        <f t="shared" si="8"/>
        <v>587763</v>
      </c>
      <c r="L65" s="1692">
        <f t="shared" si="8"/>
        <v>629000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1259928</v>
      </c>
      <c r="D74" s="1699">
        <f t="shared" ref="D74:K74" si="10">SUM(D42,D47,D53,D57,D65,D72,D73)</f>
        <v>318229</v>
      </c>
      <c r="E74" s="1699">
        <f t="shared" si="10"/>
        <v>249244</v>
      </c>
      <c r="F74" s="1699">
        <f t="shared" si="10"/>
        <v>273470</v>
      </c>
      <c r="G74" s="1699">
        <f t="shared" si="10"/>
        <v>0</v>
      </c>
      <c r="H74" s="1699">
        <f t="shared" si="10"/>
        <v>45334</v>
      </c>
      <c r="I74" s="1699">
        <f t="shared" si="10"/>
        <v>0</v>
      </c>
      <c r="J74" s="1699">
        <f t="shared" si="10"/>
        <v>0</v>
      </c>
      <c r="K74" s="1699">
        <f t="shared" si="10"/>
        <v>2146205</v>
      </c>
      <c r="L74" s="1699">
        <f>SUM(L42,L47,L53,L57,L65,L72,L73)</f>
        <v>2287050</v>
      </c>
    </row>
    <row r="75" spans="1:14" s="259" customFormat="1" ht="15.75" customHeight="1" thickTop="1" thickBot="1" x14ac:dyDescent="0.25">
      <c r="A75" s="1632" t="s">
        <v>49</v>
      </c>
      <c r="B75" s="1633" t="s">
        <v>596</v>
      </c>
      <c r="C75" s="573"/>
      <c r="D75" s="573"/>
      <c r="E75" s="573"/>
      <c r="F75" s="573"/>
      <c r="G75" s="573"/>
      <c r="H75" s="573">
        <v>1500</v>
      </c>
      <c r="I75" s="531"/>
      <c r="J75" s="531"/>
      <c r="K75" s="1692">
        <f>SUM(C75:J75)</f>
        <v>1500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86573</v>
      </c>
      <c r="I79" s="477"/>
      <c r="J79" s="477"/>
      <c r="K79" s="1693">
        <f t="shared" si="11"/>
        <v>86573</v>
      </c>
      <c r="L79" s="466">
        <v>120000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86573</v>
      </c>
      <c r="I84" s="477"/>
      <c r="J84" s="477"/>
      <c r="K84" s="1692">
        <f>SUM(K78:K83)</f>
        <v>86573</v>
      </c>
      <c r="L84" s="1692">
        <f>SUM(L78:L83)</f>
        <v>120000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643821</v>
      </c>
      <c r="I86" s="477"/>
      <c r="J86" s="477"/>
      <c r="K86" s="1699">
        <f t="shared" ref="K86:K98" si="12">H86</f>
        <v>643821</v>
      </c>
      <c r="L86" s="530">
        <v>600000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643821</v>
      </c>
      <c r="I92" s="477"/>
      <c r="J92" s="477"/>
      <c r="K92" s="1699">
        <f t="shared" si="12"/>
        <v>643821</v>
      </c>
      <c r="L92" s="1692">
        <f>SUM(L85:L91)</f>
        <v>600000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730394</v>
      </c>
      <c r="I102" s="477"/>
      <c r="J102" s="477"/>
      <c r="K102" s="1699">
        <f>SUM(K84,K92,K100,K101)</f>
        <v>730394</v>
      </c>
      <c r="L102" s="1699">
        <f>SUM(L84,L92,L100,L101)</f>
        <v>720000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49500</v>
      </c>
      <c r="M113" s="614"/>
      <c r="N113" s="614"/>
    </row>
    <row r="114" spans="1:14" ht="12.75" customHeight="1" thickTop="1" thickBot="1" x14ac:dyDescent="0.25">
      <c r="A114" s="1690" t="s">
        <v>50</v>
      </c>
      <c r="B114" s="1704"/>
      <c r="C114" s="1692">
        <f>SUM(C33,C74,C75,C102,C112,C113)</f>
        <v>5339715</v>
      </c>
      <c r="D114" s="1692">
        <f t="shared" ref="D114:K114" si="13">SUM(D33,D74,D75,D102,D112,D113)</f>
        <v>1146319</v>
      </c>
      <c r="E114" s="1692">
        <f t="shared" si="13"/>
        <v>322955</v>
      </c>
      <c r="F114" s="1692">
        <f t="shared" si="13"/>
        <v>589377</v>
      </c>
      <c r="G114" s="1692">
        <f t="shared" si="13"/>
        <v>77523</v>
      </c>
      <c r="H114" s="1692">
        <f>SUM(H33,H74,H75,H102,H112,H113)</f>
        <v>883862</v>
      </c>
      <c r="I114" s="1692">
        <f t="shared" si="13"/>
        <v>0</v>
      </c>
      <c r="J114" s="1692">
        <f t="shared" si="13"/>
        <v>0</v>
      </c>
      <c r="K114" s="1692">
        <f t="shared" si="13"/>
        <v>8359751</v>
      </c>
      <c r="L114" s="1692">
        <f>SUM(L33,L74,L75,L102,L112,L113)</f>
        <v>9130700</v>
      </c>
    </row>
    <row r="115" spans="1:14" ht="13.5" thickTop="1" x14ac:dyDescent="0.2">
      <c r="A115" s="2199" t="s">
        <v>1053</v>
      </c>
      <c r="B115" s="2200"/>
      <c r="C115" s="619"/>
      <c r="D115" s="619"/>
      <c r="E115" s="619"/>
      <c r="F115" s="619"/>
      <c r="G115" s="619"/>
      <c r="H115" s="619"/>
      <c r="I115" s="619"/>
      <c r="J115" s="619"/>
      <c r="K115" s="1706">
        <f>'Revenues 9-14'!C275-'Expenditures 15-22'!K114</f>
        <v>1744882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9002</v>
      </c>
      <c r="F123" s="466"/>
      <c r="G123" s="466">
        <v>223011</v>
      </c>
      <c r="H123" s="466"/>
      <c r="I123" s="467"/>
      <c r="J123" s="467"/>
      <c r="K123" s="1692">
        <f>SUM(C123:J123)</f>
        <v>232013</v>
      </c>
      <c r="L123" s="466">
        <v>227000</v>
      </c>
    </row>
    <row r="124" spans="1:14" ht="14.25" thickTop="1" thickBot="1" x14ac:dyDescent="0.25">
      <c r="A124" s="1526" t="s">
        <v>206</v>
      </c>
      <c r="B124" s="615">
        <v>2540</v>
      </c>
      <c r="C124" s="466">
        <v>463629</v>
      </c>
      <c r="D124" s="466">
        <v>102083</v>
      </c>
      <c r="E124" s="466">
        <v>88204</v>
      </c>
      <c r="F124" s="466">
        <v>155796</v>
      </c>
      <c r="G124" s="466">
        <v>34529</v>
      </c>
      <c r="H124" s="466"/>
      <c r="I124" s="467"/>
      <c r="J124" s="467"/>
      <c r="K124" s="1692">
        <f>SUM(C124:J124)</f>
        <v>844241</v>
      </c>
      <c r="L124" s="466">
        <v>996000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463629</v>
      </c>
      <c r="D127" s="1692">
        <f t="shared" ref="D127:L127" si="14">SUM(D122:D126)</f>
        <v>102083</v>
      </c>
      <c r="E127" s="1692">
        <f t="shared" si="14"/>
        <v>97206</v>
      </c>
      <c r="F127" s="1692">
        <f t="shared" si="14"/>
        <v>155796</v>
      </c>
      <c r="G127" s="1692">
        <f t="shared" si="14"/>
        <v>257540</v>
      </c>
      <c r="H127" s="1692">
        <f t="shared" si="14"/>
        <v>0</v>
      </c>
      <c r="I127" s="1692">
        <f t="shared" si="14"/>
        <v>0</v>
      </c>
      <c r="J127" s="1692">
        <f t="shared" si="14"/>
        <v>0</v>
      </c>
      <c r="K127" s="1692">
        <f t="shared" si="14"/>
        <v>1076254</v>
      </c>
      <c r="L127" s="1692">
        <f t="shared" si="14"/>
        <v>1223000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463629</v>
      </c>
      <c r="D129" s="1699">
        <f t="shared" ref="D129:L129" si="15">SUM(D120,D127,D128)</f>
        <v>102083</v>
      </c>
      <c r="E129" s="1699">
        <f t="shared" si="15"/>
        <v>97206</v>
      </c>
      <c r="F129" s="1699">
        <f t="shared" si="15"/>
        <v>155796</v>
      </c>
      <c r="G129" s="1699">
        <f t="shared" si="15"/>
        <v>257540</v>
      </c>
      <c r="H129" s="1699">
        <f t="shared" si="15"/>
        <v>0</v>
      </c>
      <c r="I129" s="1699">
        <f t="shared" si="15"/>
        <v>0</v>
      </c>
      <c r="J129" s="1699">
        <f t="shared" si="15"/>
        <v>0</v>
      </c>
      <c r="K129" s="1699">
        <f t="shared" si="15"/>
        <v>1076254</v>
      </c>
      <c r="L129" s="1699">
        <f t="shared" si="15"/>
        <v>1223000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463629</v>
      </c>
      <c r="D151" s="1692">
        <f t="shared" ref="D151:K151" si="16">SUM(D129,D130,D139,D149,D150)</f>
        <v>102083</v>
      </c>
      <c r="E151" s="1692">
        <f t="shared" si="16"/>
        <v>97206</v>
      </c>
      <c r="F151" s="1692">
        <f t="shared" si="16"/>
        <v>155796</v>
      </c>
      <c r="G151" s="1692">
        <f t="shared" si="16"/>
        <v>257540</v>
      </c>
      <c r="H151" s="1692">
        <f t="shared" si="16"/>
        <v>0</v>
      </c>
      <c r="I151" s="1692">
        <f t="shared" si="16"/>
        <v>0</v>
      </c>
      <c r="J151" s="1692">
        <f t="shared" si="16"/>
        <v>0</v>
      </c>
      <c r="K151" s="1692">
        <f t="shared" si="16"/>
        <v>1076254</v>
      </c>
      <c r="L151" s="1692">
        <f>SUM(L129,L130,L139,L149,L150)</f>
        <v>1223000</v>
      </c>
    </row>
    <row r="152" spans="1:14" ht="12.75" customHeight="1" thickTop="1" x14ac:dyDescent="0.2">
      <c r="A152" s="2192" t="s">
        <v>1240</v>
      </c>
      <c r="B152" s="2193"/>
      <c r="C152" s="619"/>
      <c r="D152" s="619"/>
      <c r="E152" s="619"/>
      <c r="F152" s="619"/>
      <c r="G152" s="619"/>
      <c r="H152" s="619"/>
      <c r="I152" s="619"/>
      <c r="J152" s="617"/>
      <c r="K152" s="1706">
        <f>'Revenues 9-14'!D275-'Expenditures 15-22'!K151</f>
        <v>-143327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153000</v>
      </c>
      <c r="I169" s="617"/>
      <c r="J169" s="617"/>
      <c r="K169" s="1693">
        <f>SUM(C169:H169)</f>
        <v>153000</v>
      </c>
      <c r="L169" s="657">
        <v>155000</v>
      </c>
    </row>
    <row r="170" spans="1:14" ht="33.75" customHeight="1" x14ac:dyDescent="0.2">
      <c r="A170" s="670" t="s">
        <v>1769</v>
      </c>
      <c r="B170" s="672" t="s">
        <v>31</v>
      </c>
      <c r="C170" s="617"/>
      <c r="D170" s="617"/>
      <c r="E170" s="617"/>
      <c r="F170" s="617"/>
      <c r="G170" s="617"/>
      <c r="H170" s="569">
        <v>290000</v>
      </c>
      <c r="I170" s="617"/>
      <c r="J170" s="617"/>
      <c r="K170" s="1693">
        <f>SUM(C170:J170)</f>
        <v>290000</v>
      </c>
      <c r="L170" s="569">
        <v>290000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443000</v>
      </c>
      <c r="I172" s="639"/>
      <c r="J172" s="617"/>
      <c r="K172" s="1699">
        <f>SUM(K168,K169,K170,K171)</f>
        <v>443000</v>
      </c>
      <c r="L172" s="1699">
        <f>SUM(L168,L169,L170,L171)</f>
        <v>445000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443000</v>
      </c>
      <c r="I174" s="639"/>
      <c r="J174" s="617"/>
      <c r="K174" s="1699">
        <f>SUM(K160,K172,K173)</f>
        <v>443000</v>
      </c>
      <c r="L174" s="1699">
        <f>SUM(L160,L172,L173)</f>
        <v>445000</v>
      </c>
    </row>
    <row r="175" spans="1:14" ht="13.5" thickTop="1" x14ac:dyDescent="0.2">
      <c r="A175" s="2199" t="s">
        <v>1053</v>
      </c>
      <c r="B175" s="2200"/>
      <c r="C175" s="617"/>
      <c r="D175" s="617"/>
      <c r="E175" s="617"/>
      <c r="F175" s="617"/>
      <c r="G175" s="617"/>
      <c r="H175" s="619"/>
      <c r="I175" s="617"/>
      <c r="J175" s="617"/>
      <c r="K175" s="1706">
        <f>'Revenues 9-14'!E275-'Expenditures 15-22'!K174</f>
        <v>-14376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465794</v>
      </c>
      <c r="D182" s="466">
        <v>27776</v>
      </c>
      <c r="E182" s="466">
        <v>71773</v>
      </c>
      <c r="F182" s="466">
        <v>52642</v>
      </c>
      <c r="G182" s="466">
        <v>3500</v>
      </c>
      <c r="H182" s="466">
        <v>325</v>
      </c>
      <c r="I182" s="467"/>
      <c r="J182" s="467"/>
      <c r="K182" s="1693">
        <f>SUM(C182:J182)</f>
        <v>621810</v>
      </c>
      <c r="L182" s="466">
        <v>749750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465794</v>
      </c>
      <c r="D184" s="1699">
        <f t="shared" ref="D184:J184" si="17">SUM(D180,D182,D183)</f>
        <v>27776</v>
      </c>
      <c r="E184" s="1699">
        <f t="shared" si="17"/>
        <v>71773</v>
      </c>
      <c r="F184" s="1699">
        <f t="shared" si="17"/>
        <v>52642</v>
      </c>
      <c r="G184" s="1699">
        <f t="shared" si="17"/>
        <v>3500</v>
      </c>
      <c r="H184" s="1699">
        <f t="shared" si="17"/>
        <v>325</v>
      </c>
      <c r="I184" s="1699">
        <f t="shared" si="17"/>
        <v>0</v>
      </c>
      <c r="J184" s="1699">
        <f t="shared" si="17"/>
        <v>0</v>
      </c>
      <c r="K184" s="1699">
        <f>SUM(K180,K182,K183)</f>
        <v>621810</v>
      </c>
      <c r="L184" s="1699">
        <f>SUM(L180, L182:L183)</f>
        <v>749750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465794</v>
      </c>
      <c r="D210" s="1692">
        <f>SUM(D184,D185)</f>
        <v>27776</v>
      </c>
      <c r="E210" s="1692">
        <f>SUM(E184,E185,E196)</f>
        <v>71773</v>
      </c>
      <c r="F210" s="1692">
        <f>SUM(F184,F185)</f>
        <v>52642</v>
      </c>
      <c r="G210" s="1692">
        <f>SUM(G184,G185)</f>
        <v>3500</v>
      </c>
      <c r="H210" s="1692">
        <f>SUM(H184,H185,H196,H208,H209)</f>
        <v>325</v>
      </c>
      <c r="I210" s="1692">
        <f>SUM(I184,I185)</f>
        <v>0</v>
      </c>
      <c r="J210" s="1692">
        <f>SUM(J184,J185)</f>
        <v>0</v>
      </c>
      <c r="K210" s="1693">
        <f>SUM(K184,K185,K196,K208,K209)</f>
        <v>621810</v>
      </c>
      <c r="L210" s="1692">
        <f>SUM(L184,L185,L196,L208,L209)</f>
        <v>749750</v>
      </c>
    </row>
    <row r="211" spans="1:14" ht="13.5" thickTop="1" x14ac:dyDescent="0.2">
      <c r="A211" s="2199" t="s">
        <v>1053</v>
      </c>
      <c r="B211" s="2200"/>
      <c r="C211" s="619"/>
      <c r="D211" s="619"/>
      <c r="E211" s="619"/>
      <c r="F211" s="619"/>
      <c r="G211" s="619"/>
      <c r="H211" s="619"/>
      <c r="I211" s="617"/>
      <c r="J211" s="617"/>
      <c r="K211" s="1706">
        <f>'Revenues 9-14'!F275-'Expenditures 15-22'!K210</f>
        <v>-22605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44367</v>
      </c>
      <c r="E215" s="617"/>
      <c r="F215" s="617"/>
      <c r="G215" s="617"/>
      <c r="H215" s="617"/>
      <c r="I215" s="617"/>
      <c r="J215" s="617"/>
      <c r="K215" s="1693">
        <f>D215</f>
        <v>44367</v>
      </c>
      <c r="L215" s="466">
        <v>40000</v>
      </c>
    </row>
    <row r="216" spans="1:14" x14ac:dyDescent="0.2">
      <c r="A216" s="1526" t="s">
        <v>165</v>
      </c>
      <c r="B216" s="615" t="s">
        <v>1024</v>
      </c>
      <c r="C216" s="617"/>
      <c r="D216" s="467">
        <v>6494</v>
      </c>
      <c r="E216" s="617"/>
      <c r="F216" s="617"/>
      <c r="G216" s="617"/>
      <c r="H216" s="617"/>
      <c r="I216" s="617"/>
      <c r="J216" s="617"/>
      <c r="K216" s="1693">
        <f t="shared" ref="K216:K228" si="19">D216</f>
        <v>6494</v>
      </c>
      <c r="L216" s="466">
        <v>4500</v>
      </c>
    </row>
    <row r="217" spans="1:14" x14ac:dyDescent="0.2">
      <c r="A217" s="1526" t="s">
        <v>166</v>
      </c>
      <c r="B217" s="615">
        <v>1200</v>
      </c>
      <c r="C217" s="617"/>
      <c r="D217" s="466">
        <v>21882</v>
      </c>
      <c r="E217" s="617"/>
      <c r="F217" s="617"/>
      <c r="G217" s="617"/>
      <c r="H217" s="617"/>
      <c r="I217" s="617"/>
      <c r="J217" s="617"/>
      <c r="K217" s="1693">
        <f t="shared" si="19"/>
        <v>21882</v>
      </c>
      <c r="L217" s="466">
        <v>41500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1009</v>
      </c>
      <c r="E219" s="617"/>
      <c r="F219" s="617"/>
      <c r="G219" s="617"/>
      <c r="H219" s="617"/>
      <c r="I219" s="617"/>
      <c r="J219" s="617"/>
      <c r="K219" s="1693">
        <f t="shared" si="19"/>
        <v>1009</v>
      </c>
      <c r="L219" s="466">
        <v>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1837</v>
      </c>
      <c r="E223" s="617"/>
      <c r="F223" s="617"/>
      <c r="G223" s="617"/>
      <c r="H223" s="617"/>
      <c r="I223" s="617"/>
      <c r="J223" s="617"/>
      <c r="K223" s="1693">
        <f t="shared" si="19"/>
        <v>1837</v>
      </c>
      <c r="L223" s="466">
        <v>4500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75589</v>
      </c>
      <c r="E229" s="617"/>
      <c r="F229" s="617"/>
      <c r="G229" s="617"/>
      <c r="H229" s="617"/>
      <c r="I229" s="617"/>
      <c r="J229" s="617"/>
      <c r="K229" s="1692">
        <f>SUM(K215:K228)</f>
        <v>75589</v>
      </c>
      <c r="L229" s="1692">
        <f>SUM(L215:L228)</f>
        <v>91000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1882</v>
      </c>
      <c r="E232" s="617"/>
      <c r="F232" s="617"/>
      <c r="G232" s="617"/>
      <c r="H232" s="617"/>
      <c r="I232" s="617"/>
      <c r="J232" s="617"/>
      <c r="K232" s="1693">
        <f t="shared" ref="K232:K237" si="20">D232</f>
        <v>1882</v>
      </c>
      <c r="L232" s="466">
        <v>2000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13502</v>
      </c>
      <c r="E234" s="617"/>
      <c r="F234" s="617"/>
      <c r="G234" s="617"/>
      <c r="H234" s="617"/>
      <c r="I234" s="617"/>
      <c r="J234" s="617"/>
      <c r="K234" s="1693">
        <f t="shared" si="20"/>
        <v>13502</v>
      </c>
      <c r="L234" s="466">
        <v>12500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698</v>
      </c>
      <c r="E236" s="617"/>
      <c r="F236" s="617"/>
      <c r="G236" s="617"/>
      <c r="H236" s="617"/>
      <c r="I236" s="617"/>
      <c r="J236" s="617"/>
      <c r="K236" s="1693">
        <f t="shared" si="20"/>
        <v>698</v>
      </c>
      <c r="L236" s="466">
        <v>1000</v>
      </c>
    </row>
    <row r="237" spans="1:12" x14ac:dyDescent="0.2">
      <c r="A237" s="1526" t="s">
        <v>167</v>
      </c>
      <c r="B237" s="615">
        <v>2190</v>
      </c>
      <c r="C237" s="617"/>
      <c r="D237" s="466">
        <v>6938</v>
      </c>
      <c r="E237" s="617"/>
      <c r="F237" s="617"/>
      <c r="G237" s="617"/>
      <c r="H237" s="617"/>
      <c r="I237" s="617"/>
      <c r="J237" s="617"/>
      <c r="K237" s="1693">
        <f t="shared" si="20"/>
        <v>6938</v>
      </c>
      <c r="L237" s="466">
        <v>8500</v>
      </c>
    </row>
    <row r="238" spans="1:12" ht="12.75" customHeight="1" thickBot="1" x14ac:dyDescent="0.25">
      <c r="A238" s="1690" t="s">
        <v>581</v>
      </c>
      <c r="B238" s="1697" t="s">
        <v>740</v>
      </c>
      <c r="C238" s="617"/>
      <c r="D238" s="1692">
        <f>SUM(D232:D237)</f>
        <v>23020</v>
      </c>
      <c r="E238" s="617"/>
      <c r="F238" s="617"/>
      <c r="G238" s="617"/>
      <c r="H238" s="617"/>
      <c r="I238" s="617"/>
      <c r="J238" s="617"/>
      <c r="K238" s="1692">
        <f>SUM(K232:K237)</f>
        <v>23020</v>
      </c>
      <c r="L238" s="1692">
        <f>SUM(L232:L237)</f>
        <v>24000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1297</v>
      </c>
      <c r="E241" s="617"/>
      <c r="F241" s="617"/>
      <c r="G241" s="617"/>
      <c r="H241" s="617"/>
      <c r="I241" s="617"/>
      <c r="J241" s="617"/>
      <c r="K241" s="1694">
        <f>D241</f>
        <v>1297</v>
      </c>
      <c r="L241" s="466">
        <v>2000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1297</v>
      </c>
      <c r="E243" s="617"/>
      <c r="F243" s="617"/>
      <c r="G243" s="617"/>
      <c r="H243" s="617"/>
      <c r="I243" s="617"/>
      <c r="J243" s="617"/>
      <c r="K243" s="1692">
        <f>SUM(K240:K242)</f>
        <v>1297</v>
      </c>
      <c r="L243" s="1692">
        <f>SUM(L240:L242)</f>
        <v>2000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13401</v>
      </c>
      <c r="E246" s="617"/>
      <c r="F246" s="617"/>
      <c r="G246" s="617"/>
      <c r="H246" s="617"/>
      <c r="I246" s="617"/>
      <c r="J246" s="617"/>
      <c r="K246" s="1694">
        <f t="shared" ref="K246:K256" si="21">D246</f>
        <v>13401</v>
      </c>
      <c r="L246" s="466">
        <v>14500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13401</v>
      </c>
      <c r="E257" s="617"/>
      <c r="F257" s="617"/>
      <c r="G257" s="617"/>
      <c r="H257" s="617"/>
      <c r="I257" s="617"/>
      <c r="J257" s="617"/>
      <c r="K257" s="1692">
        <f>SUM(K245:K256)</f>
        <v>13401</v>
      </c>
      <c r="L257" s="1692">
        <f>SUM(L245:L256)</f>
        <v>14500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22971</v>
      </c>
      <c r="E259" s="617"/>
      <c r="F259" s="617"/>
      <c r="G259" s="617"/>
      <c r="H259" s="617"/>
      <c r="I259" s="617"/>
      <c r="J259" s="617"/>
      <c r="K259" s="1694">
        <f>D259</f>
        <v>22971</v>
      </c>
      <c r="L259" s="481">
        <v>27000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22971</v>
      </c>
      <c r="E261" s="617"/>
      <c r="F261" s="617"/>
      <c r="G261" s="617"/>
      <c r="H261" s="617"/>
      <c r="I261" s="617"/>
      <c r="J261" s="617"/>
      <c r="K261" s="1692">
        <f>SUM(K259:K260)</f>
        <v>22971</v>
      </c>
      <c r="L261" s="1692">
        <f>SUM(L259:L260)</f>
        <v>27000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35354</v>
      </c>
      <c r="E264" s="617"/>
      <c r="F264" s="617"/>
      <c r="G264" s="617"/>
      <c r="H264" s="617"/>
      <c r="I264" s="617"/>
      <c r="J264" s="617"/>
      <c r="K264" s="1694">
        <f t="shared" ref="K264:K269" si="22">D264</f>
        <v>35354</v>
      </c>
      <c r="L264" s="466">
        <v>33000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100246</v>
      </c>
      <c r="E266" s="617"/>
      <c r="F266" s="617"/>
      <c r="G266" s="617"/>
      <c r="H266" s="617"/>
      <c r="I266" s="617"/>
      <c r="J266" s="617"/>
      <c r="K266" s="1694">
        <f t="shared" si="22"/>
        <v>100246</v>
      </c>
      <c r="L266" s="466">
        <v>102000</v>
      </c>
    </row>
    <row r="267" spans="1:14" x14ac:dyDescent="0.2">
      <c r="A267" s="1526" t="s">
        <v>1010</v>
      </c>
      <c r="B267" s="615">
        <v>2550</v>
      </c>
      <c r="C267" s="617"/>
      <c r="D267" s="466">
        <v>101845</v>
      </c>
      <c r="E267" s="617"/>
      <c r="F267" s="617"/>
      <c r="G267" s="617"/>
      <c r="H267" s="617"/>
      <c r="I267" s="617"/>
      <c r="J267" s="617"/>
      <c r="K267" s="1694">
        <f t="shared" si="22"/>
        <v>101845</v>
      </c>
      <c r="L267" s="466">
        <v>98000</v>
      </c>
    </row>
    <row r="268" spans="1:14" x14ac:dyDescent="0.2">
      <c r="A268" s="1526" t="s">
        <v>102</v>
      </c>
      <c r="B268" s="615">
        <v>2560</v>
      </c>
      <c r="C268" s="617"/>
      <c r="D268" s="466">
        <v>18313</v>
      </c>
      <c r="E268" s="617"/>
      <c r="F268" s="617"/>
      <c r="G268" s="617"/>
      <c r="H268" s="617"/>
      <c r="I268" s="617"/>
      <c r="J268" s="617"/>
      <c r="K268" s="1694">
        <f t="shared" si="22"/>
        <v>18313</v>
      </c>
      <c r="L268" s="466">
        <v>20000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255758</v>
      </c>
      <c r="E270" s="617"/>
      <c r="F270" s="617"/>
      <c r="G270" s="617"/>
      <c r="H270" s="617"/>
      <c r="I270" s="617"/>
      <c r="J270" s="617"/>
      <c r="K270" s="1692">
        <f>SUM(K263:K269)</f>
        <v>255758</v>
      </c>
      <c r="L270" s="1692">
        <f>SUM(L263:L269)</f>
        <v>253000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316447</v>
      </c>
      <c r="E279" s="617"/>
      <c r="F279" s="617"/>
      <c r="G279" s="617"/>
      <c r="H279" s="617"/>
      <c r="I279" s="617"/>
      <c r="J279" s="617"/>
      <c r="K279" s="1699">
        <f>SUM(K238,K243,K257,K261,K270,K277,K278)</f>
        <v>316447</v>
      </c>
      <c r="L279" s="1699">
        <f>SUM(L238,L243,L257,L261,L270,L277,L278)</f>
        <v>320500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392036</v>
      </c>
      <c r="E295" s="617"/>
      <c r="F295" s="617"/>
      <c r="G295" s="617"/>
      <c r="H295" s="1692">
        <f>H293</f>
        <v>0</v>
      </c>
      <c r="I295" s="617"/>
      <c r="J295" s="617"/>
      <c r="K295" s="1692">
        <f>SUM(K229,K279,K280,K285,K293,K294)</f>
        <v>392036</v>
      </c>
      <c r="L295" s="1692">
        <f>SUM(L229,L279,L280,L285,L293,L294)</f>
        <v>411500</v>
      </c>
    </row>
    <row r="296" spans="1:14" ht="13.5" thickTop="1" x14ac:dyDescent="0.2">
      <c r="A296" s="2199" t="s">
        <v>1053</v>
      </c>
      <c r="B296" s="2200"/>
      <c r="C296" s="617"/>
      <c r="D296" s="619"/>
      <c r="E296" s="617"/>
      <c r="F296" s="617"/>
      <c r="G296" s="617"/>
      <c r="H296" s="688"/>
      <c r="I296" s="617"/>
      <c r="J296" s="617"/>
      <c r="K296" s="1706">
        <f>'Revenues 9-14'!G275-'Expenditures 15-22'!K295</f>
        <v>1594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62878</v>
      </c>
      <c r="F320" s="467"/>
      <c r="G320" s="467"/>
      <c r="H320" s="467"/>
      <c r="I320" s="467"/>
      <c r="J320" s="467"/>
      <c r="K320" s="1693">
        <f t="shared" ref="K320:K327" si="24">SUM(C320:J320)</f>
        <v>62878</v>
      </c>
      <c r="L320" s="467">
        <v>65000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25994</v>
      </c>
      <c r="F322" s="467"/>
      <c r="G322" s="467"/>
      <c r="H322" s="467"/>
      <c r="I322" s="467"/>
      <c r="J322" s="467"/>
      <c r="K322" s="1693">
        <f t="shared" si="24"/>
        <v>25994</v>
      </c>
      <c r="L322" s="467">
        <v>4000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8000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14100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4000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88872</v>
      </c>
      <c r="F330" s="1692">
        <f t="shared" si="25"/>
        <v>0</v>
      </c>
      <c r="G330" s="1692">
        <f t="shared" si="25"/>
        <v>0</v>
      </c>
      <c r="H330" s="1692">
        <f t="shared" si="25"/>
        <v>0</v>
      </c>
      <c r="I330" s="1692">
        <f t="shared" si="25"/>
        <v>0</v>
      </c>
      <c r="J330" s="1692">
        <f t="shared" si="25"/>
        <v>0</v>
      </c>
      <c r="K330" s="1692">
        <f>SUM(K319:K329)</f>
        <v>88872</v>
      </c>
      <c r="L330" s="1692">
        <f>SUM(L319:L329)</f>
        <v>95100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88872</v>
      </c>
      <c r="F342" s="1692">
        <f>SUM(F330)</f>
        <v>0</v>
      </c>
      <c r="G342" s="1692">
        <f>SUM(G330)</f>
        <v>0</v>
      </c>
      <c r="H342" s="1692">
        <f>SUM(H330,H334,H340)</f>
        <v>0</v>
      </c>
      <c r="I342" s="1692">
        <f>SUM(I330)</f>
        <v>0</v>
      </c>
      <c r="J342" s="1692">
        <f>SUM(J330)</f>
        <v>0</v>
      </c>
      <c r="K342" s="1692">
        <f>SUM(K330,K334,K340)</f>
        <v>88872</v>
      </c>
      <c r="L342" s="1699">
        <f>SUM(L330,L340,L341)</f>
        <v>95100</v>
      </c>
    </row>
    <row r="343" spans="1:14" ht="12.75" customHeight="1" thickTop="1" x14ac:dyDescent="0.2">
      <c r="A343" s="2185" t="s">
        <v>1053</v>
      </c>
      <c r="B343" s="2186"/>
      <c r="C343" s="617"/>
      <c r="D343" s="617"/>
      <c r="E343" s="617"/>
      <c r="F343" s="617"/>
      <c r="G343" s="617"/>
      <c r="H343" s="617"/>
      <c r="I343" s="617"/>
      <c r="J343" s="617"/>
      <c r="K343" s="1706">
        <f>'Revenues 9-14'!J275-'Expenditures 15-22'!K342</f>
        <v>-86535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v>35000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35000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35000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35000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schemas.microsoft.com/office/2006/metadata/properties"/>
    <ds:schemaRef ds:uri="http://schemas.microsoft.com/office/2006/documentManagement/types"/>
    <ds:schemaRef ds:uri="d21dc803-237d-4c68-8692-8d731fd29118"/>
    <ds:schemaRef ds:uri="http://purl.org/dc/terms/"/>
    <ds:schemaRef ds:uri="6ce3111e-7420-4802-b50a-75d4e9a0b980"/>
    <ds:schemaRef ds:uri="http://purl.org/dc/elements/1.1/"/>
    <ds:schemaRef ds:uri="4d435f69-8686-490b-bd6d-b153bf22ab50"/>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2018-10-12T18:03:16Z</cp:lastPrinted>
  <dcterms:created xsi:type="dcterms:W3CDTF">2003-10-29T19:06:34Z</dcterms:created>
  <dcterms:modified xsi:type="dcterms:W3CDTF">2018-11-15T20:46:38Z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