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194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L27" i="184" l="1"/>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9" l="1"/>
  <c r="B2" i="184"/>
  <c r="B2" i="183"/>
  <c r="B1" i="184"/>
  <c r="B1" i="183"/>
  <c r="A2" i="173"/>
  <c r="B2" i="177"/>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D7765" i="106" s="1"/>
  <c r="B7764" i="106"/>
  <c r="J85" i="28"/>
  <c r="B7758" i="106" s="1"/>
  <c r="D7758" i="106" s="1"/>
  <c r="J88" i="28"/>
  <c r="K6" i="29"/>
  <c r="B7763" i="106" s="1"/>
  <c r="D7763" i="106" s="1"/>
  <c r="B7762" i="106"/>
  <c r="K12" i="12"/>
  <c r="B7719" i="106" s="1"/>
  <c r="D7719" i="106" s="1"/>
  <c r="K23" i="12"/>
  <c r="J12" i="12"/>
  <c r="J21" i="12"/>
  <c r="J23" i="12"/>
  <c r="B7729" i="106"/>
  <c r="B7734" i="106"/>
  <c r="D7734" i="106" s="1"/>
  <c r="B7726" i="106"/>
  <c r="D76" i="36"/>
  <c r="F162" i="34"/>
  <c r="B30" i="36"/>
  <c r="B33" i="36" s="1"/>
  <c r="B43" i="36" s="1"/>
  <c r="B56" i="36" s="1"/>
  <c r="B66" i="36" s="1"/>
  <c r="B70" i="36" s="1"/>
  <c r="B74" i="36" s="1"/>
  <c r="D73" i="36"/>
  <c r="C191" i="5"/>
  <c r="F128" i="34" s="1"/>
  <c r="C201" i="5"/>
  <c r="B5246" i="106" s="1"/>
  <c r="D5246" i="106" s="1"/>
  <c r="C211" i="5"/>
  <c r="B5260" i="106" s="1"/>
  <c r="D5260" i="106" s="1"/>
  <c r="C216" i="5"/>
  <c r="C224" i="5"/>
  <c r="C228" i="5"/>
  <c r="C259" i="5"/>
  <c r="B7761" i="106"/>
  <c r="L127" i="29"/>
  <c r="L129" i="29" s="1"/>
  <c r="L139" i="29"/>
  <c r="L149" i="29"/>
  <c r="I7" i="145"/>
  <c r="I6" i="145"/>
  <c r="D78" i="36"/>
  <c r="K75" i="29"/>
  <c r="K130" i="29"/>
  <c r="K185" i="29"/>
  <c r="B2836" i="106" s="1"/>
  <c r="D2836" i="106" s="1"/>
  <c r="K122" i="29"/>
  <c r="F15" i="145" s="1"/>
  <c r="F19" i="145" s="1"/>
  <c r="K67" i="29"/>
  <c r="G33" i="108" s="1"/>
  <c r="K64" i="29"/>
  <c r="F31" i="108" s="1"/>
  <c r="K59" i="29"/>
  <c r="E15" i="145" s="1"/>
  <c r="G15" i="145" s="1"/>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K13" i="4" s="1"/>
  <c r="B3572" i="106" s="1"/>
  <c r="D3572"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4"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E27" i="108"/>
  <c r="F27" i="108"/>
  <c r="G27" i="108"/>
  <c r="F36" i="108"/>
  <c r="F37" i="108"/>
  <c r="G28" i="108"/>
  <c r="D36" i="108"/>
  <c r="D37" i="108"/>
  <c r="E31" i="108"/>
  <c r="G31" i="108"/>
  <c r="E33"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F66"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G5" i="4"/>
  <c r="B3409" i="106" s="1"/>
  <c r="D3409" i="106" s="1"/>
  <c r="G14" i="4"/>
  <c r="B2609" i="106" s="1"/>
  <c r="D2609" i="106" s="1"/>
  <c r="G15" i="4"/>
  <c r="B6032" i="106" s="1"/>
  <c r="D6032" i="106" s="1"/>
  <c r="D14" i="4"/>
  <c r="B2570" i="106" s="1"/>
  <c r="D2570" i="106" s="1"/>
  <c r="B2633" i="106"/>
  <c r="D2633" i="106" s="1"/>
  <c r="N22" i="3"/>
  <c r="B283" i="106" s="1"/>
  <c r="D283" i="106" s="1"/>
  <c r="D7" i="118"/>
  <c r="D8" i="118"/>
  <c r="D9" i="118"/>
  <c r="H14" i="118"/>
  <c r="H19" i="118"/>
  <c r="H24" i="118"/>
  <c r="H28" i="118"/>
  <c r="D22" i="37"/>
  <c r="J22" i="37"/>
  <c r="D24" i="37"/>
  <c r="B4270" i="106" s="1"/>
  <c r="D4270" i="106" s="1"/>
  <c r="L5" i="11"/>
  <c r="B2056" i="106" s="1"/>
  <c r="D2056" i="106" s="1"/>
  <c r="D5" i="7"/>
  <c r="B1761" i="106" s="1"/>
  <c r="D1761" i="106" s="1"/>
  <c r="D9" i="7"/>
  <c r="B1767" i="106" s="1"/>
  <c r="D1767" i="106" s="1"/>
  <c r="F136" i="34"/>
  <c r="F130" i="34"/>
  <c r="F127" i="34"/>
  <c r="B5847" i="106"/>
  <c r="D5847" i="106" s="1"/>
  <c r="B5599" i="106"/>
  <c r="D5599" i="106" s="1"/>
  <c r="H173" i="5"/>
  <c r="B5906" i="106" s="1"/>
  <c r="D5906" i="106" s="1"/>
  <c r="D109" i="5"/>
  <c r="B5356" i="106" s="1"/>
  <c r="D5356" i="106" s="1"/>
  <c r="D7" i="7"/>
  <c r="B1763" i="106" s="1"/>
  <c r="D1763" i="106" s="1"/>
  <c r="H6" i="4"/>
  <c r="B2656" i="106" s="1"/>
  <c r="D2656" i="106" s="1"/>
  <c r="B1746" i="106"/>
  <c r="D1746" i="106" s="1"/>
  <c r="D11" i="7"/>
  <c r="B1768" i="106" s="1"/>
  <c r="D1768" i="106" s="1"/>
  <c r="G173" i="5" l="1"/>
  <c r="B5778" i="106" s="1"/>
  <c r="D5778" i="106" s="1"/>
  <c r="B5770" i="106"/>
  <c r="D5770" i="106" s="1"/>
  <c r="B3647" i="106"/>
  <c r="D3647" i="106" s="1"/>
  <c r="G352" i="29"/>
  <c r="B3619" i="106"/>
  <c r="D3619" i="106" s="1"/>
  <c r="C352" i="29"/>
  <c r="B3454" i="106"/>
  <c r="D3454" i="106" s="1"/>
  <c r="L15" i="11"/>
  <c r="B3459" i="106" s="1"/>
  <c r="D3459" i="106" s="1"/>
  <c r="H44" i="4"/>
  <c r="B6289" i="106"/>
  <c r="D6289" i="106" s="1"/>
  <c r="B1364" i="106"/>
  <c r="D1364" i="106" s="1"/>
  <c r="G210" i="29"/>
  <c r="B1365" i="106" s="1"/>
  <c r="D1365" i="106" s="1"/>
  <c r="G39" i="108"/>
  <c r="D15" i="7"/>
  <c r="B1772" i="106" s="1"/>
  <c r="D1772" i="106" s="1"/>
  <c r="D17" i="7"/>
  <c r="B4104" i="106" s="1"/>
  <c r="D4104" i="106" s="1"/>
  <c r="F106" i="34"/>
  <c r="H109" i="5"/>
  <c r="K274" i="5"/>
  <c r="B6022" i="106" s="1"/>
  <c r="D6022" i="106" s="1"/>
  <c r="B5752" i="106"/>
  <c r="D5752" i="106" s="1"/>
  <c r="F111" i="34"/>
  <c r="F131" i="34"/>
  <c r="D13" i="7"/>
  <c r="B3726" i="106" s="1"/>
  <c r="D3726" i="106" s="1"/>
  <c r="L22" i="37"/>
  <c r="H33" i="118"/>
  <c r="F14" i="4"/>
  <c r="B2597" i="106" s="1"/>
  <c r="D2597" i="106" s="1"/>
  <c r="D5" i="4"/>
  <c r="B3406" i="106" s="1"/>
  <c r="D3406" i="106" s="1"/>
  <c r="I173" i="5"/>
  <c r="B4216" i="106" s="1"/>
  <c r="D4216" i="106" s="1"/>
  <c r="L367" i="29"/>
  <c r="F62" i="34"/>
  <c r="F36" i="34"/>
  <c r="F34" i="34"/>
  <c r="B7235" i="106"/>
  <c r="D7235" i="106" s="1"/>
  <c r="B6995" i="106"/>
  <c r="D6995" i="106" s="1"/>
  <c r="B3723" i="106"/>
  <c r="D3723" i="106" s="1"/>
  <c r="B3565" i="106"/>
  <c r="D3565" i="106" s="1"/>
  <c r="K41" i="3"/>
  <c r="B3568" i="106" s="1"/>
  <c r="D3568" i="106" s="1"/>
  <c r="F77" i="4"/>
  <c r="B3255" i="106" s="1"/>
  <c r="D3255" i="106" s="1"/>
  <c r="B3170" i="106"/>
  <c r="D3170" i="106" s="1"/>
  <c r="H76" i="4"/>
  <c r="B3298" i="106" s="1"/>
  <c r="D3298" i="106" s="1"/>
  <c r="F21" i="8"/>
  <c r="B3689" i="106"/>
  <c r="D3689" i="106" s="1"/>
  <c r="B1308" i="106"/>
  <c r="D1308" i="106" s="1"/>
  <c r="E174" i="29"/>
  <c r="B1309" i="106" s="1"/>
  <c r="D1309" i="106" s="1"/>
  <c r="B1126" i="106"/>
  <c r="D1126" i="106" s="1"/>
  <c r="E14" i="145"/>
  <c r="G14" i="145" s="1"/>
  <c r="B1124" i="106"/>
  <c r="D1124" i="106" s="1"/>
  <c r="K24" i="12"/>
  <c r="F19" i="7"/>
  <c r="B1807" i="106" s="1"/>
  <c r="D1807" i="106" s="1"/>
  <c r="D12" i="7"/>
  <c r="B1769" i="106" s="1"/>
  <c r="D1769" i="106" s="1"/>
  <c r="D52" i="36"/>
  <c r="F71" i="34"/>
  <c r="B1410" i="106"/>
  <c r="D1410" i="106" s="1"/>
  <c r="G4" i="4"/>
  <c r="B2603" i="106" s="1"/>
  <c r="D2603" i="106" s="1"/>
  <c r="F65" i="34"/>
  <c r="E29" i="108"/>
  <c r="G29" i="108"/>
  <c r="K184" i="29"/>
  <c r="F13" i="4" s="1"/>
  <c r="B2596" i="106" s="1"/>
  <c r="D2596" i="106" s="1"/>
  <c r="B1329" i="106"/>
  <c r="D1329" i="106" s="1"/>
  <c r="F61" i="34"/>
  <c r="E109" i="5"/>
  <c r="E4" i="4" s="1"/>
  <c r="B2630" i="106" s="1"/>
  <c r="D2630" i="106" s="1"/>
  <c r="D4" i="4"/>
  <c r="B2564" i="106" s="1"/>
  <c r="D2564" i="106" s="1"/>
  <c r="D31" i="108"/>
  <c r="D41" i="108" s="1"/>
  <c r="E43" i="108" s="1"/>
  <c r="D4" i="7"/>
  <c r="B1760" i="106" s="1"/>
  <c r="D1760" i="106" s="1"/>
  <c r="C14" i="4"/>
  <c r="B2558" i="106" s="1"/>
  <c r="D2558" i="106" s="1"/>
  <c r="G34" i="108"/>
  <c r="G30" i="108"/>
  <c r="E30" i="108"/>
  <c r="F28" i="108"/>
  <c r="F41" i="108" s="1"/>
  <c r="G43" i="108" s="1"/>
  <c r="E28" i="108"/>
  <c r="C172" i="5"/>
  <c r="B5214" i="106" s="1"/>
  <c r="D5214" i="106" s="1"/>
  <c r="C109" i="5"/>
  <c r="B5121" i="106" s="1"/>
  <c r="D5121" i="106" s="1"/>
  <c r="L13" i="11"/>
  <c r="B2060" i="106" s="1"/>
  <c r="D2060" i="106" s="1"/>
  <c r="D31" i="36"/>
  <c r="H29" i="118"/>
  <c r="K28" i="118" s="1"/>
  <c r="O27" i="118" s="1"/>
  <c r="O29" i="118" s="1"/>
  <c r="D11" i="37"/>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3447" i="106"/>
  <c r="D3447" i="106" s="1"/>
  <c r="B7270" i="106"/>
  <c r="B1879" i="106" l="1"/>
  <c r="D1879" i="106" s="1"/>
  <c r="H22" i="37"/>
  <c r="B3621" i="106"/>
  <c r="D3621" i="106" s="1"/>
  <c r="C367" i="29"/>
  <c r="B3622" i="106" s="1"/>
  <c r="D3622" i="106" s="1"/>
  <c r="B3649" i="106"/>
  <c r="D3649" i="106" s="1"/>
  <c r="G367" i="29"/>
  <c r="B3650" i="106" s="1"/>
  <c r="D3650" i="106" s="1"/>
  <c r="H367" i="29"/>
  <c r="B3660" i="106" s="1"/>
  <c r="D3660" i="106" s="1"/>
  <c r="H275" i="5"/>
  <c r="D7255" i="106"/>
  <c r="D7253" i="106"/>
  <c r="D7252" i="106"/>
  <c r="B7733" i="106"/>
  <c r="D7733" i="106" s="1"/>
  <c r="K26" i="12"/>
  <c r="B7743" i="106" s="1"/>
  <c r="D7743" i="106" s="1"/>
  <c r="B6025" i="106"/>
  <c r="D6025" i="106" s="1"/>
  <c r="H4" i="4"/>
  <c r="D19" i="7"/>
  <c r="B1775" i="106" s="1"/>
  <c r="D1775" i="106" s="1"/>
  <c r="K342" i="29"/>
  <c r="F13" i="34" s="1"/>
  <c r="B1381" i="106"/>
  <c r="D1381" i="106" s="1"/>
  <c r="F275" i="5"/>
  <c r="B5720" i="106" s="1"/>
  <c r="D5720" i="106" s="1"/>
  <c r="B1317" i="106"/>
  <c r="D1317" i="106" s="1"/>
  <c r="D44" i="36"/>
  <c r="C114" i="29"/>
  <c r="B757" i="106" s="1"/>
  <c r="D757" i="106" s="1"/>
  <c r="L114" i="29"/>
  <c r="C173" i="5"/>
  <c r="B5223" i="106" s="1"/>
  <c r="D5223" i="106" s="1"/>
  <c r="C4" i="4"/>
  <c r="B2551" i="106" s="1"/>
  <c r="D2551" i="106"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6222" i="106"/>
  <c r="D6222" i="106" s="1"/>
  <c r="J8" i="4"/>
  <c r="D7" i="4"/>
  <c r="D275" i="5"/>
  <c r="B5507" i="106"/>
  <c r="D5507" i="106" s="1"/>
  <c r="B7298" i="106"/>
  <c r="B7299" i="106"/>
  <c r="B2655" i="106" l="1"/>
  <c r="D2655" i="106" s="1"/>
  <c r="H8" i="4"/>
  <c r="B7224" i="106"/>
  <c r="D7224" i="106" s="1"/>
  <c r="J17" i="4"/>
  <c r="J20" i="4" s="1"/>
  <c r="E41" i="108"/>
  <c r="E44" i="108" s="1"/>
  <c r="E45" i="108" s="1"/>
  <c r="G41" i="108"/>
  <c r="G44" i="108" s="1"/>
  <c r="G45" i="108"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B2658" i="106" l="1"/>
  <c r="D2658" i="106" s="1"/>
  <c r="H10" i="4"/>
  <c r="B4127" i="106" s="1"/>
  <c r="D4127" i="106" s="1"/>
  <c r="B6227" i="106"/>
  <c r="D6227" i="106" s="1"/>
  <c r="F76" i="34"/>
  <c r="D19" i="171"/>
  <c r="D32" i="171" s="1"/>
  <c r="D49" i="171" s="1"/>
  <c r="D10" i="17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<sst xmlns="http://schemas.openxmlformats.org/spreadsheetml/2006/main" count="5222" uniqueCount="2156">
  <si>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</si>
  <si>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</si>
  <si>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</si>
  <si>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</si>
  <si>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</si>
  <si>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</si>
  <si>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</si>
  <si>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</si>
  <si>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</si>
  <si>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</si>
  <si>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</si>
  <si>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</si>
  <si>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</si>
  <si>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</si>
  <si>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</si>
  <si>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</si>
  <si>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</si>
  <si>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</si>
  <si>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</si>
  <si>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</si>
  <si>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</si>
  <si>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</si>
  <si>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</si>
  <si>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</si>
  <si>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</si>
  <si>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</si>
  <si>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</si>
  <si>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</si>
  <si>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</si>
  <si>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</si>
  <si>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</si>
  <si>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</si>
  <si>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</si>
  <si>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</si>
  <si>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</si>
  <si>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</si>
  <si>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</si>
  <si>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</si>
  <si>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</si>
  <si>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</si>
  <si>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</si>
  <si>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</si>
  <si>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</si>
  <si>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</si>
  <si>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</si>
  <si>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</si>
  <si>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</si>
  <si>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</si>
  <si>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</si>
  <si>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</si>
  <si>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</si>
  <si>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</si>
  <si>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</si>
  <si>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</si>
  <si>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</si>
  <si>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</si>
  <si>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</si>
  <si>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</si>
  <si>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</si>
  <si>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</si>
  <si>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</si>
  <si>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</si>
  <si>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</si>
  <si>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</si>
  <si>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</si>
  <si>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</si>
  <si>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</si>
  <si>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</si>
  <si>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</si>
  <si>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</si>
  <si>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</si>
  <si>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</si>
  <si>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</si>
  <si>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</si>
  <si>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</si>
  <si>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</si>
  <si>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</si>
  <si>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</si>
  <si>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</si>
  <si>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</si>
  <si>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</si>
  <si>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</si>
  <si>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</si>
  <si>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</si>
  <si>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</si>
  <si>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</si>
  <si>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</si>
  <si>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</si>
  <si>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</si>
  <si>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</si>
  <si>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</si>
  <si>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</si>
  <si>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</si>
  <si>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</si>
  <si>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</si>
  <si>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</si>
  <si>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</si>
  <si>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</si>
  <si>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</si>
  <si>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</si>
  <si>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</si>
  <si>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</si>
  <si>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</si>
  <si>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</si>
  <si>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</si>
  <si>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</si>
  <si>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</si>
  <si>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</si>
  <si>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</si>
  <si>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</si>
  <si>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</si>
  <si>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</si>
  <si>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</si>
  <si>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</si>
  <si>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</si>
  <si>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</si>
  <si>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</si>
  <si>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</si>
  <si>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</si>
  <si>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</si>
  <si>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</si>
  <si>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</si>
  <si>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</si>
  <si>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</si>
  <si>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</si>
  <si>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</si>
  <si>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</si>
  <si>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</si>
  <si>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</si>
  <si>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</si>
  <si>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</si>
  <si>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</si>
  <si>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</si>
  <si>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</si>
  <si>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</si>
  <si>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</si>
  <si>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</si>
  <si>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</si>
  <si>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</si>
  <si>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</si>
  <si>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</si>
  <si>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</si>
  <si>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</si>
  <si>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</si>
  <si>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</si>
  <si>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</si>
  <si>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</si>
  <si>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</si>
  <si>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</si>
  <si>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</si>
  <si>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</si>
  <si>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</si>
  <si>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</si>
  <si>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</si>
  <si>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</si>
  <si>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</si>
  <si>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</si>
  <si>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</si>
  <si>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</si>
  <si>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</si>
  <si>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</si>
  <si>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</si>
  <si>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</si>
  <si>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</si>
  <si>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</si>
  <si>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</si>
  <si>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</si>
  <si>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</si>
  <si>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</si>
  <si>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</si>
  <si>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</si>
  <si>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</si>
  <si>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</si>
  <si>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</si>
  <si>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</si>
  <si>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</si>
  <si>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</si>
  <si>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</si>
  <si>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</si>
  <si>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</si>
  <si>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</si>
  <si>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</si>
  <si>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</si>
  <si>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</si>
  <si>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</si>
  <si>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</si>
  <si>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</si>
  <si>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</si>
  <si>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</si>
  <si>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</si>
  <si>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</si>
  <si>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</si>
  <si>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</si>
  <si>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</si>
  <si>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</si>
  <si>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</si>
  <si>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</si>
  <si>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</si>
  <si>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</si>
  <si>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</si>
  <si>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</si>
  <si>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</si>
  <si>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</si>
  <si>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</si>
  <si>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</si>
  <si>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</si>
  <si>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</si>
  <si>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</si>
  <si>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</si>
  <si>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</si>
  <si>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</si>
  <si>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</si>
  <si>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</si>
  <si>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</si>
  <si>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</si>
  <si>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</si>
  <si>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</si>
  <si>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</si>
  <si>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</si>
  <si>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</si>
  <si>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</si>
  <si>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</si>
  <si>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</si>
  <si>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</si>
  <si>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</si>
  <si>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</si>
  <si>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</si>
  <si>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</si>
  <si>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</si>
  <si>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</si>
  <si>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</si>
  <si>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</si>
  <si>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</si>
  <si>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</si>
  <si>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</si>
  <si>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</si>
  <si>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</si>
  <si>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</si>
  <si>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</si>
  <si>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</si>
  <si>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</si>
  <si>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</si>
  <si>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</si>
  <si>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</si>
  <si>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</si>
  <si>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</si>
  <si>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</si>
  <si>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</si>
  <si>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</si>
  <si>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</si>
  <si>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</si>
  <si>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</si>
  <si>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</si>
  <si>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</si>
  <si>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</si>
  <si>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</si>
  <si>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</si>
  <si>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</si>
  <si>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</si>
  <si>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</si>
  <si>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</si>
  <si>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</si>
  <si>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</si>
  <si>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</si>
  <si>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</si>
  <si>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</si>
  <si>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</si>
  <si>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</si>
  <si>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</si>
  <si>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</si>
  <si>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</si>
  <si>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</si>
  <si>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</si>
  <si>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</si>
  <si>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</si>
  <si>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</si>
  <si>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</si>
  <si>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</si>
  <si>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</si>
  <si>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</si>
  <si>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</si>
  <si>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</si>
  <si>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</si>
  <si>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</si>
  <si>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</si>
  <si>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</si>
  <si>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</si>
  <si>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</si>
  <si>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</si>
  <si>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</si>
  <si>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</si>
  <si>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</si>
  <si>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</si>
  <si>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</si>
  <si>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</si>
  <si>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</si>
  <si>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</si>
  <si>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</si>
  <si>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</si>
  <si>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</si>
  <si>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</si>
  <si>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</si>
  <si>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</si>
  <si>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</si>
  <si>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</si>
  <si>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</si>
  <si>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</si>
  <si>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</si>
  <si>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</si>
  <si>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</si>
  <si>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</si>
  <si>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</si>
  <si>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</si>
  <si>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</si>
  <si>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</si>
  <si>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</si>
  <si>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</si>
  <si>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</si>
  <si>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</si>
  <si>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</si>
  <si>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</si>
  <si>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</si>
  <si>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</si>
  <si>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</si>
  <si>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</si>
  <si>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</si>
  <si>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</si>
  <si>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</si>
  <si>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</si>
  <si>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</si>
  <si>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</si>
  <si>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</si>
  <si>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</si>
  <si>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</si>
  <si>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</si>
  <si>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</si>
  <si>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</si>
  <si>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</si>
  <si>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</si>
  <si>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</si>
  <si>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</si>
  <si>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</si>
  <si>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</si>
  <si>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</si>
  <si>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</si>
  <si>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</si>
  <si>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</si>
  <si>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</si>
  <si>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</si>
  <si>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</si>
  <si>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</si>
  <si>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</si>
  <si>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</si>
  <si>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</si>
  <si>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</si>
  <si>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</si>
  <si>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</si>
  <si>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</si>
  <si>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</si>
  <si>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</si>
  <si>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</si>
  <si>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</si>
  <si>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</si>
  <si>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</si>
  <si>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</si>
  <si>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</si>
  <si>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</si>
  <si>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</si>
  <si>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</si>
  <si>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</si>
  <si>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</si>
  <si>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</si>
  <si>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</si>
  <si>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</si>
  <si>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</si>
  <si>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</si>
  <si>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</si>
  <si>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</si>
  <si>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</si>
  <si>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</si>
  <si>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</si>
  <si>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</si>
  <si>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</si>
  <si>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</si>
  <si>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</si>
  <si>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</si>
  <si>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</si>
  <si>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</si>
  <si>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</si>
  <si>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</si>
  <si>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</si>
  <si>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</si>
  <si>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</si>
  <si>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</si>
  <si>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</si>
  <si>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</si>
  <si>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</si>
  <si>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</si>
  <si>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</si>
  <si>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</si>
  <si>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</si>
  <si>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</si>
  <si>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</si>
  <si>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</si>
  <si>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</si>
  <si>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</si>
  <si>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</si>
  <si>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</si>
  <si>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</si>
  <si>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</si>
  <si>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</si>
  <si>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</si>
  <si>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</si>
  <si>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</si>
  <si>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</si>
  <si>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</si>
  <si>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</si>
  <si>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</si>
  <si>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</si>
  <si>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</si>
  <si>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</si>
  <si>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</si>
  <si>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</si>
  <si>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</si>
  <si>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</si>
  <si>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</si>
  <si>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</si>
  <si>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</si>
  <si>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</si>
  <si>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</si>
  <si>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</si>
  <si>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</si>
  <si>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</si>
  <si>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</si>
  <si>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</si>
  <si>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</si>
  <si>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</si>
  <si>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</si>
  <si>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</si>
  <si>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</si>
  <si>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</si>
  <si>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</si>
  <si>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</si>
  <si>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</si>
  <si>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</si>
  <si>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</si>
  <si>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</si>
  <si>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</si>
  <si>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</si>
  <si>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</si>
  <si>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</si>
  <si>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</si>
  <si>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</si>
  <si>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</si>
  <si>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</si>
  <si>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</si>
  <si>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</si>
  <si>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</si>
  <si>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</si>
  <si>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</si>
  <si>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</si>
  <si>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</si>
  <si>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</si>
  <si>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</si>
  <si>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</si>
  <si>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</si>
  <si>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</si>
  <si>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</si>
  <si>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</si>
  <si>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</si>
  <si>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</si>
  <si>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</si>
  <si>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</si>
  <si>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</si>
  <si>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</si>
  <si>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</si>
  <si>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</si>
  <si>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</si>
  <si>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</si>
  <si>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</si>
  <si>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</si>
  <si>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</si>
  <si>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</si>
  <si>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</si>
  <si>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</si>
  <si>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</si>
  <si>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</si>
  <si>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</si>
  <si>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</si>
  <si>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</si>
  <si>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</si>
  <si>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</si>
  <si>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</si>
  <si>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</si>
  <si>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</si>
  <si>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</si>
  <si>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</si>
  <si>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</si>
  <si>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</si>
  <si>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</si>
  <si>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</si>
  <si>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</si>
  <si>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</si>
  <si>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</si>
  <si>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</si>
  <si>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</si>
  <si>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</si>
  <si>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</si>
  <si>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</si>
  <si>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</si>
  <si>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</si>
  <si>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</si>
  <si>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</si>
  <si>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</si>
  <si>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</si>
  <si>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</si>
  <si>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</si>
  <si>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</si>
  <si>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</si>
  <si>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</si>
  <si>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</si>
  <si>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</si>
  <si>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</si>
  <si>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</si>
  <si>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</si>
  <si>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</si>
  <si>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</si>
  <si>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</si>
  <si>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</si>
  <si>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</si>
  <si>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</si>
  <si>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</si>
  <si>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</si>
  <si>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</si>
  <si>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</si>
  <si>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</si>
  <si>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</si>
  <si>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</si>
  <si>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</si>
  <si>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</si>
  <si>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</si>
  <si>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</si>
  <si>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</si>
  <si>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</si>
  <si>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</si>
  <si>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</si>
  <si>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</si>
  <si>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</si>
  <si>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</si>
  <si>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</si>
  <si>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</si>
  <si>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</si>
  <si>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</si>
  <si>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</si>
  <si>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</si>
  <si>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</si>
  <si>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</si>
  <si>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</si>
  <si>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</si>
  <si>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</si>
  <si>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</si>
  <si>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</si>
  <si>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</si>
  <si>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</si>
  <si>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</si>
  <si>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</si>
  <si>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</si>
  <si>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</si>
  <si>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</si>
  <si>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</si>
  <si>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</si>
  <si>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</si>
  <si>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</si>
  <si>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</si>
  <si>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</si>
  <si>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</si>
  <si>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</si>
  <si>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</si>
  <si>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</si>
  <si>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</si>
  <si>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</si>
  <si>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</si>
  <si>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</si>
  <si>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</si>
  <si>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</si>
  <si>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</si>
  <si>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</si>
  <si>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</si>
  <si>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</si>
  <si>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</si>
  <si>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</si>
  <si>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</si>
  <si>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</si>
  <si>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</si>
  <si>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</si>
  <si>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</si>
  <si>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</si>
  <si>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</si>
  <si>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</si>
  <si>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</si>
  <si>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</si>
  <si>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</si>
  <si>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</si>
  <si>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</si>
  <si>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</si>
  <si>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</si>
  <si>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</si>
  <si>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</si>
  <si>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</si>
  <si>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</si>
  <si>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</si>
  <si>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</si>
  <si>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</si>
  <si>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</si>
  <si>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</si>
  <si>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</si>
  <si>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</si>
  <si>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</si>
  <si>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</si>
  <si>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</si>
  <si>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</si>
  <si>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</si>
  <si>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</si>
  <si>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</si>
  <si>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</si>
  <si>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</si>
  <si>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</si>
  <si>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</si>
  <si>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</si>
  <si>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</si>
  <si>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</si>
  <si>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</si>
  <si>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</si>
  <si>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</si>
  <si>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</si>
  <si>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</si>
  <si>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</si>
  <si>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</si>
  <si>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</si>
  <si>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</si>
  <si>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</si>
  <si>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</si>
  <si>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</si>
  <si>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</si>
  <si>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</si>
  <si>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</si>
  <si>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</si>
  <si>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</si>
  <si>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</si>
  <si>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</si>
  <si>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</si>
  <si>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</si>
  <si>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</si>
  <si>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</si>
  <si>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</si>
  <si>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</si>
  <si>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</si>
  <si>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</si>
  <si>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</si>
  <si>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</si>
  <si>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</si>
  <si>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</si>
  <si>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</si>
  <si>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</si>
  <si>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</si>
  <si>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</si>
  <si>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</si>
  <si>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</si>
  <si>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</si>
  <si>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</si>
  <si>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</si>
  <si>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</si>
  <si>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</si>
  <si>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</si>
  <si>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</si>
  <si>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</si>
  <si>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</si>
  <si>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</si>
  <si>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</si>
  <si>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</si>
  <si>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</si>
  <si>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</si>
  <si>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</si>
  <si>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</si>
  <si>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</si>
  <si>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</si>
  <si>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</si>
  <si>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</si>
  <si>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</si>
  <si>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</si>
  <si>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</si>
  <si>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</si>
  <si>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</si>
  <si>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</si>
  <si>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</si>
  <si>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</si>
  <si>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</si>
  <si>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</si>
  <si>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</si>
  <si>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</si>
  <si>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</si>
  <si>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</si>
  <si>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</si>
  <si>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</si>
  <si>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</si>
  <si>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</si>
  <si>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</si>
  <si>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</si>
  <si>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</si>
  <si>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</si>
  <si>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</si>
  <si>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</si>
  <si>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</si>
  <si>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</si>
  <si>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</si>
  <si>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</si>
  <si>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</si>
  <si>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</si>
  <si>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</si>
  <si>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</si>
  <si>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</si>
  <si>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</si>
  <si>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</si>
  <si>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</si>
  <si>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</si>
  <si>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</si>
  <si>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</si>
  <si>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</si>
  <si>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</si>
  <si>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</si>
  <si>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</si>
  <si>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</si>
  <si>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</si>
  <si>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</si>
  <si>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</si>
  <si>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</si>
  <si>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</si>
  <si>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</si>
  <si>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</si>
  <si>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</si>
  <si>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</si>
  <si>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</si>
  <si>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</si>
  <si>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</si>
  <si>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</si>
  <si>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</si>
  <si>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</si>
  <si>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</si>
  <si>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</si>
  <si>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</si>
  <si>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</si>
  <si>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</si>
  <si>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</si>
  <si>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</si>
  <si>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</si>
  <si>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</si>
  <si>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</si>
  <si>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</si>
  <si>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</si>
  <si>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</si>
  <si>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</si>
  <si>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</si>
  <si>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</si>
  <si>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</si>
  <si>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</si>
  <si>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</si>
  <si>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</si>
  <si>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</si>
  <si>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</si>
  <si>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</si>
  <si>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</si>
  <si>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</si>
  <si>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</si>
  <si>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</si>
  <si>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</si>
  <si>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</si>
  <si>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</si>
  <si>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</si>
  <si>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</si>
  <si>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</si>
  <si>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</si>
  <si>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</si>
  <si>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</si>
  <si>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</si>
  <si>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</si>
  <si>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</si>
  <si>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</si>
  <si>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</si>
  <si>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</si>
  <si>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</si>
  <si>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</si>
  <si>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</si>
  <si>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</si>
  <si>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</si>
  <si>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</si>
  <si>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</si>
  <si>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</si>
  <si>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</si>
  <si>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</si>
  <si>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</si>
  <si>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</si>
  <si>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</si>
  <si>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</si>
  <si>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</si>
  <si>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</si>
  <si>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</si>
  <si>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</si>
  <si>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</si>
  <si>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</si>
  <si>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</si>
  <si>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</si>
  <si>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</si>
  <si>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</si>
  <si>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</si>
  <si>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</si>
  <si>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</si>
  <si>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</si>
  <si>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</si>
  <si>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</si>
  <si>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</si>
  <si>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</si>
  <si>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</si>
  <si>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</si>
  <si>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</si>
  <si>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</si>
  <si>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</si>
  <si>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</si>
  <si>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</si>
  <si>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</si>
  <si>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</si>
  <si>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</si>
  <si>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</si>
  <si>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</si>
  <si>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</si>
  <si>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</si>
  <si>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</si>
  <si>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</si>
  <si>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</si>
  <si>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</si>
  <si>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</si>
  <si>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</si>
  <si>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</si>
  <si>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</si>
  <si>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</si>
  <si>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</si>
  <si>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</si>
  <si>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</si>
  <si>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</si>
  <si>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</si>
  <si>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</si>
  <si>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</si>
  <si>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</si>
  <si>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</si>
  <si>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</si>
  <si>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</si>
  <si>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</si>
  <si>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</si>
  <si>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</si>
  <si>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</si>
  <si>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</si>
  <si>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</si>
  <si>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</si>
  <si>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</si>
  <si>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</si>
  <si>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</si>
  <si>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</si>
  <si>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</si>
  <si>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</si>
  <si>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</si>
  <si>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</si>
  <si>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</si>
  <si>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</si>
  <si>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</si>
  <si>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</si>
  <si>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</si>
  <si>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</si>
  <si>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</si>
  <si>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</si>
  <si>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</si>
  <si>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</si>
  <si>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</si>
  <si>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</si>
  <si>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</si>
  <si>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</si>
  <si>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</si>
  <si>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</si>
  <si>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</si>
  <si>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</si>
  <si>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</si>
  <si>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</si>
  <si>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</si>
  <si>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</si>
  <si>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</si>
  <si>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</si>
  <si>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</si>
  <si>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</si>
  <si>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</si>
  <si>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</si>
  <si>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</si>
  <si>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</si>
  <si>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</si>
  <si>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</si>
  <si>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</si>
  <si>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</si>
  <si>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</si>
  <si>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</si>
  <si>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</si>
  <si>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</si>
  <si>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</si>
  <si>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</si>
  <si>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</si>
  <si>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</si>
  <si>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</si>
  <si>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</si>
  <si>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</si>
  <si>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</si>
  <si>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</si>
  <si>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</si>
  <si>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</si>
  <si>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</si>
  <si>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</si>
  <si>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</si>
  <si>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</si>
  <si>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</si>
  <si>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</si>
  <si>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</si>
  <si>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</si>
  <si>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</si>
  <si>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</si>
  <si>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</si>
  <si>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</si>
  <si>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</si>
  <si>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</si>
  <si>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</si>
  <si>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</si>
  <si>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</si>
  <si>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</si>
  <si>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</si>
  <si>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</si>
  <si>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</si>
  <si>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</si>
  <si>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</si>
  <si>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</si>
  <si>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</si>
  <si>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</si>
  <si>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</si>
  <si>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</si>
  <si>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</si>
  <si>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</si>
  <si>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</si>
  <si>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</si>
  <si>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</si>
  <si>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</si>
  <si>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</si>
  <si>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</si>
  <si>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</si>
  <si>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</si>
  <si>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</si>
  <si>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</si>
  <si>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</si>
  <si>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</si>
  <si>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</si>
  <si>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</si>
  <si>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</si>
  <si>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</si>
  <si>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</si>
  <si>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</si>
  <si>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</si>
  <si>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</si>
  <si>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</si>
  <si>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</si>
  <si>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</si>
  <si>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</si>
  <si>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</si>
  <si>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</si>
  <si>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</si>
  <si>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</si>
  <si>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</si>
  <si>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</si>
  <si>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</si>
  <si>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</si>
  <si>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</si>
  <si>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</si>
  <si>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</si>
  <si>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</si>
  <si>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</si>
  <si>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</si>
  <si>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</si>
  <si>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</si>
  <si>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</si>
  <si>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</si>
  <si>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</si>
  <si>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</si>
  <si>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</si>
  <si>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</si>
  <si>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</si>
  <si>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</si>
  <si>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</si>
  <si>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</si>
  <si>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</si>
  <si>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</si>
  <si>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</si>
  <si>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</si>
  <si>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</si>
  <si>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</si>
  <si>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</si>
  <si>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</si>
  <si>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</si>
  <si>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</si>
  <si>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</si>
  <si>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</si>
  <si>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</si>
  <si>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</si>
  <si>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</si>
  <si>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</si>
  <si>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</si>
  <si>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</si>
  <si>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</si>
  <si>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</si>
  <si>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</si>
  <si>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</si>
  <si>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</si>
  <si>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</si>
  <si>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</si>
  <si>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</si>
  <si>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</si>
  <si>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</si>
  <si>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</si>
  <si>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</si>
  <si>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</si>
  <si>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</si>
  <si>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</si>
  <si>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</si>
  <si>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</si>
  <si>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</si>
  <si>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</si>
  <si>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</si>
  <si>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</si>
  <si>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</si>
  <si>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</si>
  <si>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</si>
  <si>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</si>
  <si>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</si>
  <si>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</si>
  <si>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</si>
  <si>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</si>
  <si>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</si>
  <si>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</si>
  <si>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</si>
  <si>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</si>
  <si>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</si>
  <si>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</si>
  <si>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</si>
  <si>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</si>
  <si>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</si>
  <si>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</si>
  <si>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</si>
  <si>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</si>
  <si>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</si>
  <si>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</si>
  <si>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</si>
  <si>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</si>
  <si>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</si>
  <si>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</si>
  <si>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</si>
  <si>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</si>
  <si>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</si>
  <si>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</si>
  <si>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</si>
  <si>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</si>
  <si>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</si>
  <si>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</si>
  <si>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</si>
  <si>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</si>
  <si>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</si>
  <si>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</si>
  <si>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</si>
  <si>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</si>
  <si>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</si>
  <si>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</si>
  <si>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</si>
  <si>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</si>
  <si>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</si>
  <si>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</si>
  <si>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</si>
  <si>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</si>
  <si>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</si>
  <si>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</si>
  <si>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</si>
  <si>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</si>
  <si>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</si>
  <si>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</si>
  <si>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</si>
  <si>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</si>
  <si>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</si>
  <si>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</si>
  <si>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</si>
  <si>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</si>
  <si>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</si>
  <si>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</si>
  <si>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</si>
  <si>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</si>
  <si>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</si>
  <si>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</si>
  <si>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</si>
  <si>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</si>
  <si>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</si>
  <si>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</si>
  <si>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</si>
  <si>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</si>
  <si>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</si>
  <si>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</si>
  <si>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</si>
  <si>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</si>
  <si>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</si>
  <si>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</si>
  <si>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</si>
  <si>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</si>
  <si>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</si>
  <si>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</si>
  <si>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</si>
  <si>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</si>
  <si>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</si>
  <si>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</si>
  <si>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</si>
  <si>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</si>
  <si>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</si>
  <si>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</si>
  <si>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</si>
  <si>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</si>
  <si>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</si>
  <si>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</si>
  <si>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</si>
  <si>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</si>
  <si>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</si>
  <si>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</si>
  <si>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</si>
  <si>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</si>
  <si>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</si>
  <si>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</si>
  <si>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</si>
  <si>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</si>
  <si>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</si>
  <si>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</si>
  <si>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</si>
  <si>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</si>
  <si>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</si>
  <si>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</si>
  <si>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</si>
  <si>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</si>
  <si>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</si>
  <si>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</si>
  <si>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</si>
  <si>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</si>
  <si>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</si>
  <si>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</si>
  <si>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</si>
  <si>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</si>
  <si>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</si>
  <si>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</si>
  <si>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</si>
  <si>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</si>
  <si>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</si>
  <si>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</si>
  <si>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</si>
  <si>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</si>
  <si>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</si>
  <si>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</si>
  <si>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</si>
  <si>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</si>
  <si>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</si>
  <si>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</si>
  <si>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</si>
  <si>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</si>
  <si>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</si>
  <si>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</si>
  <si>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</si>
  <si>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</si>
  <si>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</si>
  <si>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</si>
  <si>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</si>
  <si>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</si>
  <si>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</si>
  <si>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</si>
  <si>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</si>
  <si>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</si>
  <si>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</si>
  <si>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</si>
  <si>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</si>
  <si>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</si>
  <si>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</si>
  <si>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</si>
  <si>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</si>
  <si>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</si>
  <si>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</si>
  <si>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</si>
  <si>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</si>
  <si>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</si>
  <si>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</si>
  <si>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</si>
  <si>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</si>
  <si>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</si>
  <si>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</si>
  <si>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</si>
  <si>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</si>
  <si>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</si>
  <si>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</si>
  <si>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</si>
  <si>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</si>
  <si>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</si>
  <si>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</si>
  <si>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</si>
  <si>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</si>
  <si>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</si>
  <si>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</si>
  <si>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</si>
  <si>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</si>
  <si>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</si>
  <si>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</si>
  <si>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</si>
  <si>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</si>
  <si>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</si>
  <si>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</si>
  <si>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</si>
  <si>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</si>
  <si>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</si>
  <si>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</si>
  <si>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</si>
  <si>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</si>
  <si>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</si>
  <si>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</si>
  <si>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</si>
  <si>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</si>
  <si>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</si>
  <si>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</si>
  <si>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</si>
  <si>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</si>
  <si>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</si>
  <si>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</si>
  <si>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</si>
  <si>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</si>
  <si>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</si>
  <si>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</si>
  <si>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</si>
  <si>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</si>
  <si>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</si>
  <si>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</si>
  <si>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</si>
  <si>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</si>
  <si>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</si>
  <si>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</si>
  <si>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</si>
  <si>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</si>
  <si>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</si>
  <si>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</si>
  <si>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</si>
  <si>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</si>
  <si>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</si>
  <si>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</si>
  <si>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</si>
  <si>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</si>
  <si>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</si>
  <si>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</si>
  <si>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</si>
  <si>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</si>
  <si>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</si>
  <si>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</si>
  <si>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</si>
  <si>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</si>
  <si>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</si>
  <si>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</si>
  <si>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</si>
  <si>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</si>
  <si>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</si>
  <si>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</si>
  <si>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</si>
  <si>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</si>
  <si>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</si>
  <si>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</si>
  <si>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</si>
  <si>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</si>
  <si>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</si>
  <si>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</si>
  <si>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</si>
  <si>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</si>
  <si>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</si>
  <si>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</si>
  <si>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</si>
  <si>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</si>
  <si>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</si>
  <si>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</si>
  <si>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</si>
  <si>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</si>
  <si>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</si>
  <si>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</si>
  <si>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</si>
  <si>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</si>
  <si>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</si>
  <si>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</si>
  <si>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</si>
  <si>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</si>
  <si>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</si>
  <si>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</si>
  <si>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</si>
  <si>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</si>
  <si>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</si>
  <si>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</si>
  <si>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</si>
  <si>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</si>
  <si>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</si>
  <si>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</si>
  <si>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</si>
  <si>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</si>
  <si>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</si>
  <si>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</si>
  <si>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</si>
  <si>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</si>
  <si>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</si>
  <si>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</si>
  <si>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</si>
  <si>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</si>
  <si>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</si>
  <si>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</si>
  <si>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</si>
  <si>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</si>
  <si>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</si>
  <si>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</si>
  <si>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</si>
  <si>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</si>
  <si>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</si>
  <si>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</si>
  <si>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</si>
  <si>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</si>
  <si>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</si>
  <si>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</si>
  <si>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</si>
  <si>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</si>
  <si>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</si>
  <si>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</si>
  <si>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</si>
  <si>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</si>
  <si>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</si>
  <si>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</si>
  <si>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</si>
  <si>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</si>
  <si>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</si>
  <si>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</si>
  <si>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</si>
  <si>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</si>
  <si>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</si>
  <si>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</si>
  <si>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</si>
  <si>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</si>
  <si>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</si>
  <si>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</si>
  <si>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</si>
  <si>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</si>
  <si>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</si>
  <si>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</si>
  <si>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</si>
  <si>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</si>
  <si>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</si>
  <si>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</si>
  <si>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</si>
  <si>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</si>
  <si>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</si>
  <si>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</si>
  <si>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</si>
  <si>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</si>
  <si>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</si>
  <si>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</si>
  <si>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</si>
  <si>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</si>
  <si>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</si>
  <si>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</si>
  <si>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</si>
  <si>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</si>
  <si>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</si>
  <si>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</si>
  <si>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</si>
  <si>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</si>
  <si>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</si>
  <si>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</si>
  <si>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</si>
  <si>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</si>
  <si>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</si>
  <si>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</si>
  <si>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</si>
  <si>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</si>
  <si>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</si>
  <si>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</si>
  <si>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</si>
  <si>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</si>
  <si>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</si>
  <si>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</si>
  <si>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</si>
  <si>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</si>
  <si>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</si>
  <si>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</si>
  <si>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</si>
  <si>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</si>
  <si>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</si>
  <si>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</si>
  <si>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</si>
  <si>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</si>
  <si>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</si>
  <si>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</si>
  <si>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</si>
  <si>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</si>
  <si>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</si>
  <si>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</si>
  <si>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</si>
  <si>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</si>
  <si>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</si>
  <si>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</si>
  <si>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</si>
  <si>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</si>
  <si>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</si>
  <si>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</si>
  <si>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</si>
  <si>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</si>
  <si>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</si>
  <si>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</si>
  <si>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</si>
  <si>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</si>
  <si>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</si>
  <si>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</si>
  <si>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</si>
  <si>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</si>
  <si>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</si>
  <si>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</si>
  <si>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</si>
  <si>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</si>
  <si>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</si>
  <si>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</si>
  <si>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</si>
  <si>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</si>
  <si>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</si>
  <si>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</si>
  <si>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</si>
  <si>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</si>
  <si>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</si>
  <si>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</si>
  <si>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</si>
  <si>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</si>
  <si>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</si>
  <si>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</si>
  <si>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</si>
  <si>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</si>
  <si>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</si>
  <si>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</si>
  <si>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</si>
  <si>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</si>
  <si>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</si>
  <si>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</si>
  <si>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</si>
  <si>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</si>
  <si>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</si>
  <si>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</si>
  <si>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</si>
  <si>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</si>
  <si>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</si>
  <si>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</si>
  <si>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</si>
  <si>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</si>
  <si>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</si>
  <si>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</si>
  <si>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</si>
  <si>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</si>
  <si>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</si>
  <si>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</si>
  <si>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</si>
  <si>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</si>
  <si>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</si>
  <si>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</si>
  <si>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</si>
  <si>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</si>
  <si>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</si>
  <si>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</si>
  <si>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</si>
  <si>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</si>
  <si>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</si>
  <si>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</si>
  <si>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</si>
  <si>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</si>
  <si>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</si>
  <si>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</si>
  <si>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</si>
  <si>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</si>
  <si>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</si>
  <si>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</si>
  <si>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</si>
  <si>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</si>
  <si>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</si>
  <si>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</si>
  <si>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</si>
  <si>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</si>
  <si>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</si>
  <si>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</si>
  <si>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</si>
  <si>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</si>
  <si>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</si>
  <si>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</si>
  <si>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</si>
  <si>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</si>
  <si>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</si>
  <si>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</si>
  <si>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</si>
  <si>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</si>
  <si>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</si>
  <si>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</si>
  <si>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</si>
  <si>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</si>
  <si>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</si>
  <si>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</si>
  <si>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</si>
  <si>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</si>
  <si>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</si>
  <si>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</si>
  <si>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</si>
  <si>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</si>
  <si>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</si>
  <si>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</si>
  <si>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</si>
  <si>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</si>
  <si>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</si>
  <si>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</si>
  <si>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</si>
  <si>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</si>
  <si>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</si>
  <si>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</si>
  <si>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</si>
  <si>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</si>
  <si>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</si>
  <si>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</si>
  <si>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</si>
  <si>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</si>
  <si>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</si>
  <si>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</si>
  <si>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</si>
  <si>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</si>
  <si>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</si>
  <si>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</si>
  <si>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</si>
  <si>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</si>
  <si>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</si>
  <si>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</si>
  <si>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</si>
  <si>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</si>
  <si>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</si>
  <si>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</si>
  <si>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</si>
  <si>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</si>
  <si>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</si>
  <si>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</si>
  <si>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</si>
  <si>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</si>
  <si>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</si>
  <si>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</si>
  <si>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</si>
  <si>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</si>
  <si>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</si>
  <si>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</si>
  <si>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</si>
  <si>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</si>
  <si>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</si>
  <si>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</si>
  <si>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</si>
  <si>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</si>
  <si>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</si>
  <si>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</si>
  <si>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</si>
  <si>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</si>
  <si>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</si>
  <si>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</si>
  <si>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</si>
  <si>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</si>
  <si>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</si>
  <si>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</si>
  <si>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</si>
  <si>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</si>
  <si>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</si>
  <si>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</si>
  <si>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</si>
  <si>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</si>
  <si>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</si>
  <si>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</si>
  <si>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</si>
  <si>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</si>
  <si>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</si>
  <si>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</si>
  <si>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</si>
  <si>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</si>
  <si>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</si>
  <si>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</si>
  <si>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</si>
  <si>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</si>
  <si>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</si>
  <si>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</si>
  <si>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</si>
  <si>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</si>
  <si>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</si>
  <si>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</si>
  <si>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</si>
  <si>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</si>
  <si>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</si>
  <si>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</si>
  <si>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</si>
  <si>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</si>
  <si>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</si>
  <si>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</si>
  <si>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</si>
  <si>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</si>
  <si>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</si>
  <si>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</si>
  <si>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</si>
  <si>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</si>
  <si>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</si>
  <si>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</si>
  <si>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</si>
  <si>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</si>
  <si>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</si>
  <si>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</si>
  <si>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</si>
  <si>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</si>
  <si>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</si>
  <si>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</si>
  <si>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</si>
  <si>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</si>
  <si>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</si>
  <si>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</si>
  <si>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</si>
  <si>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</si>
  <si>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</si>
  <si>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</si>
  <si>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</si>
  <si>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</si>
  <si>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</si>
  <si>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</si>
  <si>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</si>
  <si>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</si>
  <si>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</si>
  <si>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</si>
  <si>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</si>
  <si>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</si>
  <si>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</si>
  <si>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</si>
  <si>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</si>
  <si>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</si>
  <si>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</si>
  <si>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</si>
  <si>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</si>
  <si>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</si>
  <si>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</si>
  <si>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</si>
  <si>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</si>
  <si>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</si>
  <si>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</si>
  <si>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</si>
  <si>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</si>
  <si>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</si>
  <si>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</si>
  <si>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</si>
  <si>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</si>
  <si>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</si>
  <si>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</si>
  <si>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</si>
  <si>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</si>
  <si>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</si>
  <si>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</si>
  <si>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</si>
  <si>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</si>
  <si>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</si>
  <si>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</si>
  <si>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</si>
  <si>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</si>
  <si>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</si>
  <si>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</si>
  <si>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</si>
  <si>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</si>
  <si>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</si>
  <si>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</si>
  <si>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</si>
  <si>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</si>
  <si>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</si>
  <si>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</si>
  <si>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</si>
  <si>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</si>
  <si>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</si>
  <si>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</si>
  <si>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</si>
  <si>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</si>
  <si>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</si>
  <si>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</si>
  <si>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</si>
  <si>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</si>
  <si>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</si>
  <si>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</si>
  <si>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</si>
  <si>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</si>
  <si>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</si>
  <si>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</si>
  <si>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</si>
  <si>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</si>
  <si>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</si>
  <si>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</si>
  <si>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</si>
  <si>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</si>
  <si>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</si>
  <si>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</si>
  <si>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</si>
  <si>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</si>
  <si>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</si>
  <si>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</si>
  <si>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</si>
  <si>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</si>
  <si>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</si>
  <si>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</si>
  <si>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</si>
  <si>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</si>
  <si>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</si>
  <si>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</si>
  <si>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</si>
  <si>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</si>
  <si>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</si>
  <si>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</si>
  <si>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</si>
  <si>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</si>
  <si>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</si>
  <si>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</si>
  <si>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</si>
  <si>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</si>
  <si>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</si>
  <si>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</si>
  <si>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</si>
  <si>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</si>
  <si>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</si>
  <si>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</si>
  <si>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</si>
  <si>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</si>
  <si>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</si>
  <si>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</si>
  <si>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</si>
  <si>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</si>
  <si>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</si>
  <si>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</si>
  <si>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</si>
  <si>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</si>
  <si>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</si>
  <si>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</si>
  <si>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</si>
  <si>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</si>
  <si>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</si>
  <si>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</si>
  <si>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</si>
  <si>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</si>
  <si>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</si>
  <si>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</si>
  <si>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</si>
  <si>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</si>
  <si>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</si>
  <si>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</si>
  <si>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</si>
  <si>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</si>
  <si>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</si>
  <si>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</si>
  <si>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</si>
  <si>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</si>
  <si>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</si>
  <si>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</si>
  <si>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</si>
  <si>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</si>
  <si>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</si>
  <si>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</si>
  <si>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</si>
  <si>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</si>
  <si>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</si>
  <si>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</si>
  <si>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</si>
  <si>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</si>
  <si>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</si>
  <si>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</si>
  <si>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</si>
  <si>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</si>
  <si>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</si>
  <si>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</si>
  <si>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</si>
  <si>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</si>
  <si>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</si>
  <si>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</si>
  <si>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</si>
  <si>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</si>
  <si>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</si>
  <si>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</si>
  <si>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</si>
  <si>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</si>
  <si>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</si>
  <si>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</si>
  <si>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</si>
  <si>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</si>
  <si>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</si>
  <si>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</si>
  <si>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</si>
  <si>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</si>
  <si>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</si>
  <si>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</si>
  <si>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</si>
  <si>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</si>
  <si>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</si>
  <si>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</si>
  <si>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</si>
  <si>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</si>
  <si>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</si>
  <si>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</si>
  <si>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</si>
  <si>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</si>
  <si>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</si>
  <si>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</si>
  <si>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</si>
  <si>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</si>
  <si>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</si>
  <si>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</si>
  <si>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</si>
  <si>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</si>
  <si>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</si>
  <si>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</si>
  <si>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</si>
  <si>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</si>
  <si>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</si>
  <si>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</si>
  <si>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</si>
  <si>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</si>
  <si>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</si>
  <si>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</si>
  <si>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</si>
  <si>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</si>
  <si>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</si>
  <si>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</si>
  <si>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</si>
  <si>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</si>
  <si>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</si>
  <si>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</si>
  <si>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</si>
  <si>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</si>
  <si>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</si>
  <si>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</si>
  <si>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</si>
  <si>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</si>
  <si>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</si>
  <si>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</si>
  <si>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</si>
  <si>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</si>
  <si>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</si>
  <si>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</si>
  <si>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</si>
  <si>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</si>
  <si>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</si>
  <si>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</si>
  <si>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</si>
  <si>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</si>
  <si>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</si>
  <si>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</si>
  <si>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</si>
  <si>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</si>
  <si>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</si>
  <si>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</si>
  <si>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</si>
  <si>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</si>
  <si>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</si>
  <si>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</si>
  <si>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</si>
  <si>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</si>
  <si>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</si>
  <si>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</si>
  <si>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</si>
  <si>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</si>
  <si>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</si>
  <si>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</si>
  <si>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</si>
  <si>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</si>
  <si>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</si>
  <si>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</si>
  <si>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</si>
  <si>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</si>
  <si>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</si>
  <si>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</si>
  <si>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</si>
  <si>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</si>
  <si>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</si>
  <si>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</si>
  <si>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</si>
  <si>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</si>
  <si>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</si>
  <si>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</si>
  <si>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</si>
  <si>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</si>
  <si>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</si>
  <si>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</si>
  <si>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</si>
  <si>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</si>
  <si>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</si>
  <si>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</si>
  <si>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</si>
  <si>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</si>
  <si>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</si>
  <si>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</si>
  <si>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</si>
  <si>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</si>
  <si>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</si>
  <si>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</si>
  <si>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</si>
  <si>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</si>
  <si>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</si>
  <si>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</si>
  <si>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</si>
  <si>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</si>
  <si>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</si>
  <si>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</si>
  <si>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</si>
  <si>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</si>
  <si>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</si>
  <si>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</si>
  <si>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</si>
  <si>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</si>
  <si>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</si>
  <si>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</si>
  <si>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</si>
  <si>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</si>
  <si>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</si>
  <si>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</si>
  <si>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</si>
  <si>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</si>
  <si>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</si>
  <si>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</si>
  <si>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</si>
  <si>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</si>
  <si>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</si>
  <si>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</si>
  <si>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</si>
  <si>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</si>
  <si>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</si>
  <si>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</si>
  <si>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</si>
  <si>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</si>
  <si>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</si>
  <si>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</si>
  <si>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</si>
  <si>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</si>
  <si>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</si>
  <si>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</si>
  <si>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</si>
  <si>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</si>
  <si>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</si>
  <si>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</si>
  <si>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</si>
  <si>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</si>
  <si>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</si>
  <si>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</si>
  <si>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</si>
  <si>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</si>
  <si>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</si>
  <si>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</si>
  <si>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</si>
  <si>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</si>
  <si>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</si>
  <si>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</si>
  <si>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</si>
  <si>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</si>
  <si>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</si>
  <si>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</si>
  <si>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</si>
  <si>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</si>
  <si>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</si>
  <si>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</si>
  <si>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</si>
  <si>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</si>
  <si>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</si>
  <si>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</si>
  <si>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</si>
  <si>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</si>
  <si>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</si>
  <si>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</si>
  <si>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</si>
  <si>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</si>
  <si>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</si>
  <si>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</si>
  <si>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</si>
  <si>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</si>
  <si>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</si>
  <si>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</si>
  <si>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</si>
  <si>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</si>
  <si>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</si>
  <si>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</si>
  <si>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</si>
  <si>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</si>
  <si>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</si>
  <si>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</si>
  <si>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</si>
  <si>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</si>
  <si>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</si>
  <si>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</si>
  <si>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</si>
  <si>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</si>
  <si>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</si>
  <si>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</si>
  <si>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</si>
  <si>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</si>
  <si>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</si>
  <si>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</si>
  <si>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</si>
  <si>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</si>
  <si>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</si>
  <si>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</si>
  <si>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</si>
  <si>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</si>
  <si>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</si>
  <si>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</si>
  <si>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</si>
  <si>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</si>
  <si>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</si>
  <si>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</si>
  <si>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</si>
  <si>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</si>
  <si>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</si>
  <si>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</si>
  <si>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</si>
  <si>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</si>
  <si>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</si>
  <si>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</si>
  <si>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</si>
  <si>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</si>
  <si>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</si>
  <si>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</si>
  <si>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</si>
  <si>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</si>
  <si>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</si>
  <si>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</si>
  <si>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</si>
  <si>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</si>
  <si>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</si>
  <si>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</si>
  <si>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</si>
  <si>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</si>
  <si>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</si>
  <si>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</si>
  <si>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</si>
  <si>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</si>
  <si>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</si>
  <si>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</si>
  <si>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</si>
  <si>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</si>
  <si>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</si>
  <si>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</si>
  <si>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</si>
  <si>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</si>
  <si>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</si>
  <si>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</si>
  <si>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</si>
  <si>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</si>
  <si>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</si>
  <si>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</si>
  <si>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</si>
  <si>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</si>
  <si>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</si>
  <si>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</si>
  <si>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</si>
  <si>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</si>
  <si>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</si>
  <si>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</si>
  <si>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</si>
  <si>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</si>
  <si>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</si>
  <si>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</si>
  <si>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</si>
  <si>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COOK</t>
  </si>
  <si>
    <t>2915 MAPLE STREET</t>
  </si>
  <si>
    <t>FRANKLIN PARK</t>
  </si>
  <si>
    <t>DR. DAVID KATZIN</t>
  </si>
  <si>
    <t>EVOY, KAMSCHULTE, JACOBS &amp; CO. LLP</t>
  </si>
  <si>
    <t>JAMES HENRY, CPA</t>
  </si>
  <si>
    <t>2122 YEOMAN STREET</t>
  </si>
  <si>
    <t>WAUKEGAN</t>
  </si>
  <si>
    <t>IL</t>
  </si>
  <si>
    <t>066-003289</t>
  </si>
  <si>
    <t>JHENRY@EKJLLP.COM</t>
  </si>
  <si>
    <t>Evoy, Kamschulte, Jacobs &amp; Co. LLP</t>
  </si>
  <si>
    <t>2003-B Working Cash Fund Bonds</t>
  </si>
  <si>
    <t>2003-C Working Cash Fund Bonds</t>
  </si>
  <si>
    <t>2010-A Fire Prevention &amp; Safety and Refunding</t>
  </si>
  <si>
    <t>3 and 4</t>
  </si>
  <si>
    <t>2010-B Refunding</t>
  </si>
  <si>
    <t>2013-A Fire Prevention &amp; Safety and Refunding</t>
  </si>
  <si>
    <t>Leyden Area Special Education Cooperative</t>
  </si>
  <si>
    <t>IL School District Liquid Asset Fund</t>
  </si>
  <si>
    <t>Collective Liability Insurance Cooperative</t>
  </si>
  <si>
    <r>
      <t xml:space="preserve">The accompanying Schedule of Expenditures of Federal Awards includes the federal grant activity of Franklin Park School District No. 84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t>
    </r>
    <r>
      <rPr>
        <sz val="9"/>
        <rFont val="Calibri"/>
        <family val="2"/>
        <scheme val="minor"/>
      </rPr>
      <t>financial statements.</t>
    </r>
  </si>
  <si>
    <t>Of the federal expenditures presented in the schedule, Franklin Park School District No. 84 provided federal awards to subrecipients as follows:</t>
  </si>
  <si>
    <t>NONE</t>
  </si>
  <si>
    <t>N/A</t>
  </si>
  <si>
    <r>
      <t>The following amounts were expended in the form of non-cash assistance by Franklin Park School District No. 84 and are</t>
    </r>
    <r>
      <rPr>
        <sz val="9"/>
        <rFont val="Calibri"/>
        <family val="2"/>
        <scheme val="minor"/>
      </rPr>
      <t xml:space="preserve"> included in the Schedule of Expenditures of Federal Awards:</t>
    </r>
  </si>
  <si>
    <t>U S DEPARTMENT OF AGRICULTURE</t>
  </si>
  <si>
    <t>Child Nutrition Cluster</t>
  </si>
  <si>
    <t>Passed Through Illinois State Board of Education</t>
  </si>
  <si>
    <t>(M) National School Lunch Program</t>
  </si>
  <si>
    <t>(M) National School Lunch Program, Non-Cash USDA Foods</t>
  </si>
  <si>
    <t>2018-4210</t>
  </si>
  <si>
    <t>2017-4210</t>
  </si>
  <si>
    <t>Total Child Nutrition Cluster</t>
  </si>
  <si>
    <t>TOTAL U S DEPARTMENT OF AGRICULTURE</t>
  </si>
  <si>
    <t>U S DEPARTMENT OF EDUCATION</t>
  </si>
  <si>
    <t xml:space="preserve">    Title I - Low-Income</t>
  </si>
  <si>
    <t>2018-4300</t>
  </si>
  <si>
    <t>2017-4300</t>
  </si>
  <si>
    <t xml:space="preserve">    Title III - Language Instruction Program Ltd English Proficiency</t>
  </si>
  <si>
    <t>2018-4909</t>
  </si>
  <si>
    <t>2017-4909</t>
  </si>
  <si>
    <t>2018-4400</t>
  </si>
  <si>
    <t xml:space="preserve">    Title IV - Student Support &amp; Academic Enrichment</t>
  </si>
  <si>
    <t>U S DEPARTMENT OF EDUCATION (continued)</t>
  </si>
  <si>
    <t>Passed Through Illinois State Board of Education (continued)</t>
  </si>
  <si>
    <t xml:space="preserve">    Title II - Teacher Quality</t>
  </si>
  <si>
    <t>2018-4932</t>
  </si>
  <si>
    <t>2017-4932</t>
  </si>
  <si>
    <t>Special Education Cluster (IDEA)</t>
  </si>
  <si>
    <t xml:space="preserve">    Federal Special Education-IDEA, Room &amp; Board Reimbursement</t>
  </si>
  <si>
    <t>2017-4625</t>
  </si>
  <si>
    <t xml:space="preserve">    Federal Special Education-IDEA, Part B-Pre-School</t>
  </si>
  <si>
    <t xml:space="preserve">    Federal Special Education-IDEA, Part B-Flow-Through</t>
  </si>
  <si>
    <t>2018-4600</t>
  </si>
  <si>
    <t>2017-4600</t>
  </si>
  <si>
    <t>2018-4620</t>
  </si>
  <si>
    <t>2017-4620</t>
  </si>
  <si>
    <t>Passed Through ISBE Through Leyden Area Special Education Cooperative (LASEC)</t>
  </si>
  <si>
    <t>Total Special Education Cluster (IDEA)</t>
  </si>
  <si>
    <t>TOTAL U S DEPARTMENT OF EDUCATION</t>
  </si>
  <si>
    <t>U S DEPARTMENT OF HEALTH AND HUMAN SERVICES</t>
  </si>
  <si>
    <t>Passed Through Illinois Department of Healthcare and Family Services</t>
  </si>
  <si>
    <t xml:space="preserve">    Medicaid Medical Assistance, Administrative Claim</t>
  </si>
  <si>
    <t>2018-4991</t>
  </si>
  <si>
    <t>2017-4991</t>
  </si>
  <si>
    <t>TOTAL U S DEPARTMENT OF HEALTH AND HUMAN SERVICES</t>
  </si>
  <si>
    <t>TOTAL FEDERAL FINANCIAL ASSISTANCE</t>
  </si>
  <si>
    <t>Amouints Provided to Subrecipients</t>
  </si>
  <si>
    <t>Federal Loans or Loan Guarantees, Including Interest Subsidies, Outstanding at Year End</t>
  </si>
  <si>
    <t>Value of Federal Awards Expended in the Form of Non-Cash Assistance During the Year, Included Above</t>
  </si>
  <si>
    <t>Unmodified</t>
  </si>
  <si>
    <t>(M) Title II - Teacher Quality</t>
  </si>
  <si>
    <t>Federal Insurance in Effect During the Year</t>
  </si>
  <si>
    <t>(M) National School Lunch Program, Non-Cash DoD Fruits &amp; Vegetables</t>
  </si>
  <si>
    <t>NONE - N/A</t>
  </si>
  <si>
    <t>2018-4625</t>
  </si>
  <si>
    <t>ED-Board of Educ Services-Purch Svc</t>
  </si>
  <si>
    <t>10-2300-300</t>
  </si>
  <si>
    <t>Barry &amp; Associates</t>
  </si>
  <si>
    <t>Franklin Park SD 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</si>
</sst>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71" fillId="0" borderId="22" xfId="3" applyNumberFormat="1" applyFont="1" applyBorder="1" applyAlignment="1" applyProtection="1">
      <alignment horizontal="left" vertical="center" wrapText="1"/>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0" xfId="0" applyNumberFormat="1" applyFont="1" applyBorder="1" applyAlignment="1" applyProtection="1">
      <alignment horizontal="left" vertical="center" indent="1"/>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1853046</xdr:colOff>
          <xdr:row>5</xdr:row>
          <xdr:rowOff>8659</xdr:rowOff>
        </xdr:from>
        <xdr:to>
          <xdr:col>1</xdr:col>
          <xdr:colOff>2726748</xdr:colOff>
          <xdr:row>8</xdr:row>
          <xdr:rowOff>37234</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2074</v>
      </c>
      <c r="C5" s="26" t="s">
        <v>966</v>
      </c>
      <c r="D5" s="84"/>
      <c r="E5" s="84"/>
      <c r="H5" s="38"/>
      <c r="I5" s="2042" t="s">
        <v>701</v>
      </c>
      <c r="J5" s="1989"/>
      <c r="K5" s="1989"/>
      <c r="L5" s="1989"/>
      <c r="M5" s="1989"/>
      <c r="N5" s="1989"/>
      <c r="O5" s="1989"/>
      <c r="P5" s="1989"/>
      <c r="Q5" s="1989"/>
      <c r="R5" s="1989"/>
      <c r="S5" s="1989"/>
    </row>
    <row r="6" spans="1:28" ht="14.1" customHeight="1" x14ac:dyDescent="0.2">
      <c r="B6" s="104"/>
      <c r="C6" s="26" t="s">
        <v>967</v>
      </c>
      <c r="D6" s="84"/>
      <c r="E6" s="84"/>
      <c r="I6" s="2041" t="s">
        <v>938</v>
      </c>
      <c r="J6" s="1989"/>
      <c r="K6" s="1989"/>
      <c r="L6" s="1989"/>
      <c r="M6" s="1989"/>
      <c r="N6" s="1989"/>
      <c r="O6" s="1989"/>
      <c r="P6" s="1989"/>
      <c r="Q6" s="1989"/>
      <c r="R6" s="1989"/>
      <c r="S6" s="1989"/>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5" t="s">
        <v>554</v>
      </c>
      <c r="U9" s="1986"/>
      <c r="V9" s="1986"/>
      <c r="W9" s="1986"/>
      <c r="X9" s="1986"/>
      <c r="Y9" s="1986"/>
      <c r="Z9" s="1986"/>
      <c r="AA9" s="1987"/>
    </row>
    <row r="10" spans="1:28" ht="13.5" customHeight="1" x14ac:dyDescent="0.2">
      <c r="A10" s="1994" t="s">
        <v>696</v>
      </c>
      <c r="B10" s="1995"/>
      <c r="C10" s="1995"/>
      <c r="D10" s="1995"/>
      <c r="E10" s="1995"/>
      <c r="F10" s="1995"/>
      <c r="G10" s="1995"/>
      <c r="H10" s="1996"/>
      <c r="I10" s="29"/>
      <c r="J10" s="30"/>
      <c r="K10" s="28"/>
      <c r="R10" s="30"/>
      <c r="S10" s="30"/>
      <c r="T10" s="1988"/>
      <c r="U10" s="1989"/>
      <c r="V10" s="1989"/>
      <c r="W10" s="1989"/>
      <c r="X10" s="1989"/>
      <c r="Y10" s="1989"/>
      <c r="Z10" s="1989"/>
      <c r="AA10" s="1990"/>
    </row>
    <row r="11" spans="1:28" ht="14.25" customHeight="1" x14ac:dyDescent="0.2">
      <c r="A11" s="1997" t="s">
        <v>1012</v>
      </c>
      <c r="B11" s="1998"/>
      <c r="C11" s="1998"/>
      <c r="D11" s="1998"/>
      <c r="E11" s="1998"/>
      <c r="F11" s="1998"/>
      <c r="G11" s="1998"/>
      <c r="H11" s="1999"/>
      <c r="I11" s="27"/>
      <c r="J11" s="74"/>
      <c r="K11" s="27"/>
      <c r="O11" s="148" t="s">
        <v>2074</v>
      </c>
      <c r="P11" s="100" t="s">
        <v>210</v>
      </c>
      <c r="Q11" s="30"/>
      <c r="R11" s="28"/>
      <c r="S11" s="27"/>
      <c r="T11" s="1991"/>
      <c r="U11" s="1992"/>
      <c r="V11" s="1992"/>
      <c r="W11" s="1992"/>
      <c r="X11" s="1992"/>
      <c r="Y11" s="1992"/>
      <c r="Z11" s="1992"/>
      <c r="AA11" s="199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5">
        <v>6016084002</v>
      </c>
      <c r="B13" s="2006"/>
      <c r="C13" s="2006"/>
      <c r="D13" s="2006"/>
      <c r="E13" s="2006"/>
      <c r="F13" s="2006"/>
      <c r="G13" s="2006"/>
      <c r="H13" s="2007"/>
      <c r="I13" s="31"/>
      <c r="J13" s="30"/>
      <c r="K13" s="28"/>
      <c r="L13" s="30"/>
      <c r="M13" s="30"/>
      <c r="N13" s="30"/>
      <c r="O13" s="30"/>
      <c r="P13" s="30"/>
      <c r="Q13" s="30"/>
      <c r="R13" s="30"/>
      <c r="S13" s="30"/>
      <c r="T13" s="2010" t="s">
        <v>2079</v>
      </c>
      <c r="U13" s="2011"/>
      <c r="V13" s="2011"/>
      <c r="W13" s="2011"/>
      <c r="X13" s="2011"/>
      <c r="Y13" s="2012"/>
      <c r="Z13" s="2012"/>
      <c r="AA13" s="201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3" t="s">
        <v>2075</v>
      </c>
      <c r="B15" s="2008"/>
      <c r="C15" s="2008"/>
      <c r="D15" s="2008"/>
      <c r="E15" s="2008"/>
      <c r="F15" s="2008"/>
      <c r="G15" s="2008"/>
      <c r="H15" s="2009"/>
      <c r="T15" s="1971" t="s">
        <v>2080</v>
      </c>
      <c r="U15" s="1972"/>
      <c r="V15" s="1972"/>
      <c r="W15" s="1972"/>
      <c r="X15" s="1972"/>
      <c r="Y15" s="2014"/>
      <c r="Z15" s="2014"/>
      <c r="AA15" s="201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5" t="s">
        <v>2155</v>
      </c>
      <c r="B17" s="2006"/>
      <c r="C17" s="2006"/>
      <c r="D17" s="2006"/>
      <c r="E17" s="2006"/>
      <c r="F17" s="2006"/>
      <c r="G17" s="2006"/>
      <c r="H17" s="2007"/>
      <c r="T17" s="2020" t="s">
        <v>2081</v>
      </c>
      <c r="U17" s="2021"/>
      <c r="V17" s="2021"/>
      <c r="W17" s="2021"/>
      <c r="X17" s="2021"/>
      <c r="Y17" s="2021"/>
      <c r="Z17" s="2021"/>
      <c r="AA17" s="2022"/>
    </row>
    <row r="18" spans="1:27" ht="13.5" customHeight="1" x14ac:dyDescent="0.2">
      <c r="A18" s="85" t="s">
        <v>551</v>
      </c>
      <c r="B18" s="76"/>
      <c r="C18" s="72"/>
      <c r="D18" s="76"/>
      <c r="E18" s="76"/>
      <c r="F18" s="76"/>
      <c r="G18" s="76"/>
      <c r="H18" s="56"/>
      <c r="I18" s="2030" t="s">
        <v>697</v>
      </c>
      <c r="J18" s="2031"/>
      <c r="K18" s="2031"/>
      <c r="L18" s="2031"/>
      <c r="M18" s="2031"/>
      <c r="N18" s="2031"/>
      <c r="O18" s="2031"/>
      <c r="P18" s="2031"/>
      <c r="Q18" s="2031"/>
      <c r="R18" s="2031"/>
      <c r="S18" s="2032"/>
      <c r="T18" s="85" t="s">
        <v>735</v>
      </c>
      <c r="U18" s="51"/>
      <c r="V18" s="72"/>
      <c r="W18" s="50"/>
      <c r="X18" s="85" t="s">
        <v>284</v>
      </c>
      <c r="Y18" s="81"/>
      <c r="Z18" s="159" t="s">
        <v>698</v>
      </c>
      <c r="AA18" s="46"/>
    </row>
    <row r="19" spans="1:27" ht="13.5" customHeight="1" x14ac:dyDescent="0.2">
      <c r="A19" s="2003" t="s">
        <v>2076</v>
      </c>
      <c r="B19" s="2004"/>
      <c r="C19" s="2004"/>
      <c r="D19" s="2004"/>
      <c r="E19" s="2004"/>
      <c r="F19" s="2004"/>
      <c r="G19" s="2004"/>
      <c r="H19" s="2002"/>
      <c r="I19" s="30"/>
      <c r="J19" s="99"/>
      <c r="K19" s="40"/>
      <c r="L19" s="38"/>
      <c r="M19" s="112" t="s">
        <v>333</v>
      </c>
      <c r="P19" s="27"/>
      <c r="Q19" s="27"/>
      <c r="R19" s="27"/>
      <c r="S19" s="31"/>
      <c r="T19" s="2003" t="s">
        <v>2082</v>
      </c>
      <c r="U19" s="2001"/>
      <c r="V19" s="2001"/>
      <c r="W19" s="2002"/>
      <c r="X19" s="2018" t="s">
        <v>2083</v>
      </c>
      <c r="Y19" s="2019"/>
      <c r="Z19" s="2016">
        <v>60087</v>
      </c>
      <c r="AA19" s="201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0" t="s">
        <v>2077</v>
      </c>
      <c r="B21" s="2001"/>
      <c r="C21" s="2001"/>
      <c r="D21" s="2001"/>
      <c r="E21" s="2001"/>
      <c r="F21" s="2001"/>
      <c r="G21" s="2001"/>
      <c r="H21" s="2002"/>
      <c r="I21" s="2026" t="s">
        <v>699</v>
      </c>
      <c r="J21" s="1989"/>
      <c r="K21" s="1989"/>
      <c r="L21" s="1989"/>
      <c r="M21" s="1989"/>
      <c r="N21" s="1989"/>
      <c r="O21" s="1989"/>
      <c r="P21" s="1989"/>
      <c r="Q21" s="1989"/>
      <c r="R21" s="1989"/>
      <c r="S21" s="1990"/>
      <c r="T21" s="1968">
        <v>8476628300</v>
      </c>
      <c r="U21" s="1969"/>
      <c r="V21" s="1969"/>
      <c r="W21" s="1969"/>
      <c r="X21" s="1982">
        <v>8476628305</v>
      </c>
      <c r="Y21" s="1983"/>
      <c r="Z21" s="1983"/>
      <c r="AA21" s="1984"/>
    </row>
    <row r="22" spans="1:27" ht="13.5" customHeight="1" x14ac:dyDescent="0.2">
      <c r="A22" s="87" t="s">
        <v>552</v>
      </c>
      <c r="B22" s="59"/>
      <c r="C22" s="59"/>
      <c r="D22" s="59"/>
      <c r="E22" s="59"/>
      <c r="F22" s="59"/>
      <c r="G22" s="59"/>
      <c r="H22" s="60"/>
      <c r="I22" s="2027" t="s">
        <v>1504</v>
      </c>
      <c r="J22" s="2028"/>
      <c r="K22" s="2028"/>
      <c r="L22" s="2028"/>
      <c r="M22" s="2028"/>
      <c r="N22" s="2028"/>
      <c r="O22" s="2028"/>
      <c r="P22" s="2028"/>
      <c r="Q22" s="2028"/>
      <c r="R22" s="2028"/>
      <c r="S22" s="2029"/>
      <c r="T22" s="85" t="s">
        <v>1596</v>
      </c>
      <c r="U22" s="51"/>
      <c r="V22" s="72"/>
      <c r="W22" s="51"/>
      <c r="X22" s="160" t="s">
        <v>1385</v>
      </c>
      <c r="Z22" s="45"/>
      <c r="AA22" s="46"/>
    </row>
    <row r="23" spans="1:27" ht="13.5" customHeight="1" x14ac:dyDescent="0.2">
      <c r="A23" s="2023"/>
      <c r="B23" s="2024"/>
      <c r="C23" s="2024"/>
      <c r="D23" s="2024"/>
      <c r="E23" s="2024"/>
      <c r="F23" s="2024"/>
      <c r="G23" s="2024"/>
      <c r="H23" s="2025"/>
      <c r="T23" s="1963" t="s">
        <v>2084</v>
      </c>
      <c r="U23" s="1964"/>
      <c r="V23" s="1964"/>
      <c r="W23" s="1964"/>
      <c r="X23" s="1979">
        <v>43434</v>
      </c>
      <c r="Y23" s="1980"/>
      <c r="Z23" s="1980"/>
      <c r="AA23" s="1981"/>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2000">
        <v>60131</v>
      </c>
      <c r="B25" s="2001"/>
      <c r="C25" s="2001"/>
      <c r="D25" s="2001"/>
      <c r="E25" s="2001"/>
      <c r="F25" s="2001"/>
      <c r="G25" s="2001"/>
      <c r="H25" s="2002"/>
      <c r="I25" s="113"/>
      <c r="J25" s="2066"/>
      <c r="K25" s="2066"/>
      <c r="L25" s="2066"/>
      <c r="M25" s="2066"/>
      <c r="N25" s="2066"/>
      <c r="O25" s="2066"/>
      <c r="P25" s="2066"/>
      <c r="Q25" s="2066"/>
      <c r="R25" s="2066"/>
      <c r="S25" s="2067"/>
      <c r="T25" s="1960" t="s">
        <v>2085</v>
      </c>
      <c r="U25" s="1961"/>
      <c r="V25" s="1961"/>
      <c r="W25" s="1961"/>
      <c r="X25" s="1961"/>
      <c r="Y25" s="1961"/>
      <c r="Z25" s="1961"/>
      <c r="AA25" s="19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1"/>
      <c r="K27" s="2031"/>
      <c r="L27" s="2031"/>
      <c r="M27" s="2031"/>
      <c r="N27" s="2031"/>
      <c r="O27" s="2031"/>
      <c r="P27" s="2031"/>
      <c r="Q27" s="2031"/>
      <c r="R27" s="2031"/>
      <c r="S27" s="203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2074</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4"/>
      <c r="Q35" s="2001"/>
      <c r="R35" s="200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3" t="s">
        <v>2078</v>
      </c>
      <c r="B38" s="2054"/>
      <c r="C38" s="2054"/>
      <c r="D38" s="2054"/>
      <c r="E38" s="2054"/>
      <c r="F38" s="2001"/>
      <c r="G38" s="2001"/>
      <c r="H38" s="2002"/>
      <c r="I38" s="2050"/>
      <c r="J38" s="1972"/>
      <c r="K38" s="1972"/>
      <c r="L38" s="1972"/>
      <c r="M38" s="1972"/>
      <c r="N38" s="1972"/>
      <c r="O38" s="1972"/>
      <c r="P38" s="1973"/>
      <c r="Q38" s="1973"/>
      <c r="R38" s="1973"/>
      <c r="S38" s="1974"/>
      <c r="T38" s="1971"/>
      <c r="U38" s="1972"/>
      <c r="V38" s="1972"/>
      <c r="W38" s="1972"/>
      <c r="X38" s="1973"/>
      <c r="Y38" s="1973"/>
      <c r="Z38" s="1973"/>
      <c r="AA38" s="1974"/>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c r="B40" s="2059"/>
      <c r="C40" s="2060"/>
      <c r="D40" s="2060"/>
      <c r="E40" s="2060"/>
      <c r="F40" s="2061"/>
      <c r="G40" s="2061"/>
      <c r="H40" s="2062"/>
      <c r="I40" s="1975"/>
      <c r="J40" s="1977"/>
      <c r="K40" s="1977"/>
      <c r="L40" s="1977"/>
      <c r="M40" s="1977"/>
      <c r="N40" s="1977"/>
      <c r="O40" s="1977"/>
      <c r="P40" s="1977"/>
      <c r="Q40" s="1977"/>
      <c r="R40" s="1977"/>
      <c r="S40" s="1978"/>
      <c r="T40" s="1975"/>
      <c r="U40" s="1976"/>
      <c r="V40" s="1977"/>
      <c r="W40" s="1977"/>
      <c r="X40" s="1977"/>
      <c r="Y40" s="1977"/>
      <c r="Z40" s="1977"/>
      <c r="AA40" s="197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v>8474554230</v>
      </c>
      <c r="B42" s="2048"/>
      <c r="C42" s="2049"/>
      <c r="D42" s="2063">
        <v>8474559094</v>
      </c>
      <c r="E42" s="2048"/>
      <c r="F42" s="2048"/>
      <c r="G42" s="2048"/>
      <c r="H42" s="2049"/>
      <c r="I42" s="1970"/>
      <c r="J42" s="1966"/>
      <c r="K42" s="1966"/>
      <c r="L42" s="1966"/>
      <c r="M42" s="1966"/>
      <c r="N42" s="1966"/>
      <c r="O42" s="1967"/>
      <c r="P42" s="1965"/>
      <c r="Q42" s="1966"/>
      <c r="R42" s="1966"/>
      <c r="S42" s="1967"/>
      <c r="T42" s="1970"/>
      <c r="U42" s="1966"/>
      <c r="V42" s="1966"/>
      <c r="W42" s="1967"/>
      <c r="X42" s="1965"/>
      <c r="Y42" s="1966"/>
      <c r="Z42" s="1966"/>
      <c r="AA42" s="196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7" sqref="E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1902</v>
      </c>
      <c r="B2" s="1550" t="s">
        <v>2034</v>
      </c>
      <c r="C2" s="715" t="s">
        <v>1907</v>
      </c>
      <c r="D2" s="715" t="s">
        <v>1908</v>
      </c>
      <c r="E2" s="715" t="s">
        <v>1909</v>
      </c>
      <c r="F2" s="715" t="s">
        <v>1910</v>
      </c>
    </row>
    <row r="3" spans="1:6" ht="12" customHeight="1" x14ac:dyDescent="0.2">
      <c r="A3" s="2202"/>
      <c r="B3" s="1547"/>
      <c r="C3" s="1548"/>
      <c r="D3" s="1549" t="s">
        <v>274</v>
      </c>
      <c r="E3" s="1548"/>
      <c r="F3" s="1549" t="s">
        <v>275</v>
      </c>
    </row>
    <row r="4" spans="1:6" ht="13.7" customHeight="1" x14ac:dyDescent="0.2">
      <c r="A4" s="716" t="s">
        <v>1217</v>
      </c>
      <c r="B4" s="1771">
        <f>'Revenues 9-14'!C5</f>
        <v>10365180</v>
      </c>
      <c r="C4" s="1546">
        <v>6399938</v>
      </c>
      <c r="D4" s="1774">
        <f>B4-C4</f>
        <v>3965242</v>
      </c>
      <c r="E4" s="1546">
        <v>12971222</v>
      </c>
      <c r="F4" s="1774">
        <f>E4-C4</f>
        <v>6571284</v>
      </c>
    </row>
    <row r="5" spans="1:6" ht="13.7" customHeight="1" x14ac:dyDescent="0.2">
      <c r="A5" s="716" t="s">
        <v>925</v>
      </c>
      <c r="B5" s="1772">
        <f>'Revenues 9-14'!D5</f>
        <v>1461853</v>
      </c>
      <c r="C5" s="585">
        <v>838770</v>
      </c>
      <c r="D5" s="1775">
        <f t="shared" ref="D5:D18" si="0">B5-C5</f>
        <v>623083</v>
      </c>
      <c r="E5" s="585">
        <v>1699987</v>
      </c>
      <c r="F5" s="1775">
        <f>E5-C5</f>
        <v>861217</v>
      </c>
    </row>
    <row r="6" spans="1:6" ht="13.7" customHeight="1" x14ac:dyDescent="0.2">
      <c r="A6" s="716" t="s">
        <v>431</v>
      </c>
      <c r="B6" s="1772">
        <f>'Revenues 9-14'!E5</f>
        <v>923719</v>
      </c>
      <c r="C6" s="585">
        <v>506105</v>
      </c>
      <c r="D6" s="1775">
        <f t="shared" si="0"/>
        <v>417614</v>
      </c>
      <c r="E6" s="585">
        <v>1025916</v>
      </c>
      <c r="F6" s="1775">
        <f t="shared" ref="F6:F18" si="1">E6-C6</f>
        <v>519811</v>
      </c>
    </row>
    <row r="7" spans="1:6" ht="13.7" customHeight="1" x14ac:dyDescent="0.2">
      <c r="A7" s="716" t="s">
        <v>157</v>
      </c>
      <c r="B7" s="1772">
        <f>'Revenues 9-14'!F5</f>
        <v>808821</v>
      </c>
      <c r="C7" s="585">
        <v>47639</v>
      </c>
      <c r="D7" s="1775">
        <f t="shared" si="0"/>
        <v>761182</v>
      </c>
      <c r="E7" s="585">
        <v>96546</v>
      </c>
      <c r="F7" s="1775">
        <f t="shared" si="1"/>
        <v>48907</v>
      </c>
    </row>
    <row r="8" spans="1:6" ht="13.7" customHeight="1" x14ac:dyDescent="0.2">
      <c r="A8" s="716" t="s">
        <v>1241</v>
      </c>
      <c r="B8" s="1772">
        <f>'Revenues 9-14'!G5</f>
        <v>162581</v>
      </c>
      <c r="C8" s="585"/>
      <c r="D8" s="1775">
        <f t="shared" si="0"/>
        <v>162581</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80349</v>
      </c>
      <c r="C10" s="585">
        <v>23741</v>
      </c>
      <c r="D10" s="1775">
        <f t="shared" si="0"/>
        <v>56608</v>
      </c>
      <c r="E10" s="585">
        <v>48112</v>
      </c>
      <c r="F10" s="1775">
        <f t="shared" si="1"/>
        <v>24371</v>
      </c>
    </row>
    <row r="11" spans="1:6" x14ac:dyDescent="0.2">
      <c r="A11" s="716" t="s">
        <v>429</v>
      </c>
      <c r="B11" s="1772">
        <f>'Revenues 9-14'!J5</f>
        <v>154326</v>
      </c>
      <c r="C11" s="585">
        <v>83242</v>
      </c>
      <c r="D11" s="1775">
        <f t="shared" si="0"/>
        <v>71084</v>
      </c>
      <c r="E11" s="585">
        <v>168715</v>
      </c>
      <c r="F11" s="1775">
        <f t="shared" si="1"/>
        <v>85473</v>
      </c>
    </row>
    <row r="12" spans="1:6" ht="13.7" customHeight="1" x14ac:dyDescent="0.2">
      <c r="A12" s="716" t="s">
        <v>159</v>
      </c>
      <c r="B12" s="1772">
        <f>'Revenues 9-14'!K5</f>
        <v>255960</v>
      </c>
      <c r="C12" s="585">
        <v>142587</v>
      </c>
      <c r="D12" s="1775">
        <f t="shared" si="0"/>
        <v>113373</v>
      </c>
      <c r="E12" s="585">
        <v>288997</v>
      </c>
      <c r="F12" s="1775">
        <f t="shared" si="1"/>
        <v>146410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1063187</v>
      </c>
      <c r="C14" s="585">
        <v>610086</v>
      </c>
      <c r="D14" s="1775">
        <f t="shared" si="0"/>
        <v>453101</v>
      </c>
      <c r="E14" s="585">
        <v>1236500</v>
      </c>
      <c r="F14" s="1775">
        <f t="shared" si="1"/>
        <v>626414</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162581</v>
      </c>
      <c r="C16" s="585"/>
      <c r="D16" s="1775">
        <f t="shared" si="0"/>
        <v>162581</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15438557</v>
      </c>
      <c r="C19" s="1773">
        <f>SUM(C4:C18)</f>
        <v>8652108</v>
      </c>
      <c r="D19" s="1773">
        <f>SUM(D4:D18)</f>
        <v>6786449</v>
      </c>
      <c r="E19" s="1773">
        <f>SUM(E4:E18)</f>
        <v>17535995</v>
      </c>
      <c r="F19" s="1773">
        <f>SUM(F4:F18)</f>
        <v>8883887</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5" colorId="8" zoomScale="110" zoomScaleNormal="110" workbookViewId="0">
      <selection activeCell="J36" sqref="J3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1902</v>
      </c>
      <c r="B2" s="2217"/>
      <c r="C2" s="1909" t="s">
        <v>2035</v>
      </c>
      <c r="D2" s="724" t="s">
        <v>2042</v>
      </c>
      <c r="E2" s="724" t="s">
        <v>2043</v>
      </c>
      <c r="F2" s="1909" t="s">
        <v>2036</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2037</v>
      </c>
      <c r="F30" s="1910" t="s">
        <v>2038</v>
      </c>
      <c r="G30" s="1910" t="s">
        <v>2041</v>
      </c>
      <c r="H30" s="1910" t="s">
        <v>2039</v>
      </c>
      <c r="I30" s="1910" t="s">
        <v>2040</v>
      </c>
      <c r="J30" s="1911" t="s">
        <v>2</v>
      </c>
      <c r="K30" s="732"/>
    </row>
    <row r="31" spans="1:11" ht="12" customHeight="1" x14ac:dyDescent="0.2">
      <c r="A31" s="733" t="s">
        <v>2087</v>
      </c>
      <c r="B31" s="734">
        <v>37901</v>
      </c>
      <c r="C31" s="735">
        <v>609900</v>
      </c>
      <c r="D31" s="736">
        <v>1</v>
      </c>
      <c r="E31" s="735">
        <v>474663</v>
      </c>
      <c r="F31" s="735"/>
      <c r="G31" s="735"/>
      <c r="H31" s="735">
        <v>31537</v>
      </c>
      <c r="I31" s="1778">
        <f>((E31+F31)-H31)+G31</f>
        <v>443126</v>
      </c>
      <c r="J31" s="735">
        <v>120556</v>
      </c>
      <c r="K31" s="737"/>
    </row>
    <row r="32" spans="1:11" ht="12" customHeight="1" x14ac:dyDescent="0.2">
      <c r="A32" s="733" t="s">
        <v>2088</v>
      </c>
      <c r="B32" s="734">
        <v>37901</v>
      </c>
      <c r="C32" s="735">
        <v>1043989</v>
      </c>
      <c r="D32" s="736">
        <v>1</v>
      </c>
      <c r="E32" s="735">
        <v>692893</v>
      </c>
      <c r="F32" s="735"/>
      <c r="G32" s="735"/>
      <c r="H32" s="735"/>
      <c r="I32" s="1778">
        <f>((E32+F32)-H32)+G32</f>
        <v>692893</v>
      </c>
      <c r="J32" s="735">
        <v>692893</v>
      </c>
      <c r="K32" s="737"/>
    </row>
    <row r="33" spans="1:11" ht="12" customHeight="1" x14ac:dyDescent="0.2">
      <c r="A33" s="733" t="s">
        <v>2089</v>
      </c>
      <c r="B33" s="734">
        <v>40540</v>
      </c>
      <c r="C33" s="735">
        <v>3705000</v>
      </c>
      <c r="D33" s="736" t="s">
        <v>2090</v>
      </c>
      <c r="E33" s="735">
        <v>3195000</v>
      </c>
      <c r="F33" s="735"/>
      <c r="G33" s="735"/>
      <c r="H33" s="735"/>
      <c r="I33" s="1778">
        <f t="shared" ref="I33:I48" si="1">((E33+F33)-H33)+G33</f>
        <v>3195000</v>
      </c>
      <c r="J33" s="735">
        <v>3182753</v>
      </c>
      <c r="K33" s="737"/>
    </row>
    <row r="34" spans="1:11" ht="12" customHeight="1" x14ac:dyDescent="0.2">
      <c r="A34" s="733" t="s">
        <v>2091</v>
      </c>
      <c r="B34" s="734">
        <v>40540</v>
      </c>
      <c r="C34" s="739">
        <v>180000</v>
      </c>
      <c r="D34" s="736">
        <v>4</v>
      </c>
      <c r="E34" s="739">
        <v>180000</v>
      </c>
      <c r="F34" s="735"/>
      <c r="G34" s="735"/>
      <c r="H34" s="735"/>
      <c r="I34" s="1778">
        <f t="shared" si="1"/>
        <v>180000</v>
      </c>
      <c r="J34" s="735">
        <v>179135</v>
      </c>
      <c r="K34" s="738"/>
    </row>
    <row r="35" spans="1:11" ht="12" customHeight="1" x14ac:dyDescent="0.2">
      <c r="A35" s="733" t="s">
        <v>2092</v>
      </c>
      <c r="B35" s="734">
        <v>41563</v>
      </c>
      <c r="C35" s="735">
        <v>5295000</v>
      </c>
      <c r="D35" s="736" t="s">
        <v>2090</v>
      </c>
      <c r="E35" s="735">
        <v>3770000</v>
      </c>
      <c r="F35" s="739"/>
      <c r="G35" s="739"/>
      <c r="H35" s="739">
        <v>520000</v>
      </c>
      <c r="I35" s="1778">
        <f t="shared" si="1"/>
        <v>3250000</v>
      </c>
      <c r="J35" s="739">
        <v>3244191</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10833889</v>
      </c>
      <c r="D49" s="746"/>
      <c r="E49" s="1778">
        <f t="shared" ref="E49:J49" si="2">SUM(E31:E48)</f>
        <v>8312556</v>
      </c>
      <c r="F49" s="1778">
        <f t="shared" si="2"/>
        <v>0</v>
      </c>
      <c r="G49" s="1778">
        <f t="shared" si="2"/>
        <v>0</v>
      </c>
      <c r="H49" s="1778">
        <f t="shared" si="2"/>
        <v>551537</v>
      </c>
      <c r="I49" s="1778">
        <f t="shared" si="2"/>
        <v>7761019</v>
      </c>
      <c r="J49" s="1778">
        <f t="shared" si="2"/>
        <v>7419528</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1916</v>
      </c>
      <c r="K2" s="763" t="s">
        <v>140</v>
      </c>
    </row>
    <row r="3" spans="1:11" x14ac:dyDescent="0.2">
      <c r="A3" s="2238" t="s">
        <v>1698</v>
      </c>
      <c r="B3" s="2239"/>
      <c r="C3" s="2239"/>
      <c r="D3" s="2239"/>
      <c r="E3" s="2240"/>
      <c r="F3" s="764"/>
      <c r="G3" s="765"/>
      <c r="H3" s="765">
        <v>0</v>
      </c>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1063187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9" t="s">
        <v>1917</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1063187</v>
      </c>
      <c r="I12" s="1780">
        <f>SUM(I5:I11)</f>
        <v>0</v>
      </c>
      <c r="J12" s="1780">
        <f>SUM(J5:J11)</f>
        <v>0</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1063187</v>
      </c>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1913</v>
      </c>
      <c r="B19" s="2267"/>
      <c r="C19" s="2267"/>
      <c r="D19" s="2267"/>
      <c r="E19" s="2268"/>
      <c r="F19" s="790" t="s">
        <v>990</v>
      </c>
      <c r="G19" s="783"/>
      <c r="H19" s="783"/>
      <c r="I19" s="783"/>
      <c r="J19" s="766"/>
      <c r="K19" s="796"/>
    </row>
    <row r="20" spans="1:11" x14ac:dyDescent="0.2">
      <c r="A20" s="2246" t="s">
        <v>1918</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1919</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1063187</v>
      </c>
      <c r="I23" s="1780">
        <f>SUM(I14:I16,I21,I22)</f>
        <v>0</v>
      </c>
      <c r="J23" s="1780">
        <f>SUM(J14:J16,J21,J22)</f>
        <v>0</v>
      </c>
      <c r="K23" s="1780">
        <f>SUM(K14:K16,K21,K22)</f>
        <v>0</v>
      </c>
    </row>
    <row r="24" spans="1:11" ht="14.25" thickTop="1" thickBot="1" x14ac:dyDescent="0.25">
      <c r="A24" s="2253" t="s">
        <v>2023</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2074</v>
      </c>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I12" sqref="I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2032</v>
      </c>
      <c r="B1" s="2272"/>
      <c r="C1" s="2273"/>
      <c r="D1" s="827"/>
      <c r="E1" s="828"/>
      <c r="F1" s="828"/>
      <c r="G1" s="829"/>
      <c r="H1" s="830"/>
      <c r="I1" s="831"/>
      <c r="J1" s="2269"/>
      <c r="K1" s="2270"/>
      <c r="L1" s="2270"/>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425000</v>
      </c>
      <c r="D5" s="842"/>
      <c r="E5" s="842"/>
      <c r="F5" s="1782">
        <f>(C5+D5)-E5</f>
        <v>425000</v>
      </c>
      <c r="G5" s="838"/>
      <c r="H5" s="843"/>
      <c r="I5" s="843"/>
      <c r="J5" s="843"/>
      <c r="K5" s="794"/>
      <c r="L5" s="1791">
        <f>F5-K5</f>
        <v>425000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26054474</v>
      </c>
      <c r="D8" s="845">
        <v>539473</v>
      </c>
      <c r="E8" s="845"/>
      <c r="F8" s="1782">
        <f>(C8+D8)-E8</f>
        <v>26593947</v>
      </c>
      <c r="G8" s="844">
        <v>50</v>
      </c>
      <c r="H8" s="766">
        <v>11081611</v>
      </c>
      <c r="I8" s="766">
        <v>531879</v>
      </c>
      <c r="J8" s="766"/>
      <c r="K8" s="1791">
        <f>(H8+I8)-J8</f>
        <v>11613490</v>
      </c>
      <c r="L8" s="1791">
        <f>F8-K8</f>
        <v>14980457</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498548</v>
      </c>
      <c r="D10" s="847"/>
      <c r="E10" s="847"/>
      <c r="F10" s="1786">
        <f>(C10+D10)-E10</f>
        <v>498548</v>
      </c>
      <c r="G10" s="844">
        <v>20</v>
      </c>
      <c r="H10" s="848">
        <v>345781</v>
      </c>
      <c r="I10" s="848">
        <v>8986</v>
      </c>
      <c r="J10" s="848"/>
      <c r="K10" s="1791">
        <f>(H10+I10)-J10</f>
        <v>354767</v>
      </c>
      <c r="L10" s="1791">
        <f>F10-K10</f>
        <v>143781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5904661</v>
      </c>
      <c r="D12" s="845">
        <v>134621</v>
      </c>
      <c r="E12" s="845"/>
      <c r="F12" s="1782">
        <f>(C12+D12)-E12</f>
        <v>6039282</v>
      </c>
      <c r="G12" s="844">
        <v>10</v>
      </c>
      <c r="H12" s="766">
        <v>4820943</v>
      </c>
      <c r="I12" s="766">
        <v>226861</v>
      </c>
      <c r="J12" s="766"/>
      <c r="K12" s="1791">
        <f>(H12+I12)-J12</f>
        <v>5047804</v>
      </c>
      <c r="L12" s="1791">
        <f>F12-K12</f>
        <v>991478</v>
      </c>
    </row>
    <row r="13" spans="1:14" ht="14.25" thickTop="1" thickBot="1" x14ac:dyDescent="0.25">
      <c r="A13" s="849" t="s">
        <v>1184</v>
      </c>
      <c r="B13" s="841">
        <v>252</v>
      </c>
      <c r="C13" s="845">
        <v>892676</v>
      </c>
      <c r="D13" s="845">
        <v>77706</v>
      </c>
      <c r="E13" s="845"/>
      <c r="F13" s="1782">
        <f>(C13+D13)-E13</f>
        <v>970382</v>
      </c>
      <c r="G13" s="844">
        <v>5</v>
      </c>
      <c r="H13" s="766">
        <v>800234</v>
      </c>
      <c r="I13" s="766">
        <v>38684</v>
      </c>
      <c r="J13" s="766"/>
      <c r="K13" s="1791">
        <f>(H13+I13)-J13</f>
        <v>838918</v>
      </c>
      <c r="L13" s="1791">
        <f>F13-K13</f>
        <v>131464</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33775359</v>
      </c>
      <c r="D16" s="1782">
        <f>SUM(D3,D5:D6,D8:D10,D12:D15)</f>
        <v>751800</v>
      </c>
      <c r="E16" s="1782">
        <f>SUM(E3,E5:E6,E8:E10,E12:E15)</f>
        <v>0</v>
      </c>
      <c r="F16" s="1782">
        <f>SUM(F3,F5:F6,F8:F10,F12:F15)</f>
        <v>34527159</v>
      </c>
      <c r="G16" s="844"/>
      <c r="H16" s="1782">
        <f>SUM(H3,H6,H8:H10,H12:H14,)</f>
        <v>17048569</v>
      </c>
      <c r="I16" s="1782">
        <f>SUM(I3,I6,I8:I10,I12:I14,)</f>
        <v>806410</v>
      </c>
      <c r="J16" s="1782">
        <f>SUM(J3,J6,J8:J10,J12:J14,)</f>
        <v>0</v>
      </c>
      <c r="K16" s="1782">
        <f>(H16+I16)-J16</f>
        <v>17854979</v>
      </c>
      <c r="L16" s="1782">
        <f>F16-K16</f>
        <v>16672180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806410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2" activePane="bottomLeft" state="frozen"/>
      <selection activeCell="A47" sqref="A47"/>
      <selection pane="bottomLeft" activeCell="F185" sqref="F18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15199438</v>
      </c>
      <c r="G8" s="866"/>
    </row>
    <row r="9" spans="1:7" x14ac:dyDescent="0.2">
      <c r="A9" s="870" t="s">
        <v>480</v>
      </c>
      <c r="B9" s="871" t="s">
        <v>1986</v>
      </c>
      <c r="C9" s="872"/>
      <c r="D9" s="870" t="s">
        <v>522</v>
      </c>
      <c r="E9" s="869"/>
      <c r="F9" s="1935">
        <f>'Expenditures 15-22'!K151</f>
        <v>2080085</v>
      </c>
      <c r="G9" s="873"/>
    </row>
    <row r="10" spans="1:7" x14ac:dyDescent="0.2">
      <c r="A10" s="870" t="s">
        <v>520</v>
      </c>
      <c r="B10" s="871" t="s">
        <v>1987</v>
      </c>
      <c r="C10" s="872"/>
      <c r="D10" s="870" t="s">
        <v>522</v>
      </c>
      <c r="E10" s="869"/>
      <c r="F10" s="1935">
        <f>'Expenditures 15-22'!K174</f>
        <v>967463</v>
      </c>
      <c r="G10" s="873"/>
    </row>
    <row r="11" spans="1:7" x14ac:dyDescent="0.2">
      <c r="A11" s="870" t="s">
        <v>481</v>
      </c>
      <c r="B11" s="871" t="s">
        <v>1988</v>
      </c>
      <c r="C11" s="872"/>
      <c r="D11" s="870" t="s">
        <v>522</v>
      </c>
      <c r="E11" s="869"/>
      <c r="F11" s="1935">
        <f>'Expenditures 15-22'!K210</f>
        <v>800373</v>
      </c>
      <c r="G11" s="873"/>
    </row>
    <row r="12" spans="1:7" x14ac:dyDescent="0.2">
      <c r="A12" s="870" t="s">
        <v>482</v>
      </c>
      <c r="B12" s="871" t="s">
        <v>1989</v>
      </c>
      <c r="C12" s="872"/>
      <c r="D12" s="870" t="s">
        <v>522</v>
      </c>
      <c r="E12" s="869"/>
      <c r="F12" s="1935">
        <f>'Expenditures 15-22'!K295</f>
        <v>519112</v>
      </c>
      <c r="G12" s="873"/>
    </row>
    <row r="13" spans="1:7" x14ac:dyDescent="0.2">
      <c r="A13" s="870" t="s">
        <v>108</v>
      </c>
      <c r="B13" s="871" t="s">
        <v>1990</v>
      </c>
      <c r="C13" s="872"/>
      <c r="D13" s="870" t="s">
        <v>522</v>
      </c>
      <c r="E13" s="869"/>
      <c r="F13" s="1935">
        <f>'Expenditures 15-22'!K342</f>
        <v>115988</v>
      </c>
      <c r="G13" s="874"/>
    </row>
    <row r="14" spans="1:7" ht="12" customHeight="1" thickBot="1" x14ac:dyDescent="0.25">
      <c r="A14" s="1792"/>
      <c r="B14" s="1793"/>
      <c r="C14" s="1794"/>
      <c r="D14" s="1795" t="s">
        <v>522</v>
      </c>
      <c r="E14" s="1796" t="s">
        <v>1015</v>
      </c>
      <c r="F14" s="1797">
        <f>SUM(F8:F13)</f>
        <v>19682459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275709</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4230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334906</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7772</v>
      </c>
      <c r="G52" s="866"/>
    </row>
    <row r="53" spans="1:7" x14ac:dyDescent="0.2">
      <c r="A53" s="870" t="s">
        <v>479</v>
      </c>
      <c r="B53" s="870" t="s">
        <v>1551</v>
      </c>
      <c r="C53" s="890">
        <f>'Expenditures 15-22'!B102</f>
        <v>4000</v>
      </c>
      <c r="D53" s="889" t="str">
        <f>'Expenditures 15-22'!A102</f>
        <v>Total Payments to Other Govt Units</v>
      </c>
      <c r="E53" s="869"/>
      <c r="F53" s="1939">
        <f>'Expenditures 15-22'!K102</f>
        <v>833834</v>
      </c>
      <c r="G53" s="866"/>
    </row>
    <row r="54" spans="1:7" x14ac:dyDescent="0.2">
      <c r="A54" s="870" t="s">
        <v>479</v>
      </c>
      <c r="B54" s="870" t="s">
        <v>1552</v>
      </c>
      <c r="C54" s="890" t="s">
        <v>1039</v>
      </c>
      <c r="D54" s="886" t="s">
        <v>1157</v>
      </c>
      <c r="E54" s="869"/>
      <c r="F54" s="1939">
        <f>'Expenditures 15-22'!G114</f>
        <v>134621</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0</v>
      </c>
      <c r="G57" s="866"/>
    </row>
    <row r="58" spans="1:7" x14ac:dyDescent="0.2">
      <c r="A58" s="870" t="s">
        <v>480</v>
      </c>
      <c r="B58" s="870" t="s">
        <v>1992</v>
      </c>
      <c r="C58" s="887" t="s">
        <v>1039</v>
      </c>
      <c r="D58" s="886" t="s">
        <v>1157</v>
      </c>
      <c r="E58" s="869"/>
      <c r="F58" s="1941">
        <f>'Expenditures 15-22'!G151</f>
        <v>539473</v>
      </c>
      <c r="G58" s="866"/>
    </row>
    <row r="59" spans="1:7" x14ac:dyDescent="0.2">
      <c r="A59" s="894" t="s">
        <v>480</v>
      </c>
      <c r="B59" s="857" t="s">
        <v>1993</v>
      </c>
      <c r="C59" s="895" t="s">
        <v>1039</v>
      </c>
      <c r="D59" s="857" t="s">
        <v>309</v>
      </c>
      <c r="F59" s="1942">
        <f>'Expenditures 15-22'!I151</f>
        <v>0</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551537</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77706</v>
      </c>
      <c r="G65" s="866"/>
    </row>
    <row r="66" spans="1:8" x14ac:dyDescent="0.2">
      <c r="A66" s="870" t="s">
        <v>481</v>
      </c>
      <c r="B66" s="870" t="s">
        <v>2000</v>
      </c>
      <c r="C66" s="887" t="s">
        <v>1039</v>
      </c>
      <c r="D66" s="886" t="s">
        <v>309</v>
      </c>
      <c r="E66" s="869"/>
      <c r="F66" s="1939">
        <f>'Expenditures 15-22'!I210</f>
        <v>0</v>
      </c>
      <c r="G66" s="866"/>
    </row>
    <row r="67" spans="1:8" x14ac:dyDescent="0.2">
      <c r="A67" s="870" t="s">
        <v>482</v>
      </c>
      <c r="B67" s="870" t="s">
        <v>2001</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11820</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360</v>
      </c>
      <c r="G71" s="866"/>
    </row>
    <row r="72" spans="1:8" x14ac:dyDescent="0.2">
      <c r="A72" s="870" t="s">
        <v>482</v>
      </c>
      <c r="B72" s="870" t="s">
        <v>2005</v>
      </c>
      <c r="C72" s="887">
        <f>'Expenditures 15-22'!B280</f>
        <v>3000</v>
      </c>
      <c r="D72" s="877" t="s">
        <v>469</v>
      </c>
      <c r="E72" s="869"/>
      <c r="F72" s="1939">
        <f>'Expenditures 15-22'!K280</f>
        <v>1416</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2773384</v>
      </c>
      <c r="G76" s="866"/>
    </row>
    <row r="77" spans="1:8" s="894" customFormat="1" ht="12" customHeight="1" thickTop="1" thickBot="1" x14ac:dyDescent="0.25">
      <c r="A77" s="1801"/>
      <c r="B77" s="1798"/>
      <c r="C77" s="1794"/>
      <c r="D77" s="1799" t="s">
        <v>2009</v>
      </c>
      <c r="E77" s="1796"/>
      <c r="F77" s="1802">
        <f>(F14-F76)</f>
        <v>16909075</v>
      </c>
      <c r="G77" s="870"/>
    </row>
    <row r="78" spans="1:8" s="894" customFormat="1" ht="12" customHeight="1" thickTop="1" x14ac:dyDescent="0.2">
      <c r="A78" s="1803"/>
      <c r="B78" s="1798"/>
      <c r="C78" s="1794"/>
      <c r="D78" s="1799" t="s">
        <v>2056</v>
      </c>
      <c r="E78" s="1796"/>
      <c r="F78" s="899">
        <v>1206</v>
      </c>
      <c r="G78" s="900"/>
      <c r="H78" s="870"/>
    </row>
    <row r="79" spans="1:8" s="894" customFormat="1" ht="12" customHeight="1" thickBot="1" x14ac:dyDescent="0.25">
      <c r="A79" s="1804"/>
      <c r="B79" s="1798"/>
      <c r="C79" s="1794"/>
      <c r="D79" s="1799" t="s">
        <v>2010</v>
      </c>
      <c r="E79" s="1796" t="s">
        <v>1015</v>
      </c>
      <c r="F79" s="1805">
        <f>IF(F78&gt;0,F77/F78," Complete Line 78")</f>
        <v>14020.791873963515</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106033</v>
      </c>
      <c r="G94" s="913"/>
    </row>
    <row r="95" spans="1:7" x14ac:dyDescent="0.2">
      <c r="A95" s="909" t="s">
        <v>142</v>
      </c>
      <c r="B95" s="909" t="s">
        <v>177</v>
      </c>
      <c r="C95" s="911">
        <v>1700</v>
      </c>
      <c r="D95" s="919" t="str">
        <f>'Revenues 9-14'!A82</f>
        <v>Total District/School Activity Income</v>
      </c>
      <c r="E95" s="907"/>
      <c r="F95" s="1811">
        <f>SUM('Revenues 9-14'!C82,'Revenues 9-14'!D82)</f>
        <v>14569</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85158</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20014</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394993</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1246</v>
      </c>
      <c r="G106" s="913"/>
    </row>
    <row r="107" spans="1:7" x14ac:dyDescent="0.2">
      <c r="A107" s="922" t="s">
        <v>685</v>
      </c>
      <c r="B107" s="909" t="s">
        <v>843</v>
      </c>
      <c r="C107" s="921">
        <v>3300</v>
      </c>
      <c r="D107" s="912" t="str">
        <f>'Revenues 9-14'!A144</f>
        <v>Total Bilingual Ed</v>
      </c>
      <c r="E107" s="907"/>
      <c r="F107" s="1811">
        <f>SUM('Revenues 9-14'!C144,'Revenues 9-14'!G144)</f>
        <v>106093</v>
      </c>
      <c r="G107" s="913"/>
    </row>
    <row r="108" spans="1:7" x14ac:dyDescent="0.2">
      <c r="A108" s="909" t="s">
        <v>479</v>
      </c>
      <c r="B108" s="909" t="s">
        <v>844</v>
      </c>
      <c r="C108" s="921">
        <f>'Revenues 9-14'!B145</f>
        <v>3360</v>
      </c>
      <c r="D108" s="912" t="str">
        <f>'Revenues 9-14'!A145</f>
        <v>State Free Lunch &amp; Breakfast</v>
      </c>
      <c r="E108" s="907"/>
      <c r="F108" s="1811">
        <f>'Revenues 9-14'!C145</f>
        <v>4281</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408284</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35852</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331837</v>
      </c>
      <c r="G129" s="931"/>
    </row>
    <row r="130" spans="1:7" x14ac:dyDescent="0.2">
      <c r="A130" s="928" t="s">
        <v>689</v>
      </c>
      <c r="B130" s="928" t="s">
        <v>804</v>
      </c>
      <c r="C130" s="933">
        <v>4300</v>
      </c>
      <c r="D130" s="934" t="str">
        <f>'Revenues 9-14'!A211</f>
        <v>Total Title I</v>
      </c>
      <c r="E130" s="907"/>
      <c r="F130" s="1811">
        <f>SUM('Revenues 9-14'!C211,'Revenues 9-14'!D211,'Revenues 9-14'!F211,'Revenues 9-14'!G211)</f>
        <v>207923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2700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181743</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26783</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52003</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28262</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23490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115761</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v>422820</v>
      </c>
      <c r="G175" s="928"/>
    </row>
    <row r="176" spans="1:7" x14ac:dyDescent="0.2">
      <c r="A176" s="1944" t="s">
        <v>685</v>
      </c>
      <c r="B176" s="1945" t="s">
        <v>2055</v>
      </c>
      <c r="C176" s="1946">
        <v>3300</v>
      </c>
      <c r="D176" s="1947" t="s">
        <v>2059</v>
      </c>
      <c r="E176" s="907"/>
      <c r="F176" s="1931">
        <v>109278</v>
      </c>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2679123</v>
      </c>
    </row>
    <row r="179" spans="1:7" ht="12" customHeight="1" x14ac:dyDescent="0.2">
      <c r="A179" s="1792"/>
      <c r="B179" s="1806"/>
      <c r="C179" s="1807"/>
      <c r="D179" s="1808" t="s">
        <v>2012</v>
      </c>
      <c r="E179" s="1809"/>
      <c r="F179" s="1811">
        <f>'PCTC-OEPP 27-28'!F77-F178</f>
        <v>14229952</v>
      </c>
    </row>
    <row r="180" spans="1:7" ht="12" customHeight="1" x14ac:dyDescent="0.2">
      <c r="A180" s="1792"/>
      <c r="B180" s="1806"/>
      <c r="C180" s="1807"/>
      <c r="D180" s="1808" t="s">
        <v>1921</v>
      </c>
      <c r="E180" s="1809"/>
      <c r="F180" s="1811">
        <f>'Cap Outlay Deprec 26'!I18</f>
        <v>806410</v>
      </c>
    </row>
    <row r="181" spans="1:7" ht="12" customHeight="1" x14ac:dyDescent="0.2">
      <c r="A181" s="1792"/>
      <c r="B181" s="1806"/>
      <c r="C181" s="1807"/>
      <c r="D181" s="1808" t="s">
        <v>2013</v>
      </c>
      <c r="E181" s="1809"/>
      <c r="F181" s="1811">
        <f>F179+F180</f>
        <v>15036362</v>
      </c>
    </row>
    <row r="182" spans="1:7" ht="12" customHeight="1" x14ac:dyDescent="0.2">
      <c r="A182" s="1792"/>
      <c r="B182" s="1812"/>
      <c r="C182" s="1807"/>
      <c r="D182" s="1808" t="str">
        <f>D78</f>
        <v>9 Month ADA from District Average Daily Attendance/Prior General State Aid Inquiry 2017-2018</v>
      </c>
      <c r="E182" s="1809"/>
      <c r="F182" s="1813">
        <f>'PCTC-OEPP 27-28'!F78</f>
        <v>1206</v>
      </c>
      <c r="G182" s="931"/>
    </row>
    <row r="183" spans="1:7" ht="12" customHeight="1" thickBot="1" x14ac:dyDescent="0.25">
      <c r="A183" s="1792"/>
      <c r="B183" s="1812"/>
      <c r="C183" s="1807"/>
      <c r="D183" s="1808" t="s">
        <v>2014</v>
      </c>
      <c r="E183" s="1809" t="s">
        <v>1626</v>
      </c>
      <c r="F183" s="1814">
        <f>F181/F182</f>
        <v>12467.961857379767</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1922</v>
      </c>
      <c r="B4" s="2289"/>
      <c r="C4" s="2289"/>
      <c r="D4" s="2289"/>
      <c r="E4" s="2289"/>
      <c r="F4" s="2289"/>
      <c r="G4" s="2290"/>
    </row>
    <row r="5" spans="1:7" x14ac:dyDescent="0.25">
      <c r="A5" s="2291"/>
      <c r="B5" s="2292"/>
      <c r="C5" s="2292"/>
      <c r="D5" s="2292"/>
      <c r="E5" s="2292"/>
      <c r="F5" s="2292"/>
      <c r="G5" s="2293"/>
    </row>
    <row r="6" spans="1:7" ht="18.75" x14ac:dyDescent="0.25">
      <c r="A6" s="1556" t="s">
        <v>1923</v>
      </c>
      <c r="B6" s="1557"/>
      <c r="C6" s="1557"/>
      <c r="D6" s="1557"/>
      <c r="E6" s="1557"/>
      <c r="F6" s="1557"/>
      <c r="G6" s="1558"/>
    </row>
    <row r="7" spans="1:7" ht="30.75" customHeight="1" x14ac:dyDescent="0.25">
      <c r="A7" s="2294" t="s">
        <v>2072</v>
      </c>
      <c r="B7" s="2295"/>
      <c r="C7" s="2295"/>
      <c r="D7" s="2295"/>
      <c r="E7" s="2295"/>
      <c r="F7" s="2295"/>
      <c r="G7" s="2296"/>
    </row>
    <row r="8" spans="1:7" ht="15.75" customHeight="1" x14ac:dyDescent="0.25">
      <c r="A8" s="2297" t="s">
        <v>2021</v>
      </c>
      <c r="B8" s="2298"/>
      <c r="C8" s="2298"/>
      <c r="D8" s="2298"/>
      <c r="E8" s="2298"/>
      <c r="F8" s="2298"/>
      <c r="G8" s="2299"/>
    </row>
    <row r="9" spans="1:7" ht="35.25" customHeight="1" x14ac:dyDescent="0.25">
      <c r="A9" s="2294" t="s">
        <v>2020</v>
      </c>
      <c r="B9" s="2295"/>
      <c r="C9" s="2295"/>
      <c r="D9" s="2295"/>
      <c r="E9" s="2295"/>
      <c r="F9" s="2295"/>
      <c r="G9" s="2296"/>
    </row>
    <row r="10" spans="1:7" ht="15" customHeight="1" x14ac:dyDescent="0.25">
      <c r="A10" s="1559" t="s">
        <v>1924</v>
      </c>
      <c r="B10" s="1560"/>
      <c r="C10" s="1560"/>
      <c r="D10" s="1560"/>
      <c r="E10" s="1560"/>
      <c r="F10" s="1560"/>
      <c r="G10" s="1561"/>
    </row>
    <row r="11" spans="1:7" ht="17.25" customHeight="1" x14ac:dyDescent="0.25">
      <c r="A11" s="2294" t="s">
        <v>1938</v>
      </c>
      <c r="B11" s="2295"/>
      <c r="C11" s="2295"/>
      <c r="D11" s="2295"/>
      <c r="E11" s="2295"/>
      <c r="F11" s="2295"/>
      <c r="G11" s="2296"/>
    </row>
    <row r="12" spans="1:7" ht="15" customHeight="1" x14ac:dyDescent="0.25">
      <c r="A12" s="1559" t="s">
        <v>1929</v>
      </c>
      <c r="B12" s="1560"/>
      <c r="C12" s="1560"/>
      <c r="D12" s="1560"/>
      <c r="E12" s="1560"/>
      <c r="F12" s="1560"/>
      <c r="G12" s="1561"/>
    </row>
    <row r="13" spans="1:7" ht="32.25" customHeight="1" x14ac:dyDescent="0.25">
      <c r="A13" s="2285" t="s">
        <v>1930</v>
      </c>
      <c r="B13" s="2286"/>
      <c r="C13" s="2286"/>
      <c r="D13" s="2286"/>
      <c r="E13" s="2286"/>
      <c r="F13" s="2286"/>
      <c r="G13" s="2287"/>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2152</v>
      </c>
      <c r="B17" s="1958" t="s">
        <v>2153</v>
      </c>
      <c r="C17" s="1959" t="s">
        <v>2154</v>
      </c>
      <c r="D17" s="1867">
        <v>48000</v>
      </c>
      <c r="E17" s="1562">
        <f t="shared" ref="E17:E141" si="1">IF(D17&lt;=25000,D17,IF(D17&gt;25000,25000,0))</f>
        <v>25000</v>
      </c>
      <c r="F17" s="1815">
        <f t="shared" si="0"/>
        <v>25000</v>
      </c>
      <c r="G17" s="1816">
        <f>IF(F17=0,0,D17-F17)</f>
        <v>23000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hidden="1" x14ac:dyDescent="0.25">
      <c r="A31" s="1675"/>
      <c r="B31" s="1869"/>
      <c r="C31" s="1676"/>
      <c r="D31" s="1867"/>
      <c r="E31" s="1562">
        <f t="shared" si="2"/>
        <v>0</v>
      </c>
      <c r="F31" s="1815">
        <f t="shared" si="3"/>
        <v>0</v>
      </c>
      <c r="G31" s="1816">
        <f t="shared" si="4"/>
        <v>0</v>
      </c>
    </row>
    <row r="32" spans="1:8" hidden="1" x14ac:dyDescent="0.25">
      <c r="A32" s="1675"/>
      <c r="B32" s="1869"/>
      <c r="C32" s="1676"/>
      <c r="D32" s="1867"/>
      <c r="E32" s="1562">
        <f t="shared" si="2"/>
        <v>0</v>
      </c>
      <c r="F32" s="1815">
        <f t="shared" si="3"/>
        <v>0</v>
      </c>
      <c r="G32" s="1816">
        <f t="shared" si="4"/>
        <v>0</v>
      </c>
    </row>
    <row r="33" spans="1:7" hidden="1" x14ac:dyDescent="0.25">
      <c r="A33" s="1675"/>
      <c r="B33" s="1869"/>
      <c r="C33" s="1676"/>
      <c r="D33" s="1867"/>
      <c r="E33" s="1562">
        <f t="shared" si="2"/>
        <v>0</v>
      </c>
      <c r="F33" s="1815">
        <f t="shared" si="3"/>
        <v>0</v>
      </c>
      <c r="G33" s="1816">
        <f t="shared" si="4"/>
        <v>0</v>
      </c>
    </row>
    <row r="34" spans="1:7" hidden="1" x14ac:dyDescent="0.25">
      <c r="A34" s="1675"/>
      <c r="B34" s="1869"/>
      <c r="C34" s="1676"/>
      <c r="D34" s="1867"/>
      <c r="E34" s="1562">
        <f t="shared" si="2"/>
        <v>0</v>
      </c>
      <c r="F34" s="1815">
        <f t="shared" si="3"/>
        <v>0</v>
      </c>
      <c r="G34" s="1816">
        <f t="shared" si="4"/>
        <v>0</v>
      </c>
    </row>
    <row r="35" spans="1:7" hidden="1" x14ac:dyDescent="0.25">
      <c r="A35" s="1675"/>
      <c r="B35" s="1869"/>
      <c r="C35" s="1676"/>
      <c r="D35" s="1867"/>
      <c r="E35" s="1562">
        <f t="shared" si="2"/>
        <v>0</v>
      </c>
      <c r="F35" s="1815">
        <f t="shared" si="3"/>
        <v>0</v>
      </c>
      <c r="G35" s="1816">
        <f t="shared" si="4"/>
        <v>0</v>
      </c>
    </row>
    <row r="36" spans="1:7" hidden="1" x14ac:dyDescent="0.25">
      <c r="A36" s="1675"/>
      <c r="B36" s="1869"/>
      <c r="C36" s="1676"/>
      <c r="D36" s="1867"/>
      <c r="E36" s="1562">
        <f t="shared" si="2"/>
        <v>0</v>
      </c>
      <c r="F36" s="1815">
        <f t="shared" si="3"/>
        <v>0</v>
      </c>
      <c r="G36" s="1816">
        <f t="shared" si="4"/>
        <v>0</v>
      </c>
    </row>
    <row r="37" spans="1:7" hidden="1" x14ac:dyDescent="0.25">
      <c r="A37" s="1675"/>
      <c r="B37" s="1869"/>
      <c r="C37" s="1676"/>
      <c r="D37" s="1867"/>
      <c r="E37" s="1562">
        <f t="shared" si="2"/>
        <v>0</v>
      </c>
      <c r="F37" s="1815">
        <f t="shared" si="3"/>
        <v>0</v>
      </c>
      <c r="G37" s="1816">
        <f t="shared" si="4"/>
        <v>0</v>
      </c>
    </row>
    <row r="38" spans="1:7" hidden="1" x14ac:dyDescent="0.25">
      <c r="A38" s="1675"/>
      <c r="B38" s="1689"/>
      <c r="C38" s="1676"/>
      <c r="D38" s="1867"/>
      <c r="E38" s="1562">
        <f t="shared" si="2"/>
        <v>0</v>
      </c>
      <c r="F38" s="1815">
        <f t="shared" si="3"/>
        <v>0</v>
      </c>
      <c r="G38" s="1816">
        <f t="shared" si="4"/>
        <v>0</v>
      </c>
    </row>
    <row r="39" spans="1:7" hidden="1" x14ac:dyDescent="0.25">
      <c r="A39" s="1675"/>
      <c r="B39" s="1689"/>
      <c r="C39" s="1676"/>
      <c r="D39" s="1867"/>
      <c r="E39" s="1562">
        <f t="shared" si="2"/>
        <v>0</v>
      </c>
      <c r="F39" s="1815">
        <f t="shared" si="3"/>
        <v>0</v>
      </c>
      <c r="G39" s="1816">
        <f t="shared" si="4"/>
        <v>0</v>
      </c>
    </row>
    <row r="40" spans="1:7" hidden="1" x14ac:dyDescent="0.25">
      <c r="A40" s="1675"/>
      <c r="B40" s="1689"/>
      <c r="C40" s="1676"/>
      <c r="D40" s="1867"/>
      <c r="E40" s="1562">
        <f t="shared" si="2"/>
        <v>0</v>
      </c>
      <c r="F40" s="1815">
        <f t="shared" si="3"/>
        <v>0</v>
      </c>
      <c r="G40" s="1816">
        <f t="shared" si="4"/>
        <v>0</v>
      </c>
    </row>
    <row r="41" spans="1:7" hidden="1" x14ac:dyDescent="0.25">
      <c r="A41" s="1675"/>
      <c r="B41" s="1689"/>
      <c r="C41" s="1676"/>
      <c r="D41" s="1867"/>
      <c r="E41" s="1562">
        <f t="shared" si="2"/>
        <v>0</v>
      </c>
      <c r="F41" s="1815">
        <f t="shared" si="3"/>
        <v>0</v>
      </c>
      <c r="G41" s="1816">
        <f t="shared" si="4"/>
        <v>0</v>
      </c>
    </row>
    <row r="42" spans="1:7" hidden="1" x14ac:dyDescent="0.25">
      <c r="A42" s="1675"/>
      <c r="B42" s="1689"/>
      <c r="C42" s="1676"/>
      <c r="D42" s="1867"/>
      <c r="E42" s="1562">
        <f t="shared" si="2"/>
        <v>0</v>
      </c>
      <c r="F42" s="1815">
        <f t="shared" si="3"/>
        <v>0</v>
      </c>
      <c r="G42" s="1816">
        <f t="shared" si="4"/>
        <v>0</v>
      </c>
    </row>
    <row r="43" spans="1:7" hidden="1" x14ac:dyDescent="0.25">
      <c r="A43" s="1675"/>
      <c r="B43" s="1689"/>
      <c r="C43" s="1676"/>
      <c r="D43" s="1867"/>
      <c r="E43" s="1562">
        <f t="shared" si="2"/>
        <v>0</v>
      </c>
      <c r="F43" s="1815">
        <f t="shared" si="3"/>
        <v>0</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48000</v>
      </c>
      <c r="E141" s="1563">
        <f t="shared" si="1"/>
        <v>25000</v>
      </c>
      <c r="F141" s="1817">
        <f>SUM(F17:F140)</f>
        <v>25000</v>
      </c>
      <c r="G141" s="1818">
        <f>SUM(G17:G140)</f>
        <v>23000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F9" sqref="F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331838</v>
      </c>
      <c r="F10" s="975"/>
      <c r="G10" s="976"/>
      <c r="H10" s="162"/>
      <c r="I10" s="162"/>
    </row>
    <row r="11" spans="1:9" s="669" customFormat="1" ht="22.5" customHeight="1" x14ac:dyDescent="0.2">
      <c r="A11" s="2305" t="s">
        <v>1942</v>
      </c>
      <c r="B11" s="2306"/>
      <c r="C11" s="2306"/>
      <c r="D11" s="2307"/>
      <c r="E11" s="978">
        <v>40267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10620543</v>
      </c>
      <c r="F19" s="1822"/>
      <c r="G19" s="1824">
        <f>'Expenditures 15-22'!K33-SUM('Expenditures 15-22'!G33,'Expenditures 15-22'!I33)+'Expenditures 15-22'!D229</f>
        <v>10620543</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694081</v>
      </c>
      <c r="F21" s="1825"/>
      <c r="G21" s="1828">
        <f>'Expenditures 15-22'!K42-SUM('Expenditures 15-22'!G42,'Expenditures 15-22'!I42)+'Expenditures 15-22'!K120-SUM('Expenditures 15-22'!G120,'Expenditures 15-22'!I120)+'Expenditures 15-22'!K180-SUM('Expenditures 15-22'!G180,'Expenditures 15-22'!I180)+'Expenditures 15-22'!D238</f>
        <v>694081</v>
      </c>
      <c r="H21" s="988"/>
      <c r="I21" s="162"/>
    </row>
    <row r="22" spans="1:9" s="669" customFormat="1" ht="12" customHeight="1" x14ac:dyDescent="0.2">
      <c r="A22" s="995" t="s">
        <v>585</v>
      </c>
      <c r="B22" s="996"/>
      <c r="C22" s="994">
        <v>2200</v>
      </c>
      <c r="D22" s="1825"/>
      <c r="E22" s="1827">
        <f>'Expenditures 15-22'!K47-SUM('Expenditures 15-22'!G47,'Expenditures 15-22'!I47)+'Expenditures 15-22'!D243</f>
        <v>547812</v>
      </c>
      <c r="F22" s="1825"/>
      <c r="G22" s="1828">
        <f>'Expenditures 15-22'!K47-SUM('Expenditures 15-22'!G47,'Expenditures 15-22'!I47)+'Expenditures 15-22'!D243</f>
        <v>547812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586956</v>
      </c>
      <c r="F23" s="1825"/>
      <c r="G23" s="1827">
        <f>'Expenditures 15-22'!K53-SUM('Expenditures 15-22'!G53,'Expenditures 15-22'!I53)+'Expenditures 15-22'!D257+'Expenditures 15-22'!K330-SUM('Expenditures 15-22'!G330,'Expenditures 15-22'!I330)</f>
        <v>586956</v>
      </c>
      <c r="H23" s="988"/>
      <c r="I23" s="162"/>
    </row>
    <row r="24" spans="1:9" s="669" customFormat="1" ht="12" customHeight="1" x14ac:dyDescent="0.2">
      <c r="A24" s="995" t="s">
        <v>587</v>
      </c>
      <c r="B24" s="996"/>
      <c r="C24" s="994">
        <v>2400</v>
      </c>
      <c r="D24" s="1825"/>
      <c r="E24" s="1827">
        <f>'Expenditures 15-22'!K57-SUM('Expenditures 15-22'!G57,'Expenditures 15-22'!I57)+'Expenditures 15-22'!D261</f>
        <v>1123726</v>
      </c>
      <c r="F24" s="1825"/>
      <c r="G24" s="1828">
        <f>'Expenditures 15-22'!K57-SUM('Expenditures 15-22'!G57,'Expenditures 15-22'!I57)+'Expenditures 15-22'!D261</f>
        <v>1123726</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247762</v>
      </c>
      <c r="E27" s="1827">
        <f>E8</f>
        <v>0</v>
      </c>
      <c r="F27" s="1827">
        <f>'Expenditures 15-22'!K60-SUM('Expenditures 15-22'!G60,'Expenditures 15-22'!I60)+'Expenditures 15-22'!D264-E8</f>
        <v>247762</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2039818</v>
      </c>
      <c r="F28" s="1829">
        <f>'Expenditures 15-22'!K61-SUM('Expenditures 15-22'!G61,'Expenditures 15-22'!I61)+'Expenditures 15-22'!K124-SUM('Expenditures 15-22'!G124,'Expenditures 15-22'!I124)+'Expenditures 15-22'!D266-E9</f>
        <v>2039818</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776727</v>
      </c>
      <c r="F29" s="1825"/>
      <c r="G29" s="1828">
        <f>'Expenditures 15-22'!K62-SUM('Expenditures 15-22'!G62,'Expenditures 15-22'!I62)+'Expenditures 15-22'!K125-SUM('Expenditures 15-22'!G125,'Expenditures 15-22'!I125)+'Expenditures 15-22'!K182-SUM('Expenditures 15-22'!G182,'Expenditures 15-22'!I182)+'Expenditures 15-22'!D267</f>
        <v>776727</v>
      </c>
      <c r="H29" s="986"/>
    </row>
    <row r="30" spans="1:9" ht="12" customHeight="1" x14ac:dyDescent="0.2">
      <c r="A30" s="995" t="s">
        <v>102</v>
      </c>
      <c r="B30" s="998"/>
      <c r="C30" s="994">
        <v>2560</v>
      </c>
      <c r="D30" s="1825"/>
      <c r="E30" s="1827">
        <f>'Expenditures 15-22'!K63-SUM('Expenditures 15-22'!G63,'Expenditures 15-22'!I63)+'Expenditures 15-22'!D268-E10</f>
        <v>105104</v>
      </c>
      <c r="F30" s="1825"/>
      <c r="G30" s="1827">
        <f>'Expenditures 15-22'!K63-SUM('Expenditures 15-22'!G63,'Expenditures 15-22'!I63)+'Expenditures 15-22'!D268-E10</f>
        <v>105104</v>
      </c>
    </row>
    <row r="31" spans="1:9" ht="12" customHeight="1" x14ac:dyDescent="0.2">
      <c r="A31" s="995" t="s">
        <v>103</v>
      </c>
      <c r="B31" s="998"/>
      <c r="C31" s="994">
        <v>2570</v>
      </c>
      <c r="D31" s="1827">
        <f>'Expenditures 15-22'!K64-SUM('Expenditures 15-22'!G64,'Expenditures 15-22'!I64)+'Expenditures 15-22'!D269-E12</f>
        <v>6819</v>
      </c>
      <c r="E31" s="1827">
        <f>E12</f>
        <v>0</v>
      </c>
      <c r="F31" s="1827">
        <f>'Expenditures 15-22'!K64-SUM('Expenditures 15-22'!G64,'Expenditures 15-22'!I64)+'Expenditures 15-22'!D269-E12</f>
        <v>6819</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38988</v>
      </c>
      <c r="F34" s="1825"/>
      <c r="G34" s="1827">
        <f>'Expenditures 15-22'!K68-SUM('Expenditures 15-22'!G68,'Expenditures 15-22'!I68)+'Expenditures 15-22'!D273</f>
        <v>38988</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9188</v>
      </c>
      <c r="F39" s="1825"/>
      <c r="G39" s="1827">
        <f>'Expenditures 15-22'!K75-SUM('Expenditures 15-22'!G75,'Expenditures 15-22'!I75)+'Expenditures 15-22'!K130-SUM('Expenditures 15-22'!G130,'Expenditures 15-22'!I130)+'Expenditures 15-22'!K185-SUM('Expenditures 15-22'!G185,'Expenditures 15-22'!I185)+'Expenditures 15-22'!D280</f>
        <v>9188</v>
      </c>
    </row>
    <row r="40" spans="1:7" ht="12" customHeight="1" x14ac:dyDescent="0.2">
      <c r="A40" s="991" t="s">
        <v>1927</v>
      </c>
      <c r="B40" s="992"/>
      <c r="C40" s="994"/>
      <c r="D40" s="1825"/>
      <c r="E40" s="1829">
        <f>-'Contracts Paid in CY 29'!G141</f>
        <v>-23000</v>
      </c>
      <c r="F40" s="1825"/>
      <c r="G40" s="1829">
        <f>-'Contracts Paid in CY 29'!G141</f>
        <v>-23000</v>
      </c>
    </row>
    <row r="41" spans="1:7" ht="12" customHeight="1" x14ac:dyDescent="0.2">
      <c r="A41" s="999" t="s">
        <v>158</v>
      </c>
      <c r="B41" s="1000"/>
      <c r="C41" s="1001"/>
      <c r="D41" s="1829">
        <f>SUM(D19:D39)</f>
        <v>254581</v>
      </c>
      <c r="E41" s="1829">
        <f>SUM(E19:E40)</f>
        <v>16519943</v>
      </c>
      <c r="F41" s="1829">
        <f>SUM(F19:F39)</f>
        <v>2294399</v>
      </c>
      <c r="G41" s="1829">
        <f>SUM(G19:G40)</f>
        <v>14480125</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254581</v>
      </c>
      <c r="F43" s="1830" t="s">
        <v>495</v>
      </c>
      <c r="G43" s="1831">
        <f>F41</f>
        <v>2294399</v>
      </c>
    </row>
    <row r="44" spans="1:7" ht="12" customHeight="1" x14ac:dyDescent="0.2">
      <c r="A44" s="988"/>
      <c r="B44" s="162"/>
      <c r="C44" s="1002"/>
      <c r="D44" s="1830" t="s">
        <v>494</v>
      </c>
      <c r="E44" s="1831">
        <f>E41</f>
        <v>16519943</v>
      </c>
      <c r="F44" s="1830" t="s">
        <v>494</v>
      </c>
      <c r="G44" s="1831">
        <f>G41</f>
        <v>14480125</v>
      </c>
    </row>
    <row r="45" spans="1:7" ht="12" customHeight="1" x14ac:dyDescent="0.2">
      <c r="A45" s="988"/>
      <c r="B45" s="162"/>
      <c r="C45" s="162"/>
      <c r="D45" s="1832" t="s">
        <v>1063</v>
      </c>
      <c r="E45" s="1833">
        <f>(E43/E44)</f>
        <v>1.5410525326873101E-2</v>
      </c>
      <c r="F45" s="1832" t="s">
        <v>1063</v>
      </c>
      <c r="G45" s="1833">
        <f>(G43/G44)</f>
        <v>0.15845160176448753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2045</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Franklin Park SD 84</v>
      </c>
      <c r="D6" s="2315"/>
      <c r="E6" s="2315"/>
      <c r="F6" s="1877"/>
    </row>
    <row r="7" spans="1:10" ht="11.25" customHeight="1" thickBot="1" x14ac:dyDescent="0.3">
      <c r="A7" s="1875"/>
      <c r="B7" s="1876"/>
      <c r="C7" s="2316">
        <f>COVER!A13</f>
        <v>6016084002</v>
      </c>
      <c r="D7" s="2316"/>
      <c r="E7" s="2316"/>
      <c r="F7" s="1877"/>
    </row>
    <row r="8" spans="1:10" ht="25.5" customHeight="1" thickBot="1" x14ac:dyDescent="0.25">
      <c r="A8" s="1918" t="s">
        <v>2022</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2074</v>
      </c>
      <c r="D19" s="1890" t="s">
        <v>2074</v>
      </c>
      <c r="E19" s="1893"/>
      <c r="F19" s="1892" t="s">
        <v>2095</v>
      </c>
      <c r="H19" s="1903">
        <f t="shared" si="0"/>
        <v>5</v>
      </c>
      <c r="I19" s="1903">
        <f t="shared" si="1"/>
        <v>5</v>
      </c>
      <c r="J19" s="1903">
        <f t="shared" si="2"/>
        <v>0</v>
      </c>
    </row>
    <row r="20" spans="1:12" ht="12" customHeight="1" x14ac:dyDescent="0.2">
      <c r="A20" s="1888" t="s">
        <v>1609</v>
      </c>
      <c r="B20" s="1889"/>
      <c r="C20" s="1890" t="s">
        <v>2074</v>
      </c>
      <c r="D20" s="1890" t="s">
        <v>2074</v>
      </c>
      <c r="E20" s="1893"/>
      <c r="F20" s="1892" t="s">
        <v>2094</v>
      </c>
      <c r="H20" s="1903">
        <f t="shared" si="0"/>
        <v>5</v>
      </c>
      <c r="I20" s="1903">
        <f t="shared" si="1"/>
        <v>5</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2074</v>
      </c>
      <c r="D26" s="1890" t="s">
        <v>2074</v>
      </c>
      <c r="E26" s="1893"/>
      <c r="F26" s="1892" t="s">
        <v>2093</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0</v>
      </c>
      <c r="K34" s="1903">
        <f>SUM(H34:J34)</f>
        <v>30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 right="0" top="0.68" bottom="0"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5" sqref="H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Franklin Park SD 84</v>
      </c>
      <c r="J6" s="2336"/>
      <c r="Q6" s="1686"/>
    </row>
    <row r="7" spans="1:17" x14ac:dyDescent="0.2">
      <c r="A7" s="2337" t="s">
        <v>924</v>
      </c>
      <c r="B7" s="2338"/>
      <c r="C7" s="2338"/>
      <c r="D7" s="2338"/>
      <c r="E7" s="2339"/>
      <c r="F7" s="1018"/>
      <c r="G7" s="1010"/>
      <c r="H7" s="1017" t="s">
        <v>390</v>
      </c>
      <c r="I7" s="2340">
        <f>COVER!A13</f>
        <v>6016084002</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303726</v>
      </c>
      <c r="F12" s="1040"/>
      <c r="G12" s="1834">
        <f t="shared" ref="G12:G18" si="0">SUM(E12:F12)</f>
        <v>303726</v>
      </c>
      <c r="H12" s="1041">
        <v>343500</v>
      </c>
      <c r="I12" s="1040"/>
      <c r="J12" s="1834">
        <f t="shared" ref="J12:J18" si="1">SUM(H12:I12)</f>
        <v>343500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6819</v>
      </c>
      <c r="F16" s="1040"/>
      <c r="G16" s="1834">
        <f t="shared" si="0"/>
        <v>6819</v>
      </c>
      <c r="H16" s="1041">
        <v>23500</v>
      </c>
      <c r="I16" s="1040"/>
      <c r="J16" s="1834">
        <f t="shared" si="1"/>
        <v>23500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310545</v>
      </c>
      <c r="F19" s="1836">
        <f t="shared" si="2"/>
        <v>0</v>
      </c>
      <c r="G19" s="1836">
        <f t="shared" si="2"/>
        <v>310545</v>
      </c>
      <c r="H19" s="1836">
        <f t="shared" si="2"/>
        <v>367000</v>
      </c>
      <c r="I19" s="1836">
        <f t="shared" si="2"/>
        <v>0</v>
      </c>
      <c r="J19" s="1836">
        <f t="shared" si="2"/>
        <v>367000</v>
      </c>
    </row>
    <row r="20" spans="1:10" ht="13.5" thickTop="1" x14ac:dyDescent="0.2">
      <c r="A20" s="1036">
        <v>9</v>
      </c>
      <c r="B20" s="2347" t="s">
        <v>1703</v>
      </c>
      <c r="C20" s="2347"/>
      <c r="D20" s="2348"/>
      <c r="E20" s="1047"/>
      <c r="F20" s="1047"/>
      <c r="G20" s="1047"/>
      <c r="H20" s="1047"/>
      <c r="I20" s="1047"/>
      <c r="J20" s="1837">
        <f>IF(AND(G19&gt;0,J19&gt;0),(((J19-G19)/G19)),"Enter Budget Data")</f>
        <v>0.1817932988777794</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1941</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Franklin Park SD 84</v>
      </c>
    </row>
    <row r="65" spans="2:2" x14ac:dyDescent="0.2">
      <c r="B65" s="1071">
        <f>COVER!A13</f>
        <v>6016084002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1857375</xdr:colOff>
                <xdr:row>5</xdr:row>
                <xdr:rowOff>9525</xdr:rowOff>
              </from>
              <to>
                <xdr:col>1</xdr:col>
                <xdr:colOff>2724150</xdr:colOff>
                <xdr:row>8</xdr:row>
                <xdr:rowOff>38100</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2053</v>
      </c>
      <c r="B4" s="2375"/>
      <c r="C4" s="2375"/>
      <c r="D4" s="2375"/>
      <c r="E4" s="2375"/>
      <c r="F4" s="2376"/>
      <c r="G4" s="1075"/>
      <c r="H4" s="1075"/>
    </row>
    <row r="5" spans="1:8" ht="14.25" customHeight="1" x14ac:dyDescent="0.2">
      <c r="A5" s="2377" t="s">
        <v>2054</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16488635</v>
      </c>
      <c r="C8" s="1838">
        <f>'Acct Summary 7-8'!D8</f>
        <v>2115378</v>
      </c>
      <c r="D8" s="1838">
        <f>'Acct Summary 7-8'!F8</f>
        <v>1256133</v>
      </c>
      <c r="E8" s="1838">
        <f>'Acct Summary 7-8'!I8</f>
        <v>102882</v>
      </c>
      <c r="F8" s="1838">
        <f>SUM(B8:E8)</f>
        <v>19963028</v>
      </c>
    </row>
    <row r="9" spans="1:8" s="1080" customFormat="1" ht="14.25" customHeight="1" thickBot="1" x14ac:dyDescent="0.25">
      <c r="A9" s="1079" t="s">
        <v>1436</v>
      </c>
      <c r="B9" s="1839">
        <f>'Acct Summary 7-8'!C17</f>
        <v>15199438</v>
      </c>
      <c r="C9" s="1839">
        <f>'Acct Summary 7-8'!D17</f>
        <v>2080085</v>
      </c>
      <c r="D9" s="1839">
        <f>'Acct Summary 7-8'!F17</f>
        <v>800373</v>
      </c>
      <c r="E9" s="1838"/>
      <c r="F9" s="1838">
        <f>SUM(B9:E9)</f>
        <v>18079896</v>
      </c>
    </row>
    <row r="10" spans="1:8" s="1080" customFormat="1" ht="14.25" thickTop="1" thickBot="1" x14ac:dyDescent="0.25">
      <c r="A10" s="1081" t="s">
        <v>1437</v>
      </c>
      <c r="B10" s="1840">
        <f>(B8-B9)</f>
        <v>1289197</v>
      </c>
      <c r="C10" s="1840">
        <f>(C8-C9)</f>
        <v>35293</v>
      </c>
      <c r="D10" s="1840">
        <f>(D8-D9)</f>
        <v>455760</v>
      </c>
      <c r="E10" s="1839">
        <f>(E8-E9)</f>
        <v>102882</v>
      </c>
      <c r="F10" s="1841">
        <f>SUM(F8-F9)</f>
        <v>1883132</v>
      </c>
    </row>
    <row r="11" spans="1:8" s="1080" customFormat="1" ht="14.25" thickTop="1" thickBot="1" x14ac:dyDescent="0.25">
      <c r="A11" s="1082" t="s">
        <v>1785</v>
      </c>
      <c r="B11" s="1842">
        <f>'Acct Summary 7-8'!C81</f>
        <v>14653166</v>
      </c>
      <c r="C11" s="1842">
        <f>'Acct Summary 7-8'!D81</f>
        <v>5399190</v>
      </c>
      <c r="D11" s="1842">
        <f>'Acct Summary 7-8'!F81</f>
        <v>3406827</v>
      </c>
      <c r="E11" s="1842">
        <f>'Acct Summary 7-8'!I81</f>
        <v>1961864</v>
      </c>
      <c r="F11" s="1843">
        <f>SUM(B11:E11)</f>
        <v>25421047</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6016084002</v>
      </c>
    </row>
    <row r="3" spans="1:2" x14ac:dyDescent="0.2">
      <c r="A3" t="s">
        <v>1013</v>
      </c>
      <c r="B3" s="138" t="str">
        <f>COVER!A15</f>
        <v>COOK</v>
      </c>
    </row>
    <row r="4" spans="1:2" x14ac:dyDescent="0.2">
      <c r="A4" t="s">
        <v>1064</v>
      </c>
      <c r="B4" s="138" t="str">
        <f>COVER!A17</f>
        <v>Franklin Park SD 84</v>
      </c>
    </row>
    <row r="5" spans="1:2" x14ac:dyDescent="0.2">
      <c r="A5" t="s">
        <v>728</v>
      </c>
      <c r="B5" s="138" t="str">
        <f>COVER!A38</f>
        <v>DR. DAVID KATZIN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066-003289</v>
      </c>
    </row>
    <row r="16" spans="1:2" x14ac:dyDescent="0.2">
      <c r="A16" t="s">
        <v>442</v>
      </c>
      <c r="B16" s="138" t="str">
        <f>COVER!T13</f>
        <v>EVOY, KAMSCHULTE, JACOBS &amp; CO. LLP</v>
      </c>
    </row>
    <row r="17" spans="1:2" x14ac:dyDescent="0.2">
      <c r="A17" t="s">
        <v>939</v>
      </c>
      <c r="B17" s="138" t="str">
        <f>COVER!T15</f>
        <v>JAMES HENRY, CPA</v>
      </c>
    </row>
    <row r="18" spans="1:2" x14ac:dyDescent="0.2">
      <c r="A18" t="s">
        <v>1212</v>
      </c>
      <c r="B18" s="138" t="str">
        <f>COVER!T17</f>
        <v>2122 YEOMAN STREET</v>
      </c>
    </row>
    <row r="19" spans="1:2" x14ac:dyDescent="0.2">
      <c r="A19" t="s">
        <v>941</v>
      </c>
      <c r="B19" s="138" t="str">
        <f>COVER!T25</f>
        <v>JHENRY@EKJLLP.COM</v>
      </c>
    </row>
    <row r="20" spans="1:2" x14ac:dyDescent="0.2">
      <c r="A20" t="s">
        <v>942</v>
      </c>
      <c r="B20" s="138" t="str">
        <f>COVER!T19</f>
        <v>WAUKEGAN</v>
      </c>
    </row>
    <row r="21" spans="1:2" x14ac:dyDescent="0.2">
      <c r="A21" t="s">
        <v>500</v>
      </c>
      <c r="B21" s="138" t="str">
        <f>COVER!X19</f>
        <v>IL</v>
      </c>
    </row>
    <row r="22" spans="1:2" x14ac:dyDescent="0.2">
      <c r="A22" t="s">
        <v>943</v>
      </c>
      <c r="B22" s="138">
        <f>COVER!Z19</f>
        <v>60087</v>
      </c>
    </row>
    <row r="23" spans="1:2" x14ac:dyDescent="0.2">
      <c r="A23" t="s">
        <v>1214</v>
      </c>
      <c r="B23" s="138">
        <f>COVER!T21</f>
        <v>8476628300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34700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14653166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14653166</v>
      </c>
      <c r="D92" s="2" t="str">
        <f t="shared" si="0"/>
        <v>Error?</v>
      </c>
    </row>
    <row r="93" spans="1:4" x14ac:dyDescent="0.2">
      <c r="A93" s="5">
        <v>32</v>
      </c>
      <c r="B93" s="138">
        <f>'Assets-Liab 5-6'!C41</f>
        <v>14653166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5399190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5399190</v>
      </c>
      <c r="D123" s="2" t="str">
        <f t="shared" si="0"/>
        <v>Error?</v>
      </c>
    </row>
    <row r="124" spans="1:4" x14ac:dyDescent="0.2">
      <c r="A124" s="5">
        <v>63</v>
      </c>
      <c r="B124" s="138">
        <f>'Assets-Liab 5-6'!D41</f>
        <v>5399190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341491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341491</v>
      </c>
      <c r="D140" s="2" t="str">
        <f t="shared" si="1"/>
        <v>Error?</v>
      </c>
    </row>
    <row r="141" spans="1:4" x14ac:dyDescent="0.2">
      <c r="A141" s="5">
        <v>80</v>
      </c>
      <c r="B141" s="138">
        <f>'Assets-Liab 5-6'!E41</f>
        <v>341491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3406827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3406827</v>
      </c>
      <c r="D170" s="2" t="str">
        <f t="shared" si="1"/>
        <v>Error?</v>
      </c>
    </row>
    <row r="171" spans="1:4" x14ac:dyDescent="0.2">
      <c r="A171" s="5">
        <v>110</v>
      </c>
      <c r="B171" s="138">
        <f>'Assets-Liab 5-6'!F41</f>
        <v>3406827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736872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736872</v>
      </c>
      <c r="D189" s="2" t="str">
        <f t="shared" si="1"/>
        <v>Error?</v>
      </c>
    </row>
    <row r="190" spans="1:4" x14ac:dyDescent="0.2">
      <c r="A190" s="5">
        <v>129</v>
      </c>
      <c r="B190" s="138">
        <f>'Assets-Liab 5-6'!G41</f>
        <v>736872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425000</v>
      </c>
      <c r="D273" s="2" t="str">
        <f t="shared" si="3"/>
        <v>Error?</v>
      </c>
    </row>
    <row r="274" spans="1:4" x14ac:dyDescent="0.2">
      <c r="A274" s="5">
        <v>213</v>
      </c>
      <c r="B274" s="138">
        <f>'Assets-Liab 5-6'!M17</f>
        <v>14980457</v>
      </c>
      <c r="D274" s="2" t="str">
        <f t="shared" si="3"/>
        <v>Error?</v>
      </c>
    </row>
    <row r="275" spans="1:4" x14ac:dyDescent="0.2">
      <c r="A275" s="5">
        <v>214</v>
      </c>
      <c r="B275" s="138">
        <f>'Assets-Liab 5-6'!M18</f>
        <v>143781</v>
      </c>
      <c r="D275" s="2" t="str">
        <f t="shared" si="3"/>
        <v>Error?</v>
      </c>
    </row>
    <row r="276" spans="1:4" x14ac:dyDescent="0.2">
      <c r="A276" s="5">
        <v>215</v>
      </c>
      <c r="B276" s="138">
        <f>'Assets-Liab 5-6'!M19</f>
        <v>1122942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16672180</v>
      </c>
      <c r="C279" s="2" t="s">
        <v>594</v>
      </c>
      <c r="D279" s="2" t="str">
        <f t="shared" si="3"/>
        <v>Error?</v>
      </c>
    </row>
    <row r="280" spans="1:4" x14ac:dyDescent="0.2">
      <c r="A280" s="5">
        <v>219</v>
      </c>
      <c r="B280" s="138">
        <f>'Assets-Liab 5-6'!M40</f>
        <v>16672180</v>
      </c>
      <c r="D280" s="2" t="str">
        <f t="shared" si="3"/>
        <v>Error?</v>
      </c>
    </row>
    <row r="281" spans="1:4" x14ac:dyDescent="0.2">
      <c r="A281" s="5">
        <v>220</v>
      </c>
      <c r="B281" s="138">
        <f>'Assets-Liab 5-6'!M41</f>
        <v>16672180</v>
      </c>
      <c r="C281" s="2" t="s">
        <v>594</v>
      </c>
      <c r="D281" s="2" t="str">
        <f t="shared" si="3"/>
        <v>Error?</v>
      </c>
    </row>
    <row r="282" spans="1:4" x14ac:dyDescent="0.2">
      <c r="A282" s="5">
        <v>221</v>
      </c>
      <c r="B282" s="138">
        <f>'Assets-Liab 5-6'!N21</f>
        <v>341491</v>
      </c>
      <c r="D282" s="2" t="str">
        <f t="shared" si="3"/>
        <v>Error?</v>
      </c>
    </row>
    <row r="283" spans="1:4" x14ac:dyDescent="0.2">
      <c r="A283" s="5">
        <v>222</v>
      </c>
      <c r="B283" s="138">
        <f>'Assets-Liab 5-6'!N22</f>
        <v>7419528</v>
      </c>
      <c r="D283" s="2" t="str">
        <f t="shared" si="3"/>
        <v>Error?</v>
      </c>
    </row>
    <row r="284" spans="1:4" x14ac:dyDescent="0.2">
      <c r="A284" s="5">
        <v>223</v>
      </c>
      <c r="B284" s="138">
        <f>'Assets-Liab 5-6'!N23</f>
        <v>7761019</v>
      </c>
      <c r="C284" s="2" t="s">
        <v>594</v>
      </c>
      <c r="D284" s="2" t="str">
        <f t="shared" si="3"/>
        <v>Error?</v>
      </c>
    </row>
    <row r="285" spans="1:4" x14ac:dyDescent="0.2">
      <c r="A285" s="5">
        <v>224</v>
      </c>
      <c r="B285" s="138">
        <f>'Assets-Liab 5-6'!N36</f>
        <v>7761019</v>
      </c>
      <c r="D285" s="2" t="str">
        <f t="shared" si="3"/>
        <v>Error?</v>
      </c>
    </row>
    <row r="286" spans="1:4" x14ac:dyDescent="0.2">
      <c r="A286" s="10">
        <v>225</v>
      </c>
      <c r="D286" s="2" t="str">
        <f t="shared" si="3"/>
        <v>OK</v>
      </c>
    </row>
    <row r="287" spans="1:4" x14ac:dyDescent="0.2">
      <c r="A287" s="5">
        <v>226</v>
      </c>
      <c r="B287" s="138">
        <f>'Assets-Liab 5-6'!N37</f>
        <v>7761019</v>
      </c>
      <c r="C287" s="2" t="s">
        <v>594</v>
      </c>
      <c r="D287" s="2" t="str">
        <f t="shared" si="3"/>
        <v>Error?</v>
      </c>
    </row>
    <row r="288" spans="1:4" x14ac:dyDescent="0.2">
      <c r="A288" s="5">
        <v>227</v>
      </c>
      <c r="B288" s="138">
        <f>'Assets-Liab 5-6'!N41</f>
        <v>7761019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5561066</v>
      </c>
      <c r="D705" s="2" t="str">
        <f t="shared" si="10"/>
        <v>Error?</v>
      </c>
    </row>
    <row r="706" spans="1:4" x14ac:dyDescent="0.2">
      <c r="A706" s="5">
        <v>645</v>
      </c>
      <c r="B706" s="138">
        <f>'Expenditures 15-22'!C16</f>
        <v>92397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354186</v>
      </c>
      <c r="D718" s="2" t="str">
        <f t="shared" si="10"/>
        <v>Error?</v>
      </c>
    </row>
    <row r="719" spans="1:4" x14ac:dyDescent="0.2">
      <c r="A719" s="5">
        <v>658</v>
      </c>
      <c r="B719" s="138">
        <f>'Expenditures 15-22'!C15</f>
        <v>1893</v>
      </c>
      <c r="D719" s="2" t="str">
        <f t="shared" si="10"/>
        <v>Error?</v>
      </c>
    </row>
    <row r="720" spans="1:4" x14ac:dyDescent="0.2">
      <c r="A720" s="5">
        <v>659</v>
      </c>
      <c r="B720" s="138">
        <f>'Expenditures 15-22'!C33</f>
        <v>7426694</v>
      </c>
      <c r="C720" s="2" t="s">
        <v>594</v>
      </c>
      <c r="D720" s="2" t="str">
        <f t="shared" si="10"/>
        <v>Error?</v>
      </c>
    </row>
    <row r="721" spans="1:4" x14ac:dyDescent="0.2">
      <c r="A721" s="5">
        <v>660</v>
      </c>
      <c r="B721" s="138">
        <f>'Expenditures 15-22'!C36</f>
        <v>231244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92751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102658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426653</v>
      </c>
      <c r="C727" s="2" t="s">
        <v>594</v>
      </c>
      <c r="D727" s="2" t="str">
        <f t="shared" si="10"/>
        <v>Error?</v>
      </c>
    </row>
    <row r="728" spans="1:4" x14ac:dyDescent="0.2">
      <c r="A728" s="5">
        <v>667</v>
      </c>
      <c r="B728" s="138">
        <f>'Expenditures 15-22'!C44</f>
        <v>161461</v>
      </c>
      <c r="D728" s="2" t="str">
        <f t="shared" si="10"/>
        <v>Error?</v>
      </c>
    </row>
    <row r="729" spans="1:4" x14ac:dyDescent="0.2">
      <c r="A729" s="5">
        <v>668</v>
      </c>
      <c r="B729" s="138">
        <f>'Expenditures 15-22'!C45</f>
        <v>88232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249693</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240619</v>
      </c>
      <c r="D733" s="2" t="str">
        <f t="shared" si="10"/>
        <v>Error?</v>
      </c>
    </row>
    <row r="734" spans="1:4" x14ac:dyDescent="0.2">
      <c r="A734" s="5">
        <v>673</v>
      </c>
      <c r="B734" s="138">
        <f>'Expenditures 15-22'!C53</f>
        <v>240619</v>
      </c>
      <c r="C734" s="2" t="s">
        <v>594</v>
      </c>
      <c r="D734" s="2" t="str">
        <f t="shared" si="10"/>
        <v>Error?</v>
      </c>
    </row>
    <row r="735" spans="1:4" x14ac:dyDescent="0.2">
      <c r="A735" s="5">
        <v>674</v>
      </c>
      <c r="B735" s="138">
        <f>'Expenditures 15-22'!C55</f>
        <v>842843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842843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146887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44120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191007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1950815</v>
      </c>
      <c r="C755" s="2" t="s">
        <v>594</v>
      </c>
      <c r="D755" s="2" t="str">
        <f t="shared" si="10"/>
        <v>Error?</v>
      </c>
    </row>
    <row r="756" spans="1:4" x14ac:dyDescent="0.2">
      <c r="A756" s="5">
        <v>695</v>
      </c>
      <c r="B756" s="138">
        <f>'Expenditures 15-22'!C75</f>
        <v>7000</v>
      </c>
      <c r="D756" s="2" t="str">
        <f t="shared" si="10"/>
        <v>Error?</v>
      </c>
    </row>
    <row r="757" spans="1:4" x14ac:dyDescent="0.2">
      <c r="A757" s="5">
        <v>696</v>
      </c>
      <c r="B757" s="138">
        <f>'Expenditures 15-22'!C114</f>
        <v>9384509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1543894</v>
      </c>
      <c r="D763" s="2" t="str">
        <f t="shared" si="10"/>
        <v>Error?</v>
      </c>
    </row>
    <row r="764" spans="1:4" x14ac:dyDescent="0.2">
      <c r="A764" s="5">
        <v>703</v>
      </c>
      <c r="B764" s="138">
        <f>'Expenditures 15-22'!D16</f>
        <v>1349</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4612</v>
      </c>
      <c r="D776" s="2" t="str">
        <f t="shared" si="11"/>
        <v>Error?</v>
      </c>
    </row>
    <row r="777" spans="1:4" x14ac:dyDescent="0.2">
      <c r="A777" s="5">
        <v>716</v>
      </c>
      <c r="B777" s="138">
        <f>'Expenditures 15-22'!D15</f>
        <v>2</v>
      </c>
      <c r="D777" s="2" t="str">
        <f t="shared" si="11"/>
        <v>Error?</v>
      </c>
    </row>
    <row r="778" spans="1:4" x14ac:dyDescent="0.2">
      <c r="A778" s="5">
        <v>717</v>
      </c>
      <c r="B778" s="138">
        <f>'Expenditures 15-22'!D33</f>
        <v>1881582</v>
      </c>
      <c r="C778" s="2" t="s">
        <v>594</v>
      </c>
      <c r="D778" s="2" t="str">
        <f t="shared" si="11"/>
        <v>Error?</v>
      </c>
    </row>
    <row r="779" spans="1:4" x14ac:dyDescent="0.2">
      <c r="A779" s="5">
        <v>718</v>
      </c>
      <c r="B779" s="138">
        <f>'Expenditures 15-22'!D36</f>
        <v>75316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52141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20944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148401</v>
      </c>
      <c r="C785" s="2" t="s">
        <v>594</v>
      </c>
      <c r="D785" s="2" t="str">
        <f t="shared" si="11"/>
        <v>Error?</v>
      </c>
    </row>
    <row r="786" spans="1:4" x14ac:dyDescent="0.2">
      <c r="A786" s="5">
        <v>725</v>
      </c>
      <c r="B786" s="138">
        <f>'Expenditures 15-22'!D44</f>
        <v>37500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37500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50231</v>
      </c>
      <c r="D791" s="2" t="str">
        <f t="shared" si="11"/>
        <v>Error?</v>
      </c>
    </row>
    <row r="792" spans="1:4" x14ac:dyDescent="0.2">
      <c r="A792" s="5">
        <v>731</v>
      </c>
      <c r="B792" s="138">
        <f>'Expenditures 15-22'!D53</f>
        <v>50231</v>
      </c>
      <c r="C792" s="2" t="s">
        <v>594</v>
      </c>
      <c r="D792" s="2" t="str">
        <f t="shared" si="11"/>
        <v>Error?</v>
      </c>
    </row>
    <row r="793" spans="1:4" x14ac:dyDescent="0.2">
      <c r="A793" s="5">
        <v>732</v>
      </c>
      <c r="B793" s="138">
        <f>'Expenditures 15-22'!D55</f>
        <v>224804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224804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45222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45222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506158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2387740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96108</v>
      </c>
      <c r="D821" s="2" t="str">
        <f t="shared" si="11"/>
        <v>Error?</v>
      </c>
    </row>
    <row r="822" spans="1:4" x14ac:dyDescent="0.2">
      <c r="A822" s="5">
        <v>761</v>
      </c>
      <c r="B822" s="138">
        <f>'Expenditures 15-22'!E16</f>
        <v>2475</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23301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247475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18854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80890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99744</v>
      </c>
      <c r="C843" s="2" t="s">
        <v>594</v>
      </c>
      <c r="D843" s="2" t="str">
        <f t="shared" si="12"/>
        <v>Error?</v>
      </c>
    </row>
    <row r="844" spans="1:4" x14ac:dyDescent="0.2">
      <c r="A844" s="5">
        <v>783</v>
      </c>
      <c r="B844" s="138">
        <f>'Expenditures 15-22'!E44</f>
        <v>125402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125402</v>
      </c>
      <c r="C847" s="2" t="s">
        <v>594</v>
      </c>
      <c r="D847" s="2" t="str">
        <f t="shared" si="12"/>
        <v>Error?</v>
      </c>
    </row>
    <row r="848" spans="1:4" x14ac:dyDescent="0.2">
      <c r="A848" s="5">
        <v>787</v>
      </c>
      <c r="B848" s="138">
        <f>'Expenditures 15-22'!E49</f>
        <v>142304</v>
      </c>
      <c r="D848" s="2" t="str">
        <f t="shared" si="12"/>
        <v>Error?</v>
      </c>
    </row>
    <row r="849" spans="1:4" x14ac:dyDescent="0.2">
      <c r="A849" s="5">
        <v>788</v>
      </c>
      <c r="B849" s="138">
        <f>'Expenditures 15-22'!E50</f>
        <v>1710</v>
      </c>
      <c r="D849" s="2" t="str">
        <f t="shared" si="12"/>
        <v>Error?</v>
      </c>
    </row>
    <row r="850" spans="1:4" x14ac:dyDescent="0.2">
      <c r="A850" s="5">
        <v>789</v>
      </c>
      <c r="B850" s="138">
        <f>'Expenditures 15-22'!E53</f>
        <v>144014</v>
      </c>
      <c r="C850" s="2" t="s">
        <v>594</v>
      </c>
      <c r="D850" s="2" t="str">
        <f t="shared" si="12"/>
        <v>Error?</v>
      </c>
    </row>
    <row r="851" spans="1:4" x14ac:dyDescent="0.2">
      <c r="A851" s="5">
        <v>790</v>
      </c>
      <c r="B851" s="138">
        <f>'Expenditures 15-22'!E55</f>
        <v>5841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5841</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22169</v>
      </c>
      <c r="D855" s="2" t="str">
        <f t="shared" si="12"/>
        <v>Error?</v>
      </c>
    </row>
    <row r="856" spans="1:4" x14ac:dyDescent="0.2">
      <c r="A856" s="5">
        <v>795</v>
      </c>
      <c r="B856" s="138">
        <f>'Expenditures 15-22'!E61</f>
        <v>125919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374092</v>
      </c>
      <c r="D858" s="2" t="str">
        <f t="shared" si="12"/>
        <v>Error?</v>
      </c>
    </row>
    <row r="859" spans="1:4" x14ac:dyDescent="0.2">
      <c r="A859" s="5">
        <v>798</v>
      </c>
      <c r="B859" s="138">
        <f>'Expenditures 15-22'!E64</f>
        <v>2350</v>
      </c>
      <c r="D859" s="2" t="str">
        <f t="shared" si="12"/>
        <v>Error?</v>
      </c>
    </row>
    <row r="860" spans="1:4" x14ac:dyDescent="0.2">
      <c r="A860" s="10">
        <v>799</v>
      </c>
      <c r="D860" s="2" t="str">
        <f t="shared" si="12"/>
        <v>OK</v>
      </c>
    </row>
    <row r="861" spans="1:4" x14ac:dyDescent="0.2">
      <c r="A861" s="5">
        <v>800</v>
      </c>
      <c r="B861" s="138">
        <f>'Expenditures 15-22'!E65</f>
        <v>524530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38988</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38988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938519</v>
      </c>
      <c r="C871" s="2" t="s">
        <v>594</v>
      </c>
      <c r="D871" s="2" t="str">
        <f t="shared" si="12"/>
        <v>Error?</v>
      </c>
    </row>
    <row r="872" spans="1:4" x14ac:dyDescent="0.2">
      <c r="A872" s="5">
        <v>811</v>
      </c>
      <c r="B872" s="138">
        <f>'Expenditures 15-22'!E75</f>
        <v>565</v>
      </c>
      <c r="D872" s="2" t="str">
        <f t="shared" si="12"/>
        <v>Error?</v>
      </c>
    </row>
    <row r="873" spans="1:4" x14ac:dyDescent="0.2">
      <c r="A873" s="5">
        <v>812</v>
      </c>
      <c r="B873" s="138">
        <f>'Expenditures 15-22'!E114</f>
        <v>1186559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539528</v>
      </c>
      <c r="D879" s="2" t="str">
        <f t="shared" si="12"/>
        <v>Error?</v>
      </c>
    </row>
    <row r="880" spans="1:4" x14ac:dyDescent="0.2">
      <c r="A880" s="5">
        <v>819</v>
      </c>
      <c r="B880" s="138">
        <f>'Expenditures 15-22'!F16</f>
        <v>1796</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1730</v>
      </c>
      <c r="D892" s="2" t="str">
        <f t="shared" si="12"/>
        <v>Error?</v>
      </c>
    </row>
    <row r="893" spans="1:4" x14ac:dyDescent="0.2">
      <c r="A893" s="5">
        <v>832</v>
      </c>
      <c r="B893" s="138">
        <f>'Expenditures 15-22'!F15</f>
        <v>2335</v>
      </c>
      <c r="D893" s="2" t="str">
        <f t="shared" si="12"/>
        <v>Error?</v>
      </c>
    </row>
    <row r="894" spans="1:4" x14ac:dyDescent="0.2">
      <c r="A894" s="5">
        <v>833</v>
      </c>
      <c r="B894" s="138">
        <f>'Expenditures 15-22'!F33</f>
        <v>568397</v>
      </c>
      <c r="C894" s="2" t="s">
        <v>594</v>
      </c>
      <c r="D894" s="2" t="str">
        <f t="shared" si="12"/>
        <v>Error?</v>
      </c>
    </row>
    <row r="895" spans="1:4" x14ac:dyDescent="0.2">
      <c r="A895" s="5">
        <v>834</v>
      </c>
      <c r="B895" s="138">
        <f>'Expenditures 15-22'!F36</f>
        <v>2465</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4061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927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7453</v>
      </c>
      <c r="C901" s="2" t="s">
        <v>594</v>
      </c>
      <c r="D901" s="2" t="str">
        <f t="shared" si="13"/>
        <v>Error?</v>
      </c>
    </row>
    <row r="902" spans="1:4" x14ac:dyDescent="0.2">
      <c r="A902" s="5">
        <v>841</v>
      </c>
      <c r="B902" s="138">
        <f>'Expenditures 15-22'!F44</f>
        <v>78061</v>
      </c>
      <c r="D902" s="2" t="str">
        <f t="shared" si="13"/>
        <v>Error?</v>
      </c>
    </row>
    <row r="903" spans="1:4" x14ac:dyDescent="0.2">
      <c r="A903" s="5">
        <v>842</v>
      </c>
      <c r="B903" s="138">
        <f>'Expenditures 15-22'!F45</f>
        <v>23649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101710</v>
      </c>
      <c r="C905" s="2" t="s">
        <v>594</v>
      </c>
      <c r="D905" s="2" t="str">
        <f t="shared" si="13"/>
        <v>Error?</v>
      </c>
    </row>
    <row r="906" spans="1:4" x14ac:dyDescent="0.2">
      <c r="A906" s="5">
        <v>845</v>
      </c>
      <c r="B906" s="138">
        <f>'Expenditures 15-22'!F49</f>
        <v>455</v>
      </c>
      <c r="D906" s="2" t="str">
        <f t="shared" si="13"/>
        <v>Error?</v>
      </c>
    </row>
    <row r="907" spans="1:4" x14ac:dyDescent="0.2">
      <c r="A907" s="5">
        <v>846</v>
      </c>
      <c r="B907" s="138">
        <f>'Expenditures 15-22'!F50</f>
        <v>1627</v>
      </c>
      <c r="D907" s="2" t="str">
        <f t="shared" si="13"/>
        <v>Error?</v>
      </c>
    </row>
    <row r="908" spans="1:4" x14ac:dyDescent="0.2">
      <c r="A908" s="5">
        <v>847</v>
      </c>
      <c r="B908" s="138">
        <f>'Expenditures 15-22'!F53</f>
        <v>2082</v>
      </c>
      <c r="C908" s="2" t="s">
        <v>594</v>
      </c>
      <c r="D908" s="2" t="str">
        <f t="shared" si="13"/>
        <v>Error?</v>
      </c>
    </row>
    <row r="909" spans="1:4" x14ac:dyDescent="0.2">
      <c r="A909" s="5">
        <v>848</v>
      </c>
      <c r="B909" s="138">
        <f>'Expenditures 15-22'!F55</f>
        <v>306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306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1594</v>
      </c>
      <c r="D913" s="2" t="str">
        <f t="shared" si="13"/>
        <v>Error?</v>
      </c>
    </row>
    <row r="914" spans="1:4" x14ac:dyDescent="0.2">
      <c r="A914" s="5">
        <v>853</v>
      </c>
      <c r="B914" s="138">
        <f>'Expenditures 15-22'!F61</f>
        <v>217314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9826</v>
      </c>
      <c r="D916" s="2" t="str">
        <f t="shared" si="13"/>
        <v>Error?</v>
      </c>
    </row>
    <row r="917" spans="1:4" x14ac:dyDescent="0.2">
      <c r="A917" s="5">
        <v>856</v>
      </c>
      <c r="B917" s="138">
        <f>'Expenditures 15-22'!F64</f>
        <v>4469</v>
      </c>
      <c r="D917" s="2" t="str">
        <f t="shared" si="13"/>
        <v>Error?</v>
      </c>
    </row>
    <row r="918" spans="1:4" x14ac:dyDescent="0.2">
      <c r="A918" s="10">
        <v>857</v>
      </c>
      <c r="D918" s="2" t="str">
        <f t="shared" si="13"/>
        <v>OK</v>
      </c>
    </row>
    <row r="919" spans="1:4" x14ac:dyDescent="0.2">
      <c r="A919" s="5">
        <v>858</v>
      </c>
      <c r="B919" s="138">
        <f>'Expenditures 15-22'!F65</f>
        <v>233203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344754</v>
      </c>
      <c r="C929" s="2" t="s">
        <v>594</v>
      </c>
      <c r="D929" s="2" t="str">
        <f t="shared" si="13"/>
        <v>Error?</v>
      </c>
    </row>
    <row r="930" spans="1:4" x14ac:dyDescent="0.2">
      <c r="A930" s="5">
        <v>869</v>
      </c>
      <c r="B930" s="138">
        <f>'Expenditures 15-22'!F75</f>
        <v>207</v>
      </c>
      <c r="D930" s="2" t="str">
        <f t="shared" si="13"/>
        <v>Error?</v>
      </c>
    </row>
    <row r="931" spans="1:4" x14ac:dyDescent="0.2">
      <c r="A931" s="5">
        <v>870</v>
      </c>
      <c r="B931" s="138">
        <f>'Expenditures 15-22'!F114</f>
        <v>913358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42932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891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43823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79580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79580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458</v>
      </c>
      <c r="D965" s="2" t="str">
        <f t="shared" si="14"/>
        <v>Error?</v>
      </c>
    </row>
    <row r="966" spans="1:4" x14ac:dyDescent="0.2">
      <c r="A966" s="5">
        <v>905</v>
      </c>
      <c r="B966" s="138">
        <f>'Expenditures 15-22'!G53</f>
        <v>458</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10760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10760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90798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134621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334906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11142</v>
      </c>
      <c r="D1022" s="2" t="str">
        <f t="shared" si="14"/>
        <v>Error?</v>
      </c>
    </row>
    <row r="1023" spans="1:4" x14ac:dyDescent="0.2">
      <c r="A1023" s="5">
        <v>962</v>
      </c>
      <c r="B1023" s="138">
        <f>'Expenditures 15-22'!H50</f>
        <v>9081</v>
      </c>
      <c r="D1023" s="2" t="str">
        <f t="shared" ref="D1023:D1086" si="15">IF(ISBLANK(B1023),"OK",IF(A1023-B1023=0,"OK","Error?"))</f>
        <v>Error?</v>
      </c>
    </row>
    <row r="1024" spans="1:4" x14ac:dyDescent="0.2">
      <c r="A1024" s="5">
        <v>963</v>
      </c>
      <c r="B1024" s="138">
        <f>'Expenditures 15-22'!H53</f>
        <v>20223</v>
      </c>
      <c r="C1024" s="2" t="s">
        <v>594</v>
      </c>
      <c r="D1024" s="2" t="str">
        <f t="shared" si="15"/>
        <v>Error?</v>
      </c>
    </row>
    <row r="1025" spans="1:4" x14ac:dyDescent="0.2">
      <c r="A1025" s="5">
        <v>964</v>
      </c>
      <c r="B1025" s="138">
        <f>'Expenditures 15-22'!H55</f>
        <v>1317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1317</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2371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2371</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23911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833834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1192651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7783528</v>
      </c>
      <c r="C1093" s="2" t="s">
        <v>594</v>
      </c>
      <c r="D1093" s="2" t="str">
        <f t="shared" si="16"/>
        <v>Error?</v>
      </c>
    </row>
    <row r="1094" spans="1:4" x14ac:dyDescent="0.2">
      <c r="A1094" s="5">
        <v>1033</v>
      </c>
      <c r="B1094" s="138">
        <f>'Expenditures 15-22'!K16</f>
        <v>98017</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384720</v>
      </c>
      <c r="C1106" s="2" t="s">
        <v>594</v>
      </c>
      <c r="D1106" s="2" t="str">
        <f t="shared" si="16"/>
        <v>Error?</v>
      </c>
    </row>
    <row r="1107" spans="1:4" x14ac:dyDescent="0.2">
      <c r="A1107" s="5">
        <v>1046</v>
      </c>
      <c r="B1107" s="138">
        <f>'Expenditures 15-22'!K15</f>
        <v>4230</v>
      </c>
      <c r="C1107" s="2" t="s">
        <v>594</v>
      </c>
      <c r="D1107" s="2" t="str">
        <f t="shared" si="16"/>
        <v>Error?</v>
      </c>
    </row>
    <row r="1108" spans="1:4" x14ac:dyDescent="0.2">
      <c r="A1108" s="5">
        <v>1047</v>
      </c>
      <c r="B1108" s="138">
        <f>'Expenditures 15-22'!K33</f>
        <v>10502877</v>
      </c>
      <c r="C1108" s="2" t="s">
        <v>594</v>
      </c>
      <c r="D1108" s="2" t="str">
        <f t="shared" si="16"/>
        <v>Error?</v>
      </c>
    </row>
    <row r="1109" spans="1:4" x14ac:dyDescent="0.2">
      <c r="A1109" s="5">
        <v>1048</v>
      </c>
      <c r="B1109" s="138">
        <f>'Expenditures 15-22'!K36</f>
        <v>309025</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167807</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205419</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682251</v>
      </c>
      <c r="C1115" s="2" t="s">
        <v>594</v>
      </c>
      <c r="D1115" s="2" t="str">
        <f t="shared" si="16"/>
        <v>Error?</v>
      </c>
    </row>
    <row r="1116" spans="1:4" x14ac:dyDescent="0.2">
      <c r="A1116" s="5">
        <v>1055</v>
      </c>
      <c r="B1116" s="138">
        <f>'Expenditures 15-22'!K44</f>
        <v>482004</v>
      </c>
      <c r="C1116" s="2" t="s">
        <v>594</v>
      </c>
      <c r="D1116" s="2" t="str">
        <f t="shared" si="16"/>
        <v>Error?</v>
      </c>
    </row>
    <row r="1117" spans="1:4" x14ac:dyDescent="0.2">
      <c r="A1117" s="5">
        <v>1056</v>
      </c>
      <c r="B1117" s="138">
        <f>'Expenditures 15-22'!K45</f>
        <v>111881</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593885</v>
      </c>
      <c r="C1119" s="2" t="s">
        <v>594</v>
      </c>
      <c r="D1119" s="2" t="str">
        <f t="shared" si="16"/>
        <v>Error?</v>
      </c>
    </row>
    <row r="1120" spans="1:4" x14ac:dyDescent="0.2">
      <c r="A1120" s="5">
        <v>1059</v>
      </c>
      <c r="B1120" s="138">
        <f>'Expenditures 15-22'!K49</f>
        <v>153901</v>
      </c>
      <c r="C1120" s="2" t="s">
        <v>594</v>
      </c>
      <c r="D1120" s="2" t="str">
        <f t="shared" si="16"/>
        <v>Error?</v>
      </c>
    </row>
    <row r="1121" spans="1:4" x14ac:dyDescent="0.2">
      <c r="A1121" s="5">
        <v>1060</v>
      </c>
      <c r="B1121" s="138">
        <f>'Expenditures 15-22'!K50</f>
        <v>303726</v>
      </c>
      <c r="C1121" s="2" t="s">
        <v>594</v>
      </c>
      <c r="D1121" s="2" t="str">
        <f t="shared" si="16"/>
        <v>Error?</v>
      </c>
    </row>
    <row r="1122" spans="1:4" x14ac:dyDescent="0.2">
      <c r="A1122" s="5">
        <v>1061</v>
      </c>
      <c r="B1122" s="138">
        <f>'Expenditures 15-22'!K53</f>
        <v>457627</v>
      </c>
      <c r="C1122" s="2" t="s">
        <v>594</v>
      </c>
      <c r="D1122" s="2" t="str">
        <f t="shared" si="16"/>
        <v>Error?</v>
      </c>
    </row>
    <row r="1123" spans="1:4" x14ac:dyDescent="0.2">
      <c r="A1123" s="5">
        <v>1062</v>
      </c>
      <c r="B1123" s="138">
        <f>'Expenditures 15-22'!K55</f>
        <v>1075111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1075111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218243</v>
      </c>
      <c r="C1127" s="2" t="s">
        <v>594</v>
      </c>
      <c r="D1127" s="2" t="str">
        <f t="shared" si="16"/>
        <v>Error?</v>
      </c>
    </row>
    <row r="1128" spans="1:4" x14ac:dyDescent="0.2">
      <c r="A1128" s="5">
        <v>1067</v>
      </c>
      <c r="B1128" s="138">
        <f>'Expenditures 15-22'!K61</f>
        <v>343233</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438798</v>
      </c>
      <c r="C1130" s="2" t="s">
        <v>594</v>
      </c>
      <c r="D1130" s="2" t="str">
        <f t="shared" si="16"/>
        <v>Error?</v>
      </c>
    </row>
    <row r="1131" spans="1:4" x14ac:dyDescent="0.2">
      <c r="A1131" s="5">
        <v>1070</v>
      </c>
      <c r="B1131" s="138">
        <f>'Expenditures 15-22'!K64</f>
        <v>6819</v>
      </c>
      <c r="C1131" s="2" t="s">
        <v>594</v>
      </c>
      <c r="D1131" s="2" t="str">
        <f t="shared" si="16"/>
        <v>Error?</v>
      </c>
    </row>
    <row r="1132" spans="1:4" x14ac:dyDescent="0.2">
      <c r="A1132" s="10">
        <v>1071</v>
      </c>
      <c r="D1132" s="2" t="str">
        <f t="shared" si="16"/>
        <v>OK</v>
      </c>
    </row>
    <row r="1133" spans="1:4" x14ac:dyDescent="0.2">
      <c r="A1133" s="5">
        <v>1072</v>
      </c>
      <c r="B1133" s="138">
        <f>'Expenditures 15-22'!K65</f>
        <v>1007093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38988</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38988</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3854955</v>
      </c>
      <c r="C1143" s="2" t="s">
        <v>594</v>
      </c>
      <c r="D1143" s="2" t="str">
        <f t="shared" si="16"/>
        <v>Error?</v>
      </c>
    </row>
    <row r="1144" spans="1:4" x14ac:dyDescent="0.2">
      <c r="A1144" s="5">
        <v>1083</v>
      </c>
      <c r="B1144" s="138">
        <f>'Expenditures 15-22'!K75</f>
        <v>7772</v>
      </c>
      <c r="C1144" s="2" t="s">
        <v>594</v>
      </c>
      <c r="D1144" s="2" t="str">
        <f t="shared" si="16"/>
        <v>Error?</v>
      </c>
    </row>
    <row r="1145" spans="1:4" x14ac:dyDescent="0.2">
      <c r="A1145" s="5">
        <v>1084</v>
      </c>
      <c r="B1145" s="138">
        <f>'Expenditures 15-22'!K102</f>
        <v>833834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15199438</v>
      </c>
      <c r="C1152" s="2" t="s">
        <v>594</v>
      </c>
      <c r="D1152" s="2" t="str">
        <f t="shared" si="17"/>
        <v>Error?</v>
      </c>
    </row>
    <row r="1153" spans="1:4" x14ac:dyDescent="0.2">
      <c r="A1153" s="5">
        <v>1092</v>
      </c>
      <c r="B1153" s="138">
        <f>'Expenditures 15-22'!K115</f>
        <v>1289197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822733</v>
      </c>
      <c r="D1221" s="2" t="str">
        <f t="shared" si="18"/>
        <v>Error?</v>
      </c>
    </row>
    <row r="1222" spans="1:4" x14ac:dyDescent="0.2">
      <c r="A1222" s="10">
        <v>1161</v>
      </c>
      <c r="D1222" s="2" t="str">
        <f t="shared" si="18"/>
        <v>OK</v>
      </c>
    </row>
    <row r="1223" spans="1:4" x14ac:dyDescent="0.2">
      <c r="A1223" s="5">
        <v>1162</v>
      </c>
      <c r="B1223" s="138">
        <f>'Expenditures 15-22'!C127</f>
        <v>822733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822733</v>
      </c>
      <c r="C1225" s="2" t="s">
        <v>594</v>
      </c>
      <c r="D1225" s="2" t="str">
        <f t="shared" si="18"/>
        <v>Error?</v>
      </c>
    </row>
    <row r="1226" spans="1:4" x14ac:dyDescent="0.2">
      <c r="A1226" s="5">
        <v>1165</v>
      </c>
      <c r="B1226" s="138">
        <f>'Expenditures 15-22'!C151</f>
        <v>822733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219652</v>
      </c>
      <c r="D1229" s="2" t="str">
        <f t="shared" si="18"/>
        <v>Error?</v>
      </c>
    </row>
    <row r="1230" spans="1:4" x14ac:dyDescent="0.2">
      <c r="A1230" s="10">
        <v>1169</v>
      </c>
      <c r="D1230" s="2" t="str">
        <f t="shared" si="18"/>
        <v>OK</v>
      </c>
    </row>
    <row r="1231" spans="1:4" x14ac:dyDescent="0.2">
      <c r="A1231" s="5">
        <v>1170</v>
      </c>
      <c r="B1231" s="138">
        <f>'Expenditures 15-22'!D127</f>
        <v>219652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219652</v>
      </c>
      <c r="C1233" s="2" t="s">
        <v>594</v>
      </c>
      <c r="D1233" s="2" t="str">
        <f t="shared" si="18"/>
        <v>Error?</v>
      </c>
    </row>
    <row r="1234" spans="1:4" x14ac:dyDescent="0.2">
      <c r="A1234" s="5">
        <v>1173</v>
      </c>
      <c r="B1234" s="138">
        <f>'Expenditures 15-22'!D151</f>
        <v>219652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377711</v>
      </c>
      <c r="D1237" s="2" t="str">
        <f t="shared" si="18"/>
        <v>Error?</v>
      </c>
    </row>
    <row r="1238" spans="1:4" x14ac:dyDescent="0.2">
      <c r="A1238" s="10">
        <v>1177</v>
      </c>
      <c r="D1238" s="2" t="str">
        <f t="shared" si="18"/>
        <v>OK</v>
      </c>
    </row>
    <row r="1239" spans="1:4" x14ac:dyDescent="0.2">
      <c r="A1239" s="5">
        <v>1178</v>
      </c>
      <c r="B1239" s="138">
        <f>'Expenditures 15-22'!E127</f>
        <v>377711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377711</v>
      </c>
      <c r="C1241" s="2" t="s">
        <v>594</v>
      </c>
      <c r="D1241" s="2" t="str">
        <f t="shared" si="18"/>
        <v>Error?</v>
      </c>
    </row>
    <row r="1242" spans="1:4" x14ac:dyDescent="0.2">
      <c r="A1242" s="5">
        <v>1181</v>
      </c>
      <c r="B1242" s="138">
        <f>'Expenditures 15-22'!E151</f>
        <v>377711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120516</v>
      </c>
      <c r="D1245" s="2" t="str">
        <f t="shared" si="18"/>
        <v>Error?</v>
      </c>
    </row>
    <row r="1246" spans="1:4" x14ac:dyDescent="0.2">
      <c r="A1246" s="10">
        <v>1185</v>
      </c>
      <c r="D1246" s="2" t="str">
        <f t="shared" si="18"/>
        <v>OK</v>
      </c>
    </row>
    <row r="1247" spans="1:4" x14ac:dyDescent="0.2">
      <c r="A1247" s="5">
        <v>1186</v>
      </c>
      <c r="B1247" s="138">
        <f>'Expenditures 15-22'!F127</f>
        <v>120516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120516</v>
      </c>
      <c r="C1249" s="2" t="s">
        <v>594</v>
      </c>
      <c r="D1249" s="2" t="str">
        <f t="shared" si="18"/>
        <v>Error?</v>
      </c>
    </row>
    <row r="1250" spans="1:4" x14ac:dyDescent="0.2">
      <c r="A1250" s="5">
        <v>1189</v>
      </c>
      <c r="B1250" s="138">
        <f>'Expenditures 15-22'!F151</f>
        <v>120516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539473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539473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539473</v>
      </c>
      <c r="C1258" s="2" t="s">
        <v>594</v>
      </c>
      <c r="D1258" s="2" t="str">
        <f t="shared" si="18"/>
        <v>Error?</v>
      </c>
    </row>
    <row r="1259" spans="1:4" x14ac:dyDescent="0.2">
      <c r="A1259" s="5">
        <v>1198</v>
      </c>
      <c r="B1259" s="138">
        <f>'Expenditures 15-22'!G151</f>
        <v>539473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2080085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2080085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2080085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2080085</v>
      </c>
      <c r="C1288" s="2" t="s">
        <v>594</v>
      </c>
      <c r="D1288" s="2" t="str">
        <f t="shared" si="19"/>
        <v>Error?</v>
      </c>
    </row>
    <row r="1289" spans="1:4" x14ac:dyDescent="0.2">
      <c r="A1289" s="5">
        <v>1228</v>
      </c>
      <c r="B1289" s="138">
        <f>'Expenditures 15-22'!K152</f>
        <v>35293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415926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551537</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967463</v>
      </c>
      <c r="C1317" s="2" t="s">
        <v>594</v>
      </c>
      <c r="D1317" s="2" t="str">
        <f t="shared" si="19"/>
        <v>Error?</v>
      </c>
    </row>
    <row r="1318" spans="1:4" x14ac:dyDescent="0.2">
      <c r="A1318" s="5">
        <v>1257</v>
      </c>
      <c r="B1318" s="138">
        <f>'Expenditures 15-22'!H174</f>
        <v>967463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415926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551537</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967463</v>
      </c>
      <c r="C1331" s="2" t="s">
        <v>594</v>
      </c>
      <c r="D1331" s="2" t="str">
        <f t="shared" si="19"/>
        <v>Error?</v>
      </c>
    </row>
    <row r="1332" spans="1:4" x14ac:dyDescent="0.2">
      <c r="A1332" s="5">
        <v>1271</v>
      </c>
      <c r="B1332" s="138">
        <f>'Expenditures 15-22'!K174</f>
        <v>967463</v>
      </c>
      <c r="C1332" s="2" t="s">
        <v>594</v>
      </c>
      <c r="D1332" s="2" t="str">
        <f t="shared" si="19"/>
        <v>Error?</v>
      </c>
    </row>
    <row r="1333" spans="1:4" x14ac:dyDescent="0.2">
      <c r="A1333" s="5">
        <v>1272</v>
      </c>
      <c r="B1333" s="138">
        <f>'Expenditures 15-22'!K175</f>
        <v>-39895</v>
      </c>
      <c r="C1333" s="2" t="s">
        <v>594</v>
      </c>
      <c r="D1333" s="2" t="str">
        <f t="shared" si="19"/>
        <v>Error?</v>
      </c>
    </row>
    <row r="1334" spans="1:4" x14ac:dyDescent="0.2">
      <c r="A1334" s="10">
        <v>1273</v>
      </c>
      <c r="D1334" s="2" t="str">
        <f t="shared" si="19"/>
        <v>OK</v>
      </c>
    </row>
    <row r="1335" spans="1:4" x14ac:dyDescent="0.2">
      <c r="A1335" s="5">
        <v>1274</v>
      </c>
      <c r="B1335" s="138">
        <f>'Expenditures 15-22'!C182</f>
        <v>271622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271622</v>
      </c>
      <c r="C1339" s="2" t="s">
        <v>594</v>
      </c>
      <c r="D1339" s="2" t="str">
        <f t="shared" si="19"/>
        <v>Error?</v>
      </c>
    </row>
    <row r="1340" spans="1:4" x14ac:dyDescent="0.2">
      <c r="A1340" s="5">
        <v>1279</v>
      </c>
      <c r="B1340" s="138">
        <f>'Expenditures 15-22'!C210</f>
        <v>271622</v>
      </c>
      <c r="C1340" s="2" t="s">
        <v>594</v>
      </c>
      <c r="D1340" s="2" t="str">
        <f t="shared" si="19"/>
        <v>Error?</v>
      </c>
    </row>
    <row r="1341" spans="1:4" x14ac:dyDescent="0.2">
      <c r="A1341" s="5">
        <v>1280</v>
      </c>
      <c r="B1341" s="138">
        <f>'Expenditures 15-22'!D182</f>
        <v>28152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28152</v>
      </c>
      <c r="C1345" s="2" t="s">
        <v>594</v>
      </c>
      <c r="D1345" s="2" t="str">
        <f t="shared" si="20"/>
        <v>Error?</v>
      </c>
    </row>
    <row r="1346" spans="1:4" x14ac:dyDescent="0.2">
      <c r="A1346" s="5">
        <v>1285</v>
      </c>
      <c r="B1346" s="138">
        <f>'Expenditures 15-22'!D210</f>
        <v>28152</v>
      </c>
      <c r="C1346" s="2" t="s">
        <v>594</v>
      </c>
      <c r="D1346" s="2" t="str">
        <f t="shared" si="20"/>
        <v>Error?</v>
      </c>
    </row>
    <row r="1347" spans="1:4" x14ac:dyDescent="0.2">
      <c r="A1347" s="5">
        <v>1286</v>
      </c>
      <c r="B1347" s="138">
        <f>'Expenditures 15-22'!E182</f>
        <v>399296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399296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399296</v>
      </c>
      <c r="C1353" s="2" t="s">
        <v>594</v>
      </c>
      <c r="D1353" s="2" t="str">
        <f t="shared" si="20"/>
        <v>Error?</v>
      </c>
    </row>
    <row r="1354" spans="1:4" x14ac:dyDescent="0.2">
      <c r="A1354" s="5">
        <v>1293</v>
      </c>
      <c r="B1354" s="138">
        <f>'Expenditures 15-22'!F182</f>
        <v>23597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23597</v>
      </c>
      <c r="C1358" s="2" t="s">
        <v>594</v>
      </c>
      <c r="D1358" s="2" t="str">
        <f t="shared" si="20"/>
        <v>Error?</v>
      </c>
    </row>
    <row r="1359" spans="1:4" x14ac:dyDescent="0.2">
      <c r="A1359" s="5">
        <v>1298</v>
      </c>
      <c r="B1359" s="138">
        <f>'Expenditures 15-22'!F210</f>
        <v>23597</v>
      </c>
      <c r="C1359" s="2" t="s">
        <v>594</v>
      </c>
      <c r="D1359" s="2" t="str">
        <f t="shared" si="20"/>
        <v>Error?</v>
      </c>
    </row>
    <row r="1360" spans="1:4" x14ac:dyDescent="0.2">
      <c r="A1360" s="5">
        <v>1299</v>
      </c>
      <c r="B1360" s="138">
        <f>'Expenditures 15-22'!G182</f>
        <v>77706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77706</v>
      </c>
      <c r="C1364" s="2" t="s">
        <v>594</v>
      </c>
      <c r="D1364" s="2" t="str">
        <f t="shared" si="20"/>
        <v>Error?</v>
      </c>
    </row>
    <row r="1365" spans="1:4" x14ac:dyDescent="0.2">
      <c r="A1365" s="5">
        <v>1304</v>
      </c>
      <c r="B1365" s="138">
        <f>'Expenditures 15-22'!G210</f>
        <v>77706</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800373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800373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800373</v>
      </c>
      <c r="C1388" s="2" t="s">
        <v>594</v>
      </c>
      <c r="D1388" s="2" t="str">
        <f t="shared" si="20"/>
        <v>Error?</v>
      </c>
    </row>
    <row r="1389" spans="1:4" x14ac:dyDescent="0.2">
      <c r="A1389" s="5">
        <v>1328</v>
      </c>
      <c r="B1389" s="138">
        <f>'Expenditures 15-22'!K211</f>
        <v>455760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1296</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12172</v>
      </c>
      <c r="D1408" s="2" t="str">
        <f t="shared" si="21"/>
        <v>Error?</v>
      </c>
    </row>
    <row r="1409" spans="1:4" x14ac:dyDescent="0.2">
      <c r="A1409" s="5">
        <v>1348</v>
      </c>
      <c r="B1409" s="138">
        <f>'Expenditures 15-22'!D224</f>
        <v>360</v>
      </c>
      <c r="D1409" s="2" t="str">
        <f t="shared" si="21"/>
        <v>Error?</v>
      </c>
    </row>
    <row r="1410" spans="1:4" x14ac:dyDescent="0.2">
      <c r="A1410" s="5">
        <v>1349</v>
      </c>
      <c r="B1410" s="138">
        <f>'Expenditures 15-22'!D229</f>
        <v>161489</v>
      </c>
      <c r="C1410" s="2" t="s">
        <v>594</v>
      </c>
      <c r="D1410" s="2" t="str">
        <f t="shared" si="21"/>
        <v>Error?</v>
      </c>
    </row>
    <row r="1411" spans="1:4" x14ac:dyDescent="0.2">
      <c r="A1411" s="5">
        <v>1350</v>
      </c>
      <c r="B1411" s="138">
        <f>'Expenditures 15-22'!D232</f>
        <v>3166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7209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1455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11830</v>
      </c>
      <c r="C1417" s="2" t="s">
        <v>594</v>
      </c>
      <c r="D1417" s="2" t="str">
        <f t="shared" si="21"/>
        <v>Error?</v>
      </c>
    </row>
    <row r="1418" spans="1:4" x14ac:dyDescent="0.2">
      <c r="A1418" s="5">
        <v>1357</v>
      </c>
      <c r="B1418" s="138">
        <f>'Expenditures 15-22'!D240</f>
        <v>15894</v>
      </c>
      <c r="D1418" s="2" t="str">
        <f t="shared" si="21"/>
        <v>Error?</v>
      </c>
    </row>
    <row r="1419" spans="1:4" x14ac:dyDescent="0.2">
      <c r="A1419" s="5">
        <v>1358</v>
      </c>
      <c r="B1419" s="138">
        <f>'Expenditures 15-22'!D241</f>
        <v>17613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33507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13799</v>
      </c>
      <c r="D1423" s="2" t="str">
        <f t="shared" si="21"/>
        <v>Error?</v>
      </c>
    </row>
    <row r="1424" spans="1:4" x14ac:dyDescent="0.2">
      <c r="A1424" s="5">
        <v>1363</v>
      </c>
      <c r="B1424" s="138">
        <f>'Expenditures 15-22'!D257</f>
        <v>13799</v>
      </c>
      <c r="C1424" s="2" t="s">
        <v>594</v>
      </c>
      <c r="D1424" s="2" t="str">
        <f t="shared" si="21"/>
        <v>Error?</v>
      </c>
    </row>
    <row r="1425" spans="1:4" x14ac:dyDescent="0.2">
      <c r="A1425" s="5">
        <v>1364</v>
      </c>
      <c r="B1425" s="138">
        <f>'Expenditures 15-22'!D259</f>
        <v>48615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48615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29519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155973</v>
      </c>
      <c r="D1431" s="2" t="str">
        <f t="shared" si="21"/>
        <v>Error?</v>
      </c>
    </row>
    <row r="1432" spans="1:4" x14ac:dyDescent="0.2">
      <c r="A1432" s="5">
        <v>1371</v>
      </c>
      <c r="B1432" s="138">
        <f>'Expenditures 15-22'!D267</f>
        <v>54060</v>
      </c>
      <c r="D1432" s="2" t="str">
        <f t="shared" si="21"/>
        <v>Error?</v>
      </c>
    </row>
    <row r="1433" spans="1:4" x14ac:dyDescent="0.2">
      <c r="A1433" s="5">
        <v>1372</v>
      </c>
      <c r="B1433" s="138">
        <f>'Expenditures 15-22'!D268</f>
        <v>8904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248456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356207</v>
      </c>
      <c r="C1446" s="2" t="s">
        <v>594</v>
      </c>
      <c r="D1446" s="2" t="str">
        <f t="shared" si="21"/>
        <v>Error?</v>
      </c>
    </row>
    <row r="1447" spans="1:4" x14ac:dyDescent="0.2">
      <c r="A1447" s="5">
        <v>1386</v>
      </c>
      <c r="B1447" s="138">
        <f>'Expenditures 15-22'!D280</f>
        <v>1416</v>
      </c>
      <c r="D1447" s="2" t="str">
        <f t="shared" si="21"/>
        <v>Error?</v>
      </c>
    </row>
    <row r="1448" spans="1:4" x14ac:dyDescent="0.2">
      <c r="A1448" s="5">
        <v>1387</v>
      </c>
      <c r="B1448" s="138">
        <f>'Expenditures 15-22'!D295</f>
        <v>519112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1296</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12172</v>
      </c>
      <c r="C1472" s="2" t="s">
        <v>594</v>
      </c>
      <c r="D1472" s="2" t="str">
        <f t="shared" si="22"/>
        <v>Error?</v>
      </c>
    </row>
    <row r="1473" spans="1:4" x14ac:dyDescent="0.2">
      <c r="A1473" s="5">
        <v>1412</v>
      </c>
      <c r="B1473" s="138">
        <f>'Expenditures 15-22'!K224</f>
        <v>360</v>
      </c>
      <c r="C1473" s="2" t="s">
        <v>594</v>
      </c>
      <c r="D1473" s="2" t="str">
        <f t="shared" si="22"/>
        <v>Error?</v>
      </c>
    </row>
    <row r="1474" spans="1:4" x14ac:dyDescent="0.2">
      <c r="A1474" s="5">
        <v>1413</v>
      </c>
      <c r="B1474" s="138">
        <f>'Expenditures 15-22'!K229</f>
        <v>161489</v>
      </c>
      <c r="C1474" s="2" t="s">
        <v>594</v>
      </c>
      <c r="D1474" s="2" t="str">
        <f t="shared" si="22"/>
        <v>Error?</v>
      </c>
    </row>
    <row r="1475" spans="1:4" x14ac:dyDescent="0.2">
      <c r="A1475" s="5">
        <v>1414</v>
      </c>
      <c r="B1475" s="138">
        <f>'Expenditures 15-22'!K232</f>
        <v>3166</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7209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1455</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11830</v>
      </c>
      <c r="C1481" s="2" t="s">
        <v>594</v>
      </c>
      <c r="D1481" s="2" t="str">
        <f t="shared" si="22"/>
        <v>Error?</v>
      </c>
    </row>
    <row r="1482" spans="1:4" x14ac:dyDescent="0.2">
      <c r="A1482" s="5">
        <v>1421</v>
      </c>
      <c r="B1482" s="138">
        <f>'Expenditures 15-22'!K240</f>
        <v>15894</v>
      </c>
      <c r="C1482" s="2" t="s">
        <v>594</v>
      </c>
      <c r="D1482" s="2" t="str">
        <f t="shared" si="22"/>
        <v>Error?</v>
      </c>
    </row>
    <row r="1483" spans="1:4" x14ac:dyDescent="0.2">
      <c r="A1483" s="5">
        <v>1422</v>
      </c>
      <c r="B1483" s="138">
        <f>'Expenditures 15-22'!K241</f>
        <v>17613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33507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13799</v>
      </c>
      <c r="C1487" s="2" t="s">
        <v>594</v>
      </c>
      <c r="D1487" s="2" t="str">
        <f t="shared" si="22"/>
        <v>Error?</v>
      </c>
    </row>
    <row r="1488" spans="1:4" x14ac:dyDescent="0.2">
      <c r="A1488" s="5">
        <v>1427</v>
      </c>
      <c r="B1488" s="138">
        <f>'Expenditures 15-22'!K257</f>
        <v>13799</v>
      </c>
      <c r="C1488" s="2" t="s">
        <v>594</v>
      </c>
      <c r="D1488" s="2" t="str">
        <f t="shared" si="22"/>
        <v>Error?</v>
      </c>
    </row>
    <row r="1489" spans="1:4" x14ac:dyDescent="0.2">
      <c r="A1489" s="5">
        <v>1428</v>
      </c>
      <c r="B1489" s="138">
        <f>'Expenditures 15-22'!K259</f>
        <v>48615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48615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29519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155973</v>
      </c>
      <c r="C1495" s="2" t="s">
        <v>594</v>
      </c>
      <c r="D1495" s="2" t="str">
        <f t="shared" si="22"/>
        <v>Error?</v>
      </c>
    </row>
    <row r="1496" spans="1:4" x14ac:dyDescent="0.2">
      <c r="A1496" s="5">
        <v>1435</v>
      </c>
      <c r="B1496" s="138">
        <f>'Expenditures 15-22'!K267</f>
        <v>54060</v>
      </c>
      <c r="C1496" s="2" t="s">
        <v>594</v>
      </c>
      <c r="D1496" s="2" t="str">
        <f t="shared" si="22"/>
        <v>Error?</v>
      </c>
    </row>
    <row r="1497" spans="1:4" x14ac:dyDescent="0.2">
      <c r="A1497" s="5">
        <v>1436</v>
      </c>
      <c r="B1497" s="138">
        <f>'Expenditures 15-22'!K268</f>
        <v>8904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248456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356207</v>
      </c>
      <c r="C1510" s="2" t="s">
        <v>594</v>
      </c>
      <c r="D1510" s="2" t="str">
        <f t="shared" si="22"/>
        <v>Error?</v>
      </c>
    </row>
    <row r="1511" spans="1:4" x14ac:dyDescent="0.2">
      <c r="A1511" s="5">
        <v>1450</v>
      </c>
      <c r="B1511" s="138">
        <f>'Expenditures 15-22'!K280</f>
        <v>1416</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519112</v>
      </c>
      <c r="C1517" s="2" t="s">
        <v>594</v>
      </c>
      <c r="D1517" s="2" t="str">
        <f t="shared" si="22"/>
        <v>Error?</v>
      </c>
    </row>
    <row r="1518" spans="1:4" x14ac:dyDescent="0.2">
      <c r="A1518" s="5">
        <v>1457</v>
      </c>
      <c r="B1518" s="138">
        <f>'Expenditures 15-22'!K296</f>
        <v>-156896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13363969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14653166</v>
      </c>
      <c r="C1630" s="2" t="s">
        <v>594</v>
      </c>
      <c r="D1630" s="2" t="str">
        <f t="shared" si="24"/>
        <v>Error?</v>
      </c>
    </row>
    <row r="1631" spans="1:4" x14ac:dyDescent="0.2">
      <c r="A1631" s="5">
        <v>1570</v>
      </c>
      <c r="B1631" s="138">
        <f>'Acct Summary 7-8'!D79</f>
        <v>5363897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5399190</v>
      </c>
      <c r="C1644" s="2" t="s">
        <v>594</v>
      </c>
      <c r="D1644" s="2" t="str">
        <f t="shared" si="24"/>
        <v>Error?</v>
      </c>
    </row>
    <row r="1645" spans="1:4" x14ac:dyDescent="0.2">
      <c r="A1645" s="5">
        <v>1584</v>
      </c>
      <c r="B1645" s="138">
        <f>'Acct Summary 7-8'!E79</f>
        <v>381386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341491</v>
      </c>
      <c r="C1658" s="2" t="s">
        <v>594</v>
      </c>
      <c r="D1658" s="2" t="str">
        <f t="shared" si="24"/>
        <v>Error?</v>
      </c>
    </row>
    <row r="1659" spans="1:4" x14ac:dyDescent="0.2">
      <c r="A1659" s="5">
        <v>1598</v>
      </c>
      <c r="B1659" s="138">
        <f>'Acct Summary 7-8'!F79</f>
        <v>2951067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3406827</v>
      </c>
      <c r="C1672" s="2" t="s">
        <v>594</v>
      </c>
      <c r="D1672" s="2" t="str">
        <f t="shared" si="25"/>
        <v>Error?</v>
      </c>
    </row>
    <row r="1673" spans="1:4" x14ac:dyDescent="0.2">
      <c r="A1673" s="5">
        <v>1612</v>
      </c>
      <c r="B1673" s="138">
        <f>'Acct Summary 7-8'!G79</f>
        <v>893768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736872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10365180</v>
      </c>
      <c r="C1744" s="2" t="s">
        <v>594</v>
      </c>
      <c r="D1744" s="2" t="str">
        <f t="shared" si="26"/>
        <v>Error?</v>
      </c>
    </row>
    <row r="1745" spans="1:5" x14ac:dyDescent="0.2">
      <c r="A1745" s="5">
        <v>1684</v>
      </c>
      <c r="B1745" s="138">
        <f>'Tax Sched 23'!B5</f>
        <v>1461853</v>
      </c>
      <c r="C1745" s="2" t="s">
        <v>594</v>
      </c>
      <c r="D1745" s="2" t="str">
        <f t="shared" si="26"/>
        <v>Error?</v>
      </c>
    </row>
    <row r="1746" spans="1:5" x14ac:dyDescent="0.2">
      <c r="A1746" s="5">
        <v>1685</v>
      </c>
      <c r="B1746" s="138">
        <f>'Tax Sched 23'!B6</f>
        <v>923719</v>
      </c>
      <c r="C1746" s="2" t="s">
        <v>594</v>
      </c>
      <c r="D1746" s="2" t="str">
        <f t="shared" si="26"/>
        <v>Error?</v>
      </c>
    </row>
    <row r="1747" spans="1:5" x14ac:dyDescent="0.2">
      <c r="A1747" s="5">
        <v>1686</v>
      </c>
      <c r="B1747" s="138">
        <f>'Tax Sched 23'!B7</f>
        <v>808821</v>
      </c>
      <c r="C1747" s="2" t="s">
        <v>594</v>
      </c>
      <c r="D1747" s="2" t="str">
        <f t="shared" si="26"/>
        <v>Error?</v>
      </c>
    </row>
    <row r="1748" spans="1:5" x14ac:dyDescent="0.2">
      <c r="A1748" s="5">
        <v>1687</v>
      </c>
      <c r="B1748" s="138">
        <f>'Tax Sched 23'!B8</f>
        <v>162581</v>
      </c>
      <c r="C1748" s="2" t="s">
        <v>594</v>
      </c>
      <c r="D1748" s="2" t="str">
        <f t="shared" si="26"/>
        <v>Error?</v>
      </c>
    </row>
    <row r="1749" spans="1:5" x14ac:dyDescent="0.2">
      <c r="A1749" s="5">
        <v>1688</v>
      </c>
      <c r="B1749" s="138">
        <f>'Tax Sched 23'!B10</f>
        <v>80349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154326</v>
      </c>
      <c r="C1752" s="2" t="s">
        <v>594</v>
      </c>
      <c r="D1752" s="2" t="str">
        <f t="shared" si="26"/>
        <v>Error?</v>
      </c>
    </row>
    <row r="1753" spans="1:5" x14ac:dyDescent="0.2">
      <c r="A1753" s="5">
        <v>1692</v>
      </c>
      <c r="B1753" s="138">
        <f>'Tax Sched 23'!B12</f>
        <v>255960</v>
      </c>
      <c r="C1753" s="2" t="s">
        <v>594</v>
      </c>
      <c r="D1753" s="2" t="str">
        <f t="shared" si="26"/>
        <v>Error?</v>
      </c>
    </row>
    <row r="1754" spans="1:5" x14ac:dyDescent="0.2">
      <c r="A1754" s="5">
        <v>1693</v>
      </c>
      <c r="B1754" s="138">
        <f>'Tax Sched 23'!B14</f>
        <v>1063187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15438557</v>
      </c>
      <c r="C1759" s="2" t="s">
        <v>594</v>
      </c>
      <c r="D1759" s="2" t="str">
        <f t="shared" si="26"/>
        <v>Error?</v>
      </c>
    </row>
    <row r="1760" spans="1:5" x14ac:dyDescent="0.2">
      <c r="A1760" s="5">
        <v>1699</v>
      </c>
      <c r="B1760" s="138">
        <f>'Tax Sched 23'!D4</f>
        <v>3965242</v>
      </c>
      <c r="C1760" s="2" t="s">
        <v>594</v>
      </c>
      <c r="D1760" s="2" t="str">
        <f t="shared" si="26"/>
        <v>Error?</v>
      </c>
    </row>
    <row r="1761" spans="1:5" x14ac:dyDescent="0.2">
      <c r="A1761" s="5">
        <v>1700</v>
      </c>
      <c r="B1761" s="138">
        <f>'Tax Sched 23'!D5</f>
        <v>623083</v>
      </c>
      <c r="C1761" s="2" t="s">
        <v>594</v>
      </c>
      <c r="D1761" s="2" t="str">
        <f t="shared" si="26"/>
        <v>Error?</v>
      </c>
    </row>
    <row r="1762" spans="1:5" s="8" customFormat="1" x14ac:dyDescent="0.2">
      <c r="A1762" s="5">
        <v>1701</v>
      </c>
      <c r="B1762" s="138">
        <f>'Tax Sched 23'!D6</f>
        <v>417614</v>
      </c>
      <c r="C1762" s="2" t="s">
        <v>594</v>
      </c>
      <c r="D1762" s="2" t="str">
        <f t="shared" si="26"/>
        <v>Error?</v>
      </c>
      <c r="E1762" s="9"/>
    </row>
    <row r="1763" spans="1:5" x14ac:dyDescent="0.2">
      <c r="A1763" s="5">
        <v>1702</v>
      </c>
      <c r="B1763" s="138">
        <f>'Tax Sched 23'!D7</f>
        <v>761182</v>
      </c>
      <c r="C1763" s="2" t="s">
        <v>594</v>
      </c>
      <c r="D1763" s="2" t="str">
        <f t="shared" si="26"/>
        <v>Error?</v>
      </c>
    </row>
    <row r="1764" spans="1:5" x14ac:dyDescent="0.2">
      <c r="A1764" s="5">
        <v>1703</v>
      </c>
      <c r="B1764" s="138">
        <f>'Tax Sched 23'!D8</f>
        <v>162581</v>
      </c>
      <c r="C1764" s="2" t="s">
        <v>594</v>
      </c>
      <c r="D1764" s="2" t="str">
        <f t="shared" si="26"/>
        <v>Error?</v>
      </c>
    </row>
    <row r="1765" spans="1:5" x14ac:dyDescent="0.2">
      <c r="A1765" s="5">
        <v>1704</v>
      </c>
      <c r="B1765" s="138">
        <f>'Tax Sched 23'!D10</f>
        <v>56608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71084</v>
      </c>
      <c r="C1768" s="2" t="s">
        <v>594</v>
      </c>
      <c r="D1768" s="2" t="str">
        <f t="shared" si="26"/>
        <v>Error?</v>
      </c>
    </row>
    <row r="1769" spans="1:5" x14ac:dyDescent="0.2">
      <c r="A1769" s="5">
        <v>1708</v>
      </c>
      <c r="B1769" s="138">
        <f>'Tax Sched 23'!D12</f>
        <v>113373</v>
      </c>
      <c r="C1769" s="2" t="s">
        <v>594</v>
      </c>
      <c r="D1769" s="2" t="str">
        <f t="shared" si="26"/>
        <v>Error?</v>
      </c>
    </row>
    <row r="1770" spans="1:5" x14ac:dyDescent="0.2">
      <c r="A1770" s="5">
        <v>1709</v>
      </c>
      <c r="B1770" s="138">
        <f>'Tax Sched 23'!D14</f>
        <v>453101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6786449</v>
      </c>
      <c r="C1775" s="2" t="s">
        <v>594</v>
      </c>
      <c r="D1775" s="2" t="str">
        <f t="shared" si="26"/>
        <v>Error?</v>
      </c>
    </row>
    <row r="1776" spans="1:5" x14ac:dyDescent="0.2">
      <c r="A1776" s="5">
        <v>1715</v>
      </c>
      <c r="B1776" s="138">
        <f>'Tax Sched 23'!C4</f>
        <v>6399938</v>
      </c>
      <c r="D1776" s="2" t="str">
        <f t="shared" si="26"/>
        <v>Error?</v>
      </c>
    </row>
    <row r="1777" spans="1:4" x14ac:dyDescent="0.2">
      <c r="A1777" s="5">
        <v>1716</v>
      </c>
      <c r="B1777" s="138">
        <f>'Tax Sched 23'!C5</f>
        <v>838770</v>
      </c>
      <c r="D1777" s="2" t="str">
        <f t="shared" si="26"/>
        <v>Error?</v>
      </c>
    </row>
    <row r="1778" spans="1:4" x14ac:dyDescent="0.2">
      <c r="A1778" s="5">
        <v>1717</v>
      </c>
      <c r="B1778" s="138">
        <f>'Tax Sched 23'!C6</f>
        <v>506105</v>
      </c>
      <c r="D1778" s="2" t="str">
        <f t="shared" si="26"/>
        <v>Error?</v>
      </c>
    </row>
    <row r="1779" spans="1:4" x14ac:dyDescent="0.2">
      <c r="A1779" s="5">
        <v>1718</v>
      </c>
      <c r="B1779" s="138">
        <f>'Tax Sched 23'!C7</f>
        <v>47639</v>
      </c>
      <c r="D1779" s="2" t="str">
        <f t="shared" si="26"/>
        <v>Error?</v>
      </c>
    </row>
    <row r="1780" spans="1:4" x14ac:dyDescent="0.2">
      <c r="A1780" s="5">
        <v>1719</v>
      </c>
      <c r="B1780" s="138">
        <f>'Tax Sched 23'!C8</f>
        <v>0</v>
      </c>
      <c r="D1780" s="2" t="str">
        <f t="shared" si="26"/>
        <v>Error?</v>
      </c>
    </row>
    <row r="1781" spans="1:4" x14ac:dyDescent="0.2">
      <c r="A1781" s="5">
        <v>1720</v>
      </c>
      <c r="B1781" s="138">
        <f>'Tax Sched 23'!C10</f>
        <v>23741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83242</v>
      </c>
      <c r="D1784" s="2" t="str">
        <f t="shared" si="26"/>
        <v>Error?</v>
      </c>
    </row>
    <row r="1785" spans="1:4" x14ac:dyDescent="0.2">
      <c r="A1785" s="5">
        <v>1724</v>
      </c>
      <c r="B1785" s="138">
        <f>'Tax Sched 23'!C12</f>
        <v>142587</v>
      </c>
      <c r="D1785" s="2" t="str">
        <f t="shared" si="26"/>
        <v>Error?</v>
      </c>
    </row>
    <row r="1786" spans="1:4" x14ac:dyDescent="0.2">
      <c r="A1786" s="5">
        <v>1725</v>
      </c>
      <c r="B1786" s="138">
        <f>'Tax Sched 23'!C14</f>
        <v>610086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8652108</v>
      </c>
      <c r="C1791" s="2" t="s">
        <v>594</v>
      </c>
      <c r="D1791" s="2" t="str">
        <f t="shared" ref="D1791:D1854" si="27">IF(ISBLANK(B1791),"OK",IF(A1791-B1791=0,"OK","Error?"))</f>
        <v>Error?</v>
      </c>
    </row>
    <row r="1792" spans="1:4" x14ac:dyDescent="0.2">
      <c r="A1792" s="5">
        <v>1731</v>
      </c>
      <c r="B1792" s="138">
        <f>'Tax Sched 23'!F4</f>
        <v>6571284</v>
      </c>
      <c r="C1792" s="2" t="s">
        <v>594</v>
      </c>
      <c r="D1792" s="2" t="str">
        <f t="shared" si="27"/>
        <v>Error?</v>
      </c>
    </row>
    <row r="1793" spans="1:4" x14ac:dyDescent="0.2">
      <c r="A1793" s="5">
        <v>1732</v>
      </c>
      <c r="B1793" s="138">
        <f>'Tax Sched 23'!F5</f>
        <v>861217</v>
      </c>
      <c r="C1793" s="2" t="s">
        <v>594</v>
      </c>
      <c r="D1793" s="2" t="str">
        <f t="shared" si="27"/>
        <v>Error?</v>
      </c>
    </row>
    <row r="1794" spans="1:4" x14ac:dyDescent="0.2">
      <c r="A1794" s="5">
        <v>1733</v>
      </c>
      <c r="B1794" s="138">
        <f>'Tax Sched 23'!F6</f>
        <v>519811</v>
      </c>
      <c r="C1794" s="2" t="s">
        <v>594</v>
      </c>
      <c r="D1794" s="2" t="str">
        <f t="shared" si="27"/>
        <v>Error?</v>
      </c>
    </row>
    <row r="1795" spans="1:4" x14ac:dyDescent="0.2">
      <c r="A1795" s="5">
        <v>1734</v>
      </c>
      <c r="B1795" s="138">
        <f>'Tax Sched 23'!F7</f>
        <v>48907</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24371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85473</v>
      </c>
      <c r="C1800" s="2" t="s">
        <v>594</v>
      </c>
      <c r="D1800" s="2" t="str">
        <f t="shared" si="27"/>
        <v>Error?</v>
      </c>
    </row>
    <row r="1801" spans="1:4" x14ac:dyDescent="0.2">
      <c r="A1801" s="5">
        <v>1740</v>
      </c>
      <c r="B1801" s="138">
        <f>'Tax Sched 23'!F12</f>
        <v>146410</v>
      </c>
      <c r="C1801" s="2" t="s">
        <v>594</v>
      </c>
      <c r="D1801" s="2" t="str">
        <f t="shared" si="27"/>
        <v>Error?</v>
      </c>
    </row>
    <row r="1802" spans="1:4" x14ac:dyDescent="0.2">
      <c r="A1802" s="5">
        <v>1741</v>
      </c>
      <c r="B1802" s="138">
        <f>'Tax Sched 23'!F14</f>
        <v>626414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8883887</v>
      </c>
      <c r="C1807" s="2" t="s">
        <v>594</v>
      </c>
      <c r="D1807" s="2" t="str">
        <f t="shared" si="27"/>
        <v>Error?</v>
      </c>
    </row>
    <row r="1808" spans="1:4" x14ac:dyDescent="0.2">
      <c r="A1808" s="5">
        <v>1747</v>
      </c>
      <c r="B1808" s="138">
        <f>'Tax Sched 23'!E4</f>
        <v>12971222</v>
      </c>
      <c r="D1808" s="2" t="str">
        <f t="shared" si="27"/>
        <v>Error?</v>
      </c>
    </row>
    <row r="1809" spans="1:4" x14ac:dyDescent="0.2">
      <c r="A1809" s="5">
        <v>1748</v>
      </c>
      <c r="B1809" s="138">
        <f>'Tax Sched 23'!E5</f>
        <v>1699987</v>
      </c>
      <c r="D1809" s="2" t="str">
        <f t="shared" si="27"/>
        <v>Error?</v>
      </c>
    </row>
    <row r="1810" spans="1:4" x14ac:dyDescent="0.2">
      <c r="A1810" s="5">
        <v>1749</v>
      </c>
      <c r="B1810" s="138">
        <f>'Tax Sched 23'!E6</f>
        <v>1025916</v>
      </c>
      <c r="D1810" s="2" t="str">
        <f t="shared" si="27"/>
        <v>Error?</v>
      </c>
    </row>
    <row r="1811" spans="1:4" x14ac:dyDescent="0.2">
      <c r="A1811" s="5">
        <v>1750</v>
      </c>
      <c r="B1811" s="138">
        <f>'Tax Sched 23'!E7</f>
        <v>96546</v>
      </c>
      <c r="D1811" s="2" t="str">
        <f t="shared" si="27"/>
        <v>Error?</v>
      </c>
    </row>
    <row r="1812" spans="1:4" x14ac:dyDescent="0.2">
      <c r="A1812" s="5">
        <v>1751</v>
      </c>
      <c r="B1812" s="138">
        <f>'Tax Sched 23'!E8</f>
        <v>0</v>
      </c>
      <c r="D1812" s="2" t="str">
        <f t="shared" si="27"/>
        <v>Error?</v>
      </c>
    </row>
    <row r="1813" spans="1:4" x14ac:dyDescent="0.2">
      <c r="A1813" s="5">
        <v>1752</v>
      </c>
      <c r="B1813" s="138">
        <f>'Tax Sched 23'!E10</f>
        <v>48112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168715</v>
      </c>
      <c r="D1816" s="2" t="str">
        <f t="shared" si="27"/>
        <v>Error?</v>
      </c>
    </row>
    <row r="1817" spans="1:4" x14ac:dyDescent="0.2">
      <c r="A1817" s="5">
        <v>1756</v>
      </c>
      <c r="B1817" s="138">
        <f>'Tax Sched 23'!E12</f>
        <v>288997</v>
      </c>
      <c r="D1817" s="2" t="str">
        <f t="shared" si="27"/>
        <v>Error?</v>
      </c>
    </row>
    <row r="1818" spans="1:4" x14ac:dyDescent="0.2">
      <c r="A1818" s="5">
        <v>1757</v>
      </c>
      <c r="B1818" s="138">
        <f>'Tax Sched 23'!E14</f>
        <v>1236500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17535995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8312556</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1063187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1063187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1063187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425000</v>
      </c>
      <c r="D2008" s="2" t="str">
        <f t="shared" si="30"/>
        <v>Error?</v>
      </c>
    </row>
    <row r="2009" spans="1:4" x14ac:dyDescent="0.2">
      <c r="A2009" s="5">
        <v>1948</v>
      </c>
      <c r="B2009" s="138">
        <f>'Cap Outlay Deprec 26'!C8</f>
        <v>26054474</v>
      </c>
      <c r="D2009" s="2" t="str">
        <f t="shared" si="30"/>
        <v>Error?</v>
      </c>
    </row>
    <row r="2010" spans="1:4" x14ac:dyDescent="0.2">
      <c r="A2010" s="5">
        <v>1949</v>
      </c>
      <c r="B2010" s="138">
        <f>'Cap Outlay Deprec 26'!C10</f>
        <v>498548</v>
      </c>
      <c r="D2010" s="2" t="str">
        <f t="shared" si="30"/>
        <v>Error?</v>
      </c>
    </row>
    <row r="2011" spans="1:4" x14ac:dyDescent="0.2">
      <c r="A2011" s="5">
        <v>1950</v>
      </c>
      <c r="B2011" s="138">
        <f>'Cap Outlay Deprec 26'!C12</f>
        <v>5904661</v>
      </c>
      <c r="D2011" s="2" t="str">
        <f t="shared" si="30"/>
        <v>Error?</v>
      </c>
    </row>
    <row r="2012" spans="1:4" x14ac:dyDescent="0.2">
      <c r="A2012" s="5">
        <v>1951</v>
      </c>
      <c r="B2012" s="138">
        <f>'Cap Outlay Deprec 26'!C13</f>
        <v>892676</v>
      </c>
      <c r="D2012" s="2" t="str">
        <f t="shared" si="30"/>
        <v>Error?</v>
      </c>
    </row>
    <row r="2013" spans="1:4" x14ac:dyDescent="0.2">
      <c r="A2013" s="5">
        <v>1952</v>
      </c>
      <c r="B2013" s="138">
        <f>'Cap Outlay Deprec 26'!C16</f>
        <v>33775359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539473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134621</v>
      </c>
      <c r="D2017" s="2" t="str">
        <f t="shared" si="30"/>
        <v>Error?</v>
      </c>
    </row>
    <row r="2018" spans="1:4" x14ac:dyDescent="0.2">
      <c r="A2018" s="5">
        <v>1957</v>
      </c>
      <c r="B2018" s="138">
        <f>'Cap Outlay Deprec 26'!D13</f>
        <v>77706</v>
      </c>
      <c r="D2018" s="2" t="str">
        <f t="shared" si="30"/>
        <v>Error?</v>
      </c>
    </row>
    <row r="2019" spans="1:4" x14ac:dyDescent="0.2">
      <c r="A2019" s="5">
        <v>1958</v>
      </c>
      <c r="B2019" s="138">
        <f>'Cap Outlay Deprec 26'!D16</f>
        <v>751800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425000</v>
      </c>
      <c r="C2026" s="2" t="s">
        <v>594</v>
      </c>
      <c r="D2026" s="2" t="str">
        <f t="shared" si="30"/>
        <v>Error?</v>
      </c>
    </row>
    <row r="2027" spans="1:4" x14ac:dyDescent="0.2">
      <c r="A2027" s="5">
        <v>1966</v>
      </c>
      <c r="B2027" s="138">
        <f>'Cap Outlay Deprec 26'!F8</f>
        <v>26593947</v>
      </c>
      <c r="C2027" s="2" t="s">
        <v>594</v>
      </c>
      <c r="D2027" s="2" t="str">
        <f t="shared" si="30"/>
        <v>Error?</v>
      </c>
    </row>
    <row r="2028" spans="1:4" x14ac:dyDescent="0.2">
      <c r="A2028" s="5">
        <v>1967</v>
      </c>
      <c r="B2028" s="138">
        <f>'Cap Outlay Deprec 26'!F10</f>
        <v>498548</v>
      </c>
      <c r="C2028" s="2" t="s">
        <v>594</v>
      </c>
      <c r="D2028" s="2" t="str">
        <f t="shared" si="30"/>
        <v>Error?</v>
      </c>
    </row>
    <row r="2029" spans="1:4" x14ac:dyDescent="0.2">
      <c r="A2029" s="5">
        <v>1968</v>
      </c>
      <c r="B2029" s="138">
        <f>'Cap Outlay Deprec 26'!F12</f>
        <v>6039282</v>
      </c>
      <c r="C2029" s="2" t="s">
        <v>594</v>
      </c>
      <c r="D2029" s="2" t="str">
        <f t="shared" si="30"/>
        <v>Error?</v>
      </c>
    </row>
    <row r="2030" spans="1:4" x14ac:dyDescent="0.2">
      <c r="A2030" s="5">
        <v>1969</v>
      </c>
      <c r="B2030" s="138">
        <f>'Cap Outlay Deprec 26'!F13</f>
        <v>970382</v>
      </c>
      <c r="C2030" s="2" t="s">
        <v>594</v>
      </c>
      <c r="D2030" s="2" t="str">
        <f t="shared" si="30"/>
        <v>Error?</v>
      </c>
    </row>
    <row r="2031" spans="1:4" x14ac:dyDescent="0.2">
      <c r="A2031" s="5">
        <v>1970</v>
      </c>
      <c r="B2031" s="138">
        <f>'Cap Outlay Deprec 26'!F16</f>
        <v>34527159</v>
      </c>
      <c r="C2031" s="2" t="s">
        <v>594</v>
      </c>
      <c r="D2031" s="2" t="str">
        <f t="shared" si="30"/>
        <v>Error?</v>
      </c>
    </row>
    <row r="2032" spans="1:4" x14ac:dyDescent="0.2">
      <c r="A2032" s="10">
        <v>1971</v>
      </c>
      <c r="D2032" s="2" t="str">
        <f t="shared" si="30"/>
        <v>OK</v>
      </c>
    </row>
    <row r="2033" spans="1:4" x14ac:dyDescent="0.2">
      <c r="A2033" s="5">
        <v>1972</v>
      </c>
      <c r="B2033" s="138">
        <f>'Cap Outlay Deprec 26'!H8</f>
        <v>11081611</v>
      </c>
      <c r="D2033" s="2" t="str">
        <f t="shared" si="30"/>
        <v>Error?</v>
      </c>
    </row>
    <row r="2034" spans="1:4" x14ac:dyDescent="0.2">
      <c r="A2034" s="5">
        <v>1973</v>
      </c>
      <c r="B2034" s="138">
        <f>'Cap Outlay Deprec 26'!H10</f>
        <v>345781</v>
      </c>
      <c r="D2034" s="2" t="str">
        <f t="shared" si="30"/>
        <v>Error?</v>
      </c>
    </row>
    <row r="2035" spans="1:4" x14ac:dyDescent="0.2">
      <c r="A2035" s="5">
        <v>1974</v>
      </c>
      <c r="B2035" s="138">
        <f>'Cap Outlay Deprec 26'!H12</f>
        <v>4820943</v>
      </c>
      <c r="D2035" s="2" t="str">
        <f t="shared" si="30"/>
        <v>Error?</v>
      </c>
    </row>
    <row r="2036" spans="1:4" x14ac:dyDescent="0.2">
      <c r="A2036" s="5">
        <v>1975</v>
      </c>
      <c r="B2036" s="138">
        <f>'Cap Outlay Deprec 26'!H13</f>
        <v>800234</v>
      </c>
      <c r="D2036" s="2" t="str">
        <f t="shared" si="30"/>
        <v>Error?</v>
      </c>
    </row>
    <row r="2037" spans="1:4" x14ac:dyDescent="0.2">
      <c r="A2037" s="5">
        <v>1976</v>
      </c>
      <c r="B2037" s="138">
        <f>'Cap Outlay Deprec 26'!H16</f>
        <v>17048569</v>
      </c>
      <c r="C2037" s="2" t="s">
        <v>594</v>
      </c>
      <c r="D2037" s="2" t="str">
        <f t="shared" si="30"/>
        <v>Error?</v>
      </c>
    </row>
    <row r="2038" spans="1:4" x14ac:dyDescent="0.2">
      <c r="A2038" s="10">
        <v>1977</v>
      </c>
      <c r="D2038" s="2" t="str">
        <f t="shared" si="30"/>
        <v>OK</v>
      </c>
    </row>
    <row r="2039" spans="1:4" x14ac:dyDescent="0.2">
      <c r="A2039" s="5">
        <v>1978</v>
      </c>
      <c r="B2039" s="138">
        <f>'Cap Outlay Deprec 26'!I8</f>
        <v>531879</v>
      </c>
      <c r="D2039" s="2" t="str">
        <f t="shared" si="30"/>
        <v>Error?</v>
      </c>
    </row>
    <row r="2040" spans="1:4" x14ac:dyDescent="0.2">
      <c r="A2040" s="5">
        <v>1979</v>
      </c>
      <c r="B2040" s="138">
        <f>'Cap Outlay Deprec 26'!I10</f>
        <v>8986</v>
      </c>
      <c r="D2040" s="2" t="str">
        <f t="shared" si="30"/>
        <v>Error?</v>
      </c>
    </row>
    <row r="2041" spans="1:4" x14ac:dyDescent="0.2">
      <c r="A2041" s="5">
        <v>1980</v>
      </c>
      <c r="B2041" s="138">
        <f>'Cap Outlay Deprec 26'!I12</f>
        <v>226861</v>
      </c>
      <c r="D2041" s="2" t="str">
        <f t="shared" si="30"/>
        <v>Error?</v>
      </c>
    </row>
    <row r="2042" spans="1:4" x14ac:dyDescent="0.2">
      <c r="A2042" s="5">
        <v>1981</v>
      </c>
      <c r="B2042" s="138">
        <f>'Cap Outlay Deprec 26'!I13</f>
        <v>38684</v>
      </c>
      <c r="D2042" s="2" t="str">
        <f t="shared" si="30"/>
        <v>Error?</v>
      </c>
    </row>
    <row r="2043" spans="1:4" x14ac:dyDescent="0.2">
      <c r="A2043" s="5">
        <v>1982</v>
      </c>
      <c r="B2043" s="138">
        <f>'Cap Outlay Deprec 26'!I16</f>
        <v>806410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11613490</v>
      </c>
      <c r="C2051" s="2" t="s">
        <v>594</v>
      </c>
      <c r="D2051" s="2" t="str">
        <f t="shared" si="31"/>
        <v>Error?</v>
      </c>
    </row>
    <row r="2052" spans="1:4" x14ac:dyDescent="0.2">
      <c r="A2052" s="5">
        <v>1991</v>
      </c>
      <c r="B2052" s="138">
        <f>'Cap Outlay Deprec 26'!K10</f>
        <v>354767</v>
      </c>
      <c r="C2052" s="2" t="s">
        <v>594</v>
      </c>
      <c r="D2052" s="2" t="str">
        <f t="shared" si="31"/>
        <v>Error?</v>
      </c>
    </row>
    <row r="2053" spans="1:4" x14ac:dyDescent="0.2">
      <c r="A2053" s="5">
        <v>1992</v>
      </c>
      <c r="B2053" s="138">
        <f>'Cap Outlay Deprec 26'!K12</f>
        <v>5047804</v>
      </c>
      <c r="C2053" s="2" t="s">
        <v>594</v>
      </c>
      <c r="D2053" s="2" t="str">
        <f t="shared" si="31"/>
        <v>Error?</v>
      </c>
    </row>
    <row r="2054" spans="1:4" x14ac:dyDescent="0.2">
      <c r="A2054" s="5">
        <v>1993</v>
      </c>
      <c r="B2054" s="138">
        <f>'Cap Outlay Deprec 26'!K13</f>
        <v>838918</v>
      </c>
      <c r="C2054" s="2" t="s">
        <v>594</v>
      </c>
      <c r="D2054" s="2" t="str">
        <f t="shared" si="31"/>
        <v>Error?</v>
      </c>
    </row>
    <row r="2055" spans="1:4" x14ac:dyDescent="0.2">
      <c r="A2055" s="5">
        <v>1994</v>
      </c>
      <c r="B2055" s="138">
        <f>'Cap Outlay Deprec 26'!K16</f>
        <v>17854979</v>
      </c>
      <c r="C2055" s="2" t="s">
        <v>594</v>
      </c>
      <c r="D2055" s="2" t="str">
        <f t="shared" si="31"/>
        <v>Error?</v>
      </c>
    </row>
    <row r="2056" spans="1:4" x14ac:dyDescent="0.2">
      <c r="A2056" s="5">
        <v>1995</v>
      </c>
      <c r="B2056" s="138">
        <f>'Cap Outlay Deprec 26'!L5</f>
        <v>425000</v>
      </c>
      <c r="C2056" s="2" t="s">
        <v>594</v>
      </c>
      <c r="D2056" s="2" t="str">
        <f t="shared" si="31"/>
        <v>Error?</v>
      </c>
    </row>
    <row r="2057" spans="1:4" x14ac:dyDescent="0.2">
      <c r="A2057" s="5">
        <v>1996</v>
      </c>
      <c r="B2057" s="138">
        <f>'Cap Outlay Deprec 26'!L8</f>
        <v>14980457</v>
      </c>
      <c r="C2057" s="2" t="s">
        <v>594</v>
      </c>
      <c r="D2057" s="2" t="str">
        <f t="shared" si="31"/>
        <v>Error?</v>
      </c>
    </row>
    <row r="2058" spans="1:4" x14ac:dyDescent="0.2">
      <c r="A2058" s="5">
        <v>1997</v>
      </c>
      <c r="B2058" s="138">
        <f>'Cap Outlay Deprec 26'!L10</f>
        <v>143781</v>
      </c>
      <c r="C2058" s="2" t="s">
        <v>594</v>
      </c>
      <c r="D2058" s="2" t="str">
        <f t="shared" si="31"/>
        <v>Error?</v>
      </c>
    </row>
    <row r="2059" spans="1:4" x14ac:dyDescent="0.2">
      <c r="A2059" s="5">
        <v>1998</v>
      </c>
      <c r="B2059" s="138">
        <f>'Cap Outlay Deprec 26'!L12</f>
        <v>991478</v>
      </c>
      <c r="C2059" s="2" t="s">
        <v>594</v>
      </c>
      <c r="D2059" s="2" t="str">
        <f t="shared" si="31"/>
        <v>Error?</v>
      </c>
    </row>
    <row r="2060" spans="1:4" x14ac:dyDescent="0.2">
      <c r="A2060" s="5">
        <v>1999</v>
      </c>
      <c r="B2060" s="138">
        <f>'Cap Outlay Deprec 26'!L13</f>
        <v>131464</v>
      </c>
      <c r="C2060" s="2" t="s">
        <v>594</v>
      </c>
      <c r="D2060" s="2" t="str">
        <f t="shared" si="31"/>
        <v>Error?</v>
      </c>
    </row>
    <row r="2061" spans="1:4" x14ac:dyDescent="0.2">
      <c r="A2061" s="5">
        <v>2000</v>
      </c>
      <c r="B2061" s="138">
        <f>'Cap Outlay Deprec 26'!L16</f>
        <v>16672180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224742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224742</v>
      </c>
      <c r="C2088" s="2" t="s">
        <v>594</v>
      </c>
      <c r="D2088" s="2" t="str">
        <f t="shared" si="31"/>
        <v>Error?</v>
      </c>
    </row>
    <row r="2089" spans="1:4" x14ac:dyDescent="0.2">
      <c r="A2089" s="5">
        <v>2028</v>
      </c>
      <c r="B2089" s="138">
        <f>'Expenditures 15-22'!K92</f>
        <v>609092</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12316955</v>
      </c>
      <c r="C2551" s="2" t="s">
        <v>594</v>
      </c>
      <c r="D2551" s="2" t="str">
        <f t="shared" si="38"/>
        <v>Error?</v>
      </c>
    </row>
    <row r="2552" spans="1:4" x14ac:dyDescent="0.2">
      <c r="A2552" s="10">
        <v>2491</v>
      </c>
      <c r="D2552" s="2" t="str">
        <f t="shared" si="38"/>
        <v>OK</v>
      </c>
    </row>
    <row r="2553" spans="1:4" x14ac:dyDescent="0.2">
      <c r="A2553" s="5">
        <v>2492</v>
      </c>
      <c r="B2553" s="138">
        <f>'Acct Summary 7-8'!C6</f>
        <v>3178145</v>
      </c>
      <c r="C2553" s="2" t="s">
        <v>594</v>
      </c>
      <c r="D2553" s="2" t="str">
        <f t="shared" si="38"/>
        <v>Error?</v>
      </c>
    </row>
    <row r="2554" spans="1:4" x14ac:dyDescent="0.2">
      <c r="A2554" s="5">
        <v>2493</v>
      </c>
      <c r="B2554" s="138">
        <f>'Acct Summary 7-8'!C7</f>
        <v>993535</v>
      </c>
      <c r="C2554" s="2" t="s">
        <v>594</v>
      </c>
      <c r="D2554" s="2" t="str">
        <f t="shared" si="38"/>
        <v>Error?</v>
      </c>
    </row>
    <row r="2555" spans="1:4" x14ac:dyDescent="0.2">
      <c r="A2555" s="5">
        <v>2494</v>
      </c>
      <c r="B2555" s="138">
        <f>'Acct Summary 7-8'!C8</f>
        <v>16488635</v>
      </c>
      <c r="C2555" s="2" t="s">
        <v>594</v>
      </c>
      <c r="D2555" s="2" t="str">
        <f t="shared" si="38"/>
        <v>Error?</v>
      </c>
    </row>
    <row r="2556" spans="1:4" x14ac:dyDescent="0.2">
      <c r="A2556" s="5">
        <v>2495</v>
      </c>
      <c r="B2556" s="138">
        <f>'Acct Summary 7-8'!C12</f>
        <v>10502877</v>
      </c>
      <c r="C2556" s="2" t="s">
        <v>594</v>
      </c>
      <c r="D2556" s="2" t="str">
        <f t="shared" si="38"/>
        <v>Error?</v>
      </c>
    </row>
    <row r="2557" spans="1:4" x14ac:dyDescent="0.2">
      <c r="A2557" s="5">
        <v>2496</v>
      </c>
      <c r="B2557" s="138">
        <f>'Acct Summary 7-8'!C13</f>
        <v>3854955</v>
      </c>
      <c r="C2557" s="2" t="s">
        <v>594</v>
      </c>
      <c r="D2557" s="2" t="str">
        <f t="shared" si="38"/>
        <v>Error?</v>
      </c>
    </row>
    <row r="2558" spans="1:4" x14ac:dyDescent="0.2">
      <c r="A2558" s="5">
        <v>2497</v>
      </c>
      <c r="B2558" s="138">
        <f>'Acct Summary 7-8'!C14</f>
        <v>7772</v>
      </c>
      <c r="C2558" s="2" t="s">
        <v>594</v>
      </c>
      <c r="D2558" s="2" t="str">
        <f t="shared" si="38"/>
        <v>Error?</v>
      </c>
    </row>
    <row r="2559" spans="1:4" x14ac:dyDescent="0.2">
      <c r="A2559" s="5">
        <v>2498</v>
      </c>
      <c r="B2559" s="138">
        <f>'Acct Summary 7-8'!C15</f>
        <v>833834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15199438</v>
      </c>
      <c r="C2561" s="2" t="s">
        <v>594</v>
      </c>
      <c r="D2561" s="2" t="str">
        <f t="shared" si="39"/>
        <v>Error?</v>
      </c>
    </row>
    <row r="2562" spans="1:4" x14ac:dyDescent="0.2">
      <c r="A2562" s="5">
        <v>2501</v>
      </c>
      <c r="B2562" s="138">
        <f>'Acct Summary 7-8'!C20</f>
        <v>1289197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2115378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2115378</v>
      </c>
      <c r="C2568" s="2" t="s">
        <v>594</v>
      </c>
      <c r="D2568" s="2" t="str">
        <f t="shared" si="39"/>
        <v>Error?</v>
      </c>
    </row>
    <row r="2569" spans="1:4" x14ac:dyDescent="0.2">
      <c r="A2569" s="5">
        <v>2508</v>
      </c>
      <c r="B2569" s="138">
        <f>'Acct Summary 7-8'!D13</f>
        <v>2080085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2080085</v>
      </c>
      <c r="C2573" s="2" t="s">
        <v>594</v>
      </c>
      <c r="D2573" s="2" t="str">
        <f t="shared" si="39"/>
        <v>Error?</v>
      </c>
    </row>
    <row r="2574" spans="1:4" x14ac:dyDescent="0.2">
      <c r="A2574" s="5">
        <v>2513</v>
      </c>
      <c r="B2574" s="138">
        <f>'Acct Summary 7-8'!D20</f>
        <v>35293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847849</v>
      </c>
      <c r="C2591" s="2" t="s">
        <v>594</v>
      </c>
      <c r="D2591" s="2" t="str">
        <f t="shared" si="39"/>
        <v>Error?</v>
      </c>
    </row>
    <row r="2592" spans="1:4" x14ac:dyDescent="0.2">
      <c r="A2592" s="10">
        <v>2531</v>
      </c>
      <c r="D2592" s="2" t="str">
        <f t="shared" si="39"/>
        <v>OK</v>
      </c>
    </row>
    <row r="2593" spans="1:4" x14ac:dyDescent="0.2">
      <c r="A2593" s="5">
        <v>2532</v>
      </c>
      <c r="B2593" s="138">
        <f>'Acct Summary 7-8'!F6</f>
        <v>408284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1256133</v>
      </c>
      <c r="C2595" s="2" t="s">
        <v>594</v>
      </c>
      <c r="D2595" s="2" t="str">
        <f t="shared" si="39"/>
        <v>Error?</v>
      </c>
    </row>
    <row r="2596" spans="1:4" x14ac:dyDescent="0.2">
      <c r="A2596" s="5">
        <v>2535</v>
      </c>
      <c r="B2596" s="138">
        <f>'Acct Summary 7-8'!F13</f>
        <v>800373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800373</v>
      </c>
      <c r="C2600" s="2" t="s">
        <v>594</v>
      </c>
      <c r="D2600" s="2" t="str">
        <f t="shared" si="39"/>
        <v>Error?</v>
      </c>
    </row>
    <row r="2601" spans="1:4" x14ac:dyDescent="0.2">
      <c r="A2601" s="5">
        <v>2540</v>
      </c>
      <c r="B2601" s="138">
        <f>'Acct Summary 7-8'!F20</f>
        <v>455760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362216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362216</v>
      </c>
      <c r="C2606" s="2" t="s">
        <v>594</v>
      </c>
      <c r="D2606" s="2" t="str">
        <f t="shared" si="39"/>
        <v>Error?</v>
      </c>
    </row>
    <row r="2607" spans="1:4" x14ac:dyDescent="0.2">
      <c r="A2607" s="5">
        <v>2546</v>
      </c>
      <c r="B2607" s="138">
        <f>'Acct Summary 7-8'!G12</f>
        <v>161489</v>
      </c>
      <c r="C2607" s="2" t="s">
        <v>594</v>
      </c>
      <c r="D2607" s="2" t="str">
        <f t="shared" si="39"/>
        <v>Error?</v>
      </c>
    </row>
    <row r="2608" spans="1:4" x14ac:dyDescent="0.2">
      <c r="A2608" s="5">
        <v>2547</v>
      </c>
      <c r="B2608" s="138">
        <f>'Acct Summary 7-8'!G13</f>
        <v>356207</v>
      </c>
      <c r="C2608" s="2" t="s">
        <v>594</v>
      </c>
      <c r="D2608" s="2" t="str">
        <f t="shared" si="39"/>
        <v>Error?</v>
      </c>
    </row>
    <row r="2609" spans="1:4" x14ac:dyDescent="0.2">
      <c r="A2609" s="5">
        <v>2548</v>
      </c>
      <c r="B2609" s="138">
        <f>'Acct Summary 7-8'!G14</f>
        <v>1416</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519112</v>
      </c>
      <c r="C2612" s="2" t="s">
        <v>594</v>
      </c>
      <c r="D2612" s="2" t="str">
        <f t="shared" si="39"/>
        <v>Error?</v>
      </c>
    </row>
    <row r="2613" spans="1:4" x14ac:dyDescent="0.2">
      <c r="A2613" s="5">
        <v>2552</v>
      </c>
      <c r="B2613" s="138">
        <f>'Acct Summary 7-8'!G20</f>
        <v>-156896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927568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927568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967463</v>
      </c>
      <c r="C2634" s="2" t="s">
        <v>594</v>
      </c>
      <c r="D2634" s="2" t="str">
        <f t="shared" si="40"/>
        <v>Error?</v>
      </c>
    </row>
    <row r="2635" spans="1:4" x14ac:dyDescent="0.2">
      <c r="A2635" s="5">
        <v>2574</v>
      </c>
      <c r="B2635" s="138">
        <f>'Acct Summary 7-8'!E17</f>
        <v>967463</v>
      </c>
      <c r="C2635" s="2" t="s">
        <v>594</v>
      </c>
      <c r="D2635" s="2" t="str">
        <f t="shared" si="40"/>
        <v>Error?</v>
      </c>
    </row>
    <row r="2636" spans="1:4" x14ac:dyDescent="0.2">
      <c r="A2636" s="5">
        <v>2575</v>
      </c>
      <c r="B2636" s="138">
        <f>'Acct Summary 7-8'!E20</f>
        <v>-39895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1961864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33045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1961864</v>
      </c>
      <c r="D2912" s="2" t="str">
        <f t="shared" si="44"/>
        <v>Error?</v>
      </c>
    </row>
    <row r="2913" spans="1:4" x14ac:dyDescent="0.2">
      <c r="A2913" s="5">
        <v>2852</v>
      </c>
      <c r="B2913" s="138">
        <f>'Assets-Liab 5-6'!I41</f>
        <v>1961864</v>
      </c>
      <c r="C2913" s="2" t="s">
        <v>594</v>
      </c>
      <c r="D2913" s="2" t="str">
        <f t="shared" si="44"/>
        <v>Error?</v>
      </c>
    </row>
    <row r="2914" spans="1:4" x14ac:dyDescent="0.2">
      <c r="A2914" s="5">
        <v>2853</v>
      </c>
      <c r="B2914" s="138">
        <f>'Assets-Liab 5-6'!L33</f>
        <v>33045</v>
      </c>
      <c r="D2914" s="2" t="str">
        <f t="shared" si="44"/>
        <v>Error?</v>
      </c>
    </row>
    <row r="2915" spans="1:4" x14ac:dyDescent="0.2">
      <c r="A2915" s="10">
        <v>2854</v>
      </c>
      <c r="D2915" s="2" t="str">
        <f t="shared" si="44"/>
        <v>OK</v>
      </c>
    </row>
    <row r="2916" spans="1:4" x14ac:dyDescent="0.2">
      <c r="A2916" s="5">
        <v>2855</v>
      </c>
      <c r="B2916" s="138">
        <f>'Assets-Liab 5-6'!L34</f>
        <v>33045</v>
      </c>
      <c r="C2916" s="2" t="s">
        <v>594</v>
      </c>
      <c r="D2916" s="2" t="str">
        <f t="shared" si="44"/>
        <v>Error?</v>
      </c>
    </row>
    <row r="2917" spans="1:4" x14ac:dyDescent="0.2">
      <c r="A2917" s="5">
        <v>2856</v>
      </c>
      <c r="B2917" s="138">
        <f>'Assets-Liab 5-6'!L41</f>
        <v>33045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224742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224742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102882</v>
      </c>
      <c r="C3225" s="2" t="s">
        <v>594</v>
      </c>
      <c r="D3225" s="2" t="str">
        <f t="shared" si="49"/>
        <v>Error?</v>
      </c>
    </row>
    <row r="3226" spans="1:4" x14ac:dyDescent="0.2">
      <c r="A3226" s="5">
        <v>3165</v>
      </c>
      <c r="B3226" s="138">
        <f>'Acct Summary 7-8'!I8</f>
        <v>102882</v>
      </c>
      <c r="C3226" s="2" t="s">
        <v>594</v>
      </c>
      <c r="D3226" s="2" t="str">
        <f t="shared" si="49"/>
        <v>Error?</v>
      </c>
    </row>
    <row r="3227" spans="1:4" x14ac:dyDescent="0.2">
      <c r="A3227" s="5">
        <v>3166</v>
      </c>
      <c r="B3227" s="138">
        <f>'Acct Summary 7-8'!I20</f>
        <v>102882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1289197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35293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455760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-156896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-39895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102882</v>
      </c>
      <c r="C3320" s="2" t="s">
        <v>594</v>
      </c>
      <c r="D3320" s="2" t="str">
        <f t="shared" si="50"/>
        <v>Error?</v>
      </c>
    </row>
    <row r="3321" spans="1:4" x14ac:dyDescent="0.2">
      <c r="A3321" s="5">
        <v>3260</v>
      </c>
      <c r="B3321" s="138">
        <f>'Acct Summary 7-8'!I79</f>
        <v>1858982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1961864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1229690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299570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76348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16159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1621767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89596</v>
      </c>
      <c r="D3387" s="2" t="str">
        <f t="shared" si="51"/>
        <v>Error?</v>
      </c>
    </row>
    <row r="3388" spans="1:4" x14ac:dyDescent="0.2">
      <c r="A3388" s="5">
        <v>3327</v>
      </c>
      <c r="B3388" s="138">
        <f>'Expenditures 15-22'!D217</f>
        <v>46245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89596</v>
      </c>
      <c r="C3390" s="2" t="s">
        <v>594</v>
      </c>
      <c r="D3390" s="2" t="str">
        <f t="shared" si="51"/>
        <v>Error?</v>
      </c>
    </row>
    <row r="3391" spans="1:4" x14ac:dyDescent="0.2">
      <c r="A3391" s="5">
        <v>3330</v>
      </c>
      <c r="B3391" s="138">
        <f>'Expenditures 15-22'!K217</f>
        <v>46245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14653166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5399190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341491</v>
      </c>
      <c r="D3417" s="2" t="str">
        <f t="shared" si="52"/>
        <v>Error?</v>
      </c>
    </row>
    <row r="3418" spans="1:4" x14ac:dyDescent="0.2">
      <c r="A3418" s="10">
        <v>3357</v>
      </c>
      <c r="D3418" s="2" t="str">
        <f t="shared" si="52"/>
        <v>OK</v>
      </c>
    </row>
    <row r="3419" spans="1:4" x14ac:dyDescent="0.2">
      <c r="A3419" s="5">
        <v>3358</v>
      </c>
      <c r="B3419" s="138">
        <f>'Assets-Liab 5-6'!F4</f>
        <v>3406827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736872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1961864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33045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162581</v>
      </c>
      <c r="C3446" s="2" t="s">
        <v>594</v>
      </c>
      <c r="D3446" s="2" t="str">
        <f t="shared" si="52"/>
        <v>Error?</v>
      </c>
    </row>
    <row r="3447" spans="1:4" x14ac:dyDescent="0.2">
      <c r="A3447" s="5">
        <v>3386</v>
      </c>
      <c r="B3447" s="138">
        <f>'Tax Sched 23'!D16</f>
        <v>162581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805427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805427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805427</v>
      </c>
      <c r="D3567" s="2" t="str">
        <f t="shared" si="54"/>
        <v>Error?</v>
      </c>
    </row>
    <row r="3568" spans="1:4" x14ac:dyDescent="0.2">
      <c r="A3568" s="5">
        <v>3507</v>
      </c>
      <c r="B3568" s="138">
        <f>'Assets-Liab 5-6'!K41</f>
        <v>805427</v>
      </c>
      <c r="C3568" s="2" t="s">
        <v>594</v>
      </c>
      <c r="D3568" s="2" t="str">
        <f t="shared" si="54"/>
        <v>Error?</v>
      </c>
    </row>
    <row r="3569" spans="1:4" x14ac:dyDescent="0.2">
      <c r="A3569" s="5">
        <v>3508</v>
      </c>
      <c r="B3569" s="138">
        <f>'Acct Summary 7-8'!K4</f>
        <v>264036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264036</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264036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264036</v>
      </c>
      <c r="C3588" s="2" t="s">
        <v>594</v>
      </c>
      <c r="D3588" s="2" t="str">
        <f t="shared" si="55"/>
        <v>Error?</v>
      </c>
    </row>
    <row r="3589" spans="1:4" x14ac:dyDescent="0.2">
      <c r="A3589" s="5">
        <v>3528</v>
      </c>
      <c r="B3589" s="138">
        <f>'Acct Summary 7-8'!K79</f>
        <v>541391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805427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264036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331838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6142091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22630726</v>
      </c>
      <c r="C4122" s="2" t="s">
        <v>594</v>
      </c>
      <c r="D4122" s="2" t="str">
        <f t="shared" si="63"/>
        <v>Error?</v>
      </c>
    </row>
    <row r="4123" spans="1:4" x14ac:dyDescent="0.2">
      <c r="A4123" s="5">
        <v>4062</v>
      </c>
      <c r="B4123" s="138">
        <f>'Acct Summary 7-8'!D10</f>
        <v>2115378</v>
      </c>
      <c r="C4123" s="2" t="s">
        <v>594</v>
      </c>
      <c r="D4123" s="2" t="str">
        <f t="shared" si="63"/>
        <v>Error?</v>
      </c>
    </row>
    <row r="4124" spans="1:4" x14ac:dyDescent="0.2">
      <c r="A4124" s="5">
        <v>4063</v>
      </c>
      <c r="B4124" s="138">
        <f>'Acct Summary 7-8'!E10</f>
        <v>927568</v>
      </c>
      <c r="C4124" s="2" t="s">
        <v>594</v>
      </c>
      <c r="D4124" s="2" t="str">
        <f t="shared" si="63"/>
        <v>Error?</v>
      </c>
    </row>
    <row r="4125" spans="1:4" x14ac:dyDescent="0.2">
      <c r="A4125" s="5">
        <v>4064</v>
      </c>
      <c r="B4125" s="138">
        <f>'Acct Summary 7-8'!F10</f>
        <v>1256133</v>
      </c>
      <c r="C4125" s="2" t="s">
        <v>594</v>
      </c>
      <c r="D4125" s="2" t="str">
        <f t="shared" si="63"/>
        <v>Error?</v>
      </c>
    </row>
    <row r="4126" spans="1:4" x14ac:dyDescent="0.2">
      <c r="A4126" s="5">
        <v>4065</v>
      </c>
      <c r="B4126" s="138">
        <f>'Acct Summary 7-8'!G10</f>
        <v>362216</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102882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264036</v>
      </c>
      <c r="C4130" s="2" t="s">
        <v>594</v>
      </c>
      <c r="D4130" s="2" t="str">
        <f t="shared" si="63"/>
        <v>Error?</v>
      </c>
    </row>
    <row r="4131" spans="1:4" x14ac:dyDescent="0.2">
      <c r="A4131" s="5">
        <v>4070</v>
      </c>
      <c r="B4131" s="138">
        <f>'Acct Summary 7-8'!C18</f>
        <v>6142091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21341529</v>
      </c>
      <c r="C4136" s="2" t="s">
        <v>594</v>
      </c>
      <c r="D4136" s="2" t="str">
        <f t="shared" si="63"/>
        <v>Error?</v>
      </c>
    </row>
    <row r="4137" spans="1:4" x14ac:dyDescent="0.2">
      <c r="A4137" s="5">
        <v>4076</v>
      </c>
      <c r="B4137" s="138">
        <f>'Acct Summary 7-8'!D19</f>
        <v>2080085</v>
      </c>
      <c r="C4137" s="2" t="s">
        <v>594</v>
      </c>
      <c r="D4137" s="2" t="str">
        <f t="shared" si="63"/>
        <v>Error?</v>
      </c>
    </row>
    <row r="4138" spans="1:4" x14ac:dyDescent="0.2">
      <c r="A4138" s="5">
        <v>4077</v>
      </c>
      <c r="B4138" s="138">
        <f>'Acct Summary 7-8'!E19</f>
        <v>967463</v>
      </c>
      <c r="C4138" s="2" t="s">
        <v>594</v>
      </c>
      <c r="D4138" s="2" t="str">
        <f t="shared" si="63"/>
        <v>Error?</v>
      </c>
    </row>
    <row r="4139" spans="1:4" x14ac:dyDescent="0.2">
      <c r="A4139" s="5">
        <v>4078</v>
      </c>
      <c r="B4139" s="138">
        <f>'Acct Summary 7-8'!F19</f>
        <v>800373</v>
      </c>
      <c r="C4139" s="2" t="s">
        <v>594</v>
      </c>
      <c r="D4139" s="2" t="str">
        <f t="shared" si="63"/>
        <v>Error?</v>
      </c>
    </row>
    <row r="4140" spans="1:4" x14ac:dyDescent="0.2">
      <c r="A4140" s="5">
        <v>4079</v>
      </c>
      <c r="B4140" s="138">
        <f>'Acct Summary 7-8'!G19</f>
        <v>519112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7761019</v>
      </c>
      <c r="C4171" s="2" t="s">
        <v>594</v>
      </c>
      <c r="D4171" s="2" t="str">
        <f t="shared" si="64"/>
        <v>Error?</v>
      </c>
    </row>
    <row r="4172" spans="1:4" x14ac:dyDescent="0.2">
      <c r="A4172" s="5">
        <v>4111</v>
      </c>
      <c r="B4172" s="138">
        <f>'Short-Term Long-Term Debt 24'!J49</f>
        <v>7419528</v>
      </c>
      <c r="C4172" s="2" t="s">
        <v>594</v>
      </c>
      <c r="D4172" s="2" t="str">
        <f t="shared" si="64"/>
        <v>Error?</v>
      </c>
    </row>
    <row r="4173" spans="1:4" x14ac:dyDescent="0.2">
      <c r="A4173" s="5">
        <v>4112</v>
      </c>
      <c r="B4173" s="138">
        <f>'Short-Term Long-Term Debt 24'!H49</f>
        <v>551537</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4043.9999999999995</v>
      </c>
      <c r="C4265" s="2" t="s">
        <v>594</v>
      </c>
      <c r="D4265" s="2" t="str">
        <f t="shared" si="65"/>
        <v>Error?</v>
      </c>
      <c r="E4265" s="128"/>
    </row>
    <row r="4266" spans="1:5" x14ac:dyDescent="0.2">
      <c r="A4266" s="12">
        <v>4205</v>
      </c>
      <c r="B4266" s="138">
        <f>('FP Info 3'!F10)*100000</f>
        <v>530</v>
      </c>
      <c r="C4266" s="2" t="s">
        <v>594</v>
      </c>
      <c r="D4266" s="2" t="str">
        <f t="shared" si="65"/>
        <v>Error?</v>
      </c>
      <c r="E4266" s="128"/>
    </row>
    <row r="4267" spans="1:5" x14ac:dyDescent="0.2">
      <c r="A4267" s="12">
        <v>4206</v>
      </c>
      <c r="B4267" s="138">
        <f>('FP Info 3'!H10)*100000</f>
        <v>30.1</v>
      </c>
      <c r="C4267" s="2" t="s">
        <v>594</v>
      </c>
      <c r="D4267" s="2" t="str">
        <f t="shared" si="65"/>
        <v>Error?</v>
      </c>
      <c r="E4267" s="128"/>
    </row>
    <row r="4268" spans="1:5" x14ac:dyDescent="0.2">
      <c r="A4268" s="12">
        <v>4207</v>
      </c>
      <c r="B4268" s="138">
        <f>('FP Info 3'!J10)*100000</f>
        <v>4604</v>
      </c>
      <c r="C4268" s="2" t="s">
        <v>594</v>
      </c>
      <c r="D4268" s="2" t="str">
        <f t="shared" si="65"/>
        <v>Error?</v>
      </c>
    </row>
    <row r="4269" spans="1:5" x14ac:dyDescent="0.2">
      <c r="A4269" s="12">
        <v>4208</v>
      </c>
      <c r="B4269" s="138">
        <f>'FP Info 3'!J16</f>
        <v>25421047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23490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115761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2700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52003</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28262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14.999999999999998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20014</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35852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320752292</v>
      </c>
      <c r="D4995" s="2" t="str">
        <f t="shared" si="77"/>
        <v>Error?</v>
      </c>
    </row>
    <row r="4996" spans="1:4" x14ac:dyDescent="0.2">
      <c r="A4996" s="12">
        <v>4935</v>
      </c>
      <c r="B4996" s="138">
        <f>'FP Info 3'!H31</f>
        <v>22131908.148000002</v>
      </c>
      <c r="D4996" s="2" t="str">
        <f t="shared" si="77"/>
        <v>Error?</v>
      </c>
    </row>
    <row r="4997" spans="1:4" x14ac:dyDescent="0.2">
      <c r="A4997" s="12">
        <v>4936</v>
      </c>
      <c r="B4997" s="138">
        <f>'FP Info 3'!H37</f>
        <v>7761019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10365180</v>
      </c>
      <c r="D5061" s="2" t="str">
        <f t="shared" si="78"/>
        <v>Error?</v>
      </c>
    </row>
    <row r="5062" spans="1:4" x14ac:dyDescent="0.2">
      <c r="A5062" s="10">
        <v>5001</v>
      </c>
      <c r="D5062" s="2" t="str">
        <f t="shared" si="78"/>
        <v>OK</v>
      </c>
    </row>
    <row r="5063" spans="1:4" x14ac:dyDescent="0.2">
      <c r="A5063" s="5">
        <v>5002</v>
      </c>
      <c r="B5063" s="138">
        <f>'Revenues 9-14'!C7</f>
        <v>1063187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11428367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200000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200000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233011</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233011</v>
      </c>
      <c r="C5087" s="2" t="s">
        <v>594</v>
      </c>
      <c r="D5087" s="2" t="str">
        <f t="shared" si="78"/>
        <v>Error?</v>
      </c>
    </row>
    <row r="5088" spans="1:4" x14ac:dyDescent="0.2">
      <c r="A5088" s="5">
        <v>5027</v>
      </c>
      <c r="B5088" s="138">
        <f>'Revenues 9-14'!C65</f>
        <v>163878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163878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106033</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14569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14569</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149304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1779</v>
      </c>
      <c r="D5119" s="2" t="str">
        <f t="shared" ref="D5119:D5182" si="79">IF(ISBLANK(B5119),"OK",IF(A5119-B5119=0,"OK","Error?"))</f>
        <v>Error?</v>
      </c>
    </row>
    <row r="5120" spans="1:4" x14ac:dyDescent="0.2">
      <c r="A5120" s="5">
        <v>5059</v>
      </c>
      <c r="B5120" s="138">
        <f>'Revenues 9-14'!C108</f>
        <v>171097</v>
      </c>
      <c r="C5120" s="2" t="s">
        <v>594</v>
      </c>
      <c r="D5120" s="2" t="str">
        <f t="shared" si="79"/>
        <v>Error?</v>
      </c>
    </row>
    <row r="5121" spans="1:4" x14ac:dyDescent="0.2">
      <c r="A5121" s="5">
        <v>5060</v>
      </c>
      <c r="B5121" s="138">
        <f>'Revenues 9-14'!C109</f>
        <v>12316955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2476080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2476080</v>
      </c>
      <c r="C5132" s="2" t="s">
        <v>594</v>
      </c>
      <c r="D5132" s="2" t="str">
        <f t="shared" si="79"/>
        <v>Error?</v>
      </c>
    </row>
    <row r="5133" spans="1:4" x14ac:dyDescent="0.2">
      <c r="A5133" s="5">
        <v>5072</v>
      </c>
      <c r="B5133" s="138">
        <f>'Revenues 9-14'!C124</f>
        <v>179885</v>
      </c>
      <c r="D5133" s="2" t="str">
        <f t="shared" si="79"/>
        <v>Error?</v>
      </c>
    </row>
    <row r="5134" spans="1:4" x14ac:dyDescent="0.2">
      <c r="A5134" s="5">
        <v>5073</v>
      </c>
      <c r="B5134" s="138">
        <f>'Revenues 9-14'!C125</f>
        <v>90982</v>
      </c>
      <c r="D5134" s="2" t="str">
        <f t="shared" si="79"/>
        <v>Error?</v>
      </c>
    </row>
    <row r="5135" spans="1:4" x14ac:dyDescent="0.2">
      <c r="A5135" s="5">
        <v>5074</v>
      </c>
      <c r="B5135" s="138">
        <f>'Revenues 9-14'!C126</f>
        <v>118923</v>
      </c>
      <c r="D5135" s="2" t="str">
        <f t="shared" si="79"/>
        <v>Error?</v>
      </c>
    </row>
    <row r="5136" spans="1:4" x14ac:dyDescent="0.2">
      <c r="A5136" s="10">
        <v>5075</v>
      </c>
      <c r="D5136" s="2" t="str">
        <f t="shared" si="79"/>
        <v>OK</v>
      </c>
    </row>
    <row r="5137" spans="1:4" x14ac:dyDescent="0.2">
      <c r="A5137" s="5">
        <v>5076</v>
      </c>
      <c r="B5137" s="138">
        <f>'Revenues 9-14'!C127</f>
        <v>5203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394993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1246</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1246</v>
      </c>
      <c r="C5161" s="2" t="s">
        <v>594</v>
      </c>
      <c r="D5161" s="2" t="str">
        <f t="shared" si="79"/>
        <v>Error?</v>
      </c>
    </row>
    <row r="5162" spans="1:4" x14ac:dyDescent="0.2">
      <c r="A5162" s="10">
        <v>5101</v>
      </c>
      <c r="D5162" s="2" t="str">
        <f t="shared" si="79"/>
        <v>OK</v>
      </c>
    </row>
    <row r="5163" spans="1:4" x14ac:dyDescent="0.2">
      <c r="A5163" s="5">
        <v>5102</v>
      </c>
      <c r="B5163" s="138">
        <f>'Revenues 9-14'!C142</f>
        <v>106093</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106093</v>
      </c>
      <c r="C5165" s="2" t="s">
        <v>594</v>
      </c>
      <c r="D5165" s="2" t="str">
        <f t="shared" si="79"/>
        <v>Error?</v>
      </c>
    </row>
    <row r="5166" spans="1:4" x14ac:dyDescent="0.2">
      <c r="A5166" s="10">
        <v>5105</v>
      </c>
      <c r="D5166" s="2" t="str">
        <f t="shared" si="79"/>
        <v>OK</v>
      </c>
    </row>
    <row r="5167" spans="1:4" x14ac:dyDescent="0.2">
      <c r="A5167" s="5">
        <v>5106</v>
      </c>
      <c r="B5167" s="138">
        <f>'Revenues 9-14'!C145</f>
        <v>4281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159600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702065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3178145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331837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331837</v>
      </c>
      <c r="C5246" s="2" t="s">
        <v>594</v>
      </c>
      <c r="D5246" s="2" t="str">
        <f t="shared" si="80"/>
        <v>Error?</v>
      </c>
    </row>
    <row r="5247" spans="1:4" x14ac:dyDescent="0.2">
      <c r="A5247" s="5">
        <v>5186</v>
      </c>
      <c r="B5247" s="138">
        <f>'Revenues 9-14'!C203</f>
        <v>207923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2700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207923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23033</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181743</v>
      </c>
      <c r="D5278" s="2" t="str">
        <f t="shared" si="81"/>
        <v>Error?</v>
      </c>
    </row>
    <row r="5279" spans="1:4" x14ac:dyDescent="0.2">
      <c r="A5279" s="5">
        <v>5218</v>
      </c>
      <c r="B5279" s="138">
        <f>'Revenues 9-14'!C221</f>
        <v>26783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231559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993535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993535</v>
      </c>
      <c r="C5326" s="2" t="s">
        <v>594</v>
      </c>
      <c r="D5326" s="2" t="str">
        <f t="shared" si="82"/>
        <v>Error?</v>
      </c>
    </row>
    <row r="5327" spans="1:4" x14ac:dyDescent="0.2">
      <c r="A5327" s="5">
        <v>5266</v>
      </c>
      <c r="B5327" s="138">
        <f>'Revenues 9-14'!C275</f>
        <v>16488635</v>
      </c>
      <c r="C5327" s="2" t="s">
        <v>594</v>
      </c>
      <c r="D5327" s="2" t="str">
        <f t="shared" si="82"/>
        <v>Error?</v>
      </c>
    </row>
    <row r="5328" spans="1:4" x14ac:dyDescent="0.2">
      <c r="A5328" s="5">
        <v>5267</v>
      </c>
      <c r="B5328" s="138">
        <f>'Revenues 9-14'!D5</f>
        <v>1461853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1461853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507697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507697</v>
      </c>
      <c r="C5339" s="2" t="s">
        <v>594</v>
      </c>
      <c r="D5339" s="2" t="str">
        <f t="shared" si="82"/>
        <v>Error?</v>
      </c>
    </row>
    <row r="5340" spans="1:4" x14ac:dyDescent="0.2">
      <c r="A5340" s="5">
        <v>5279</v>
      </c>
      <c r="B5340" s="138">
        <f>'Revenues 9-14'!D65</f>
        <v>60670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60670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85158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85158</v>
      </c>
      <c r="C5355" s="2" t="s">
        <v>594</v>
      </c>
      <c r="D5355" s="2" t="str">
        <f t="shared" si="82"/>
        <v>Error?</v>
      </c>
    </row>
    <row r="5356" spans="1:4" x14ac:dyDescent="0.2">
      <c r="A5356" s="5">
        <v>5295</v>
      </c>
      <c r="B5356" s="138">
        <f>'Revenues 9-14'!D109</f>
        <v>2115378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2115378</v>
      </c>
      <c r="C5508" s="2" t="s">
        <v>594</v>
      </c>
      <c r="D5508" s="2" t="str">
        <f t="shared" si="85"/>
        <v>Error?</v>
      </c>
    </row>
    <row r="5509" spans="1:4" x14ac:dyDescent="0.2">
      <c r="A5509" s="5">
        <v>5448</v>
      </c>
      <c r="B5509" s="138">
        <f>'Revenues 9-14'!E5</f>
        <v>923719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923719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3849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3849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927568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927568</v>
      </c>
      <c r="C5552" s="2" t="s">
        <v>594</v>
      </c>
      <c r="D5552" s="2" t="str">
        <f t="shared" si="85"/>
        <v>Error?</v>
      </c>
    </row>
    <row r="5553" spans="1:4" x14ac:dyDescent="0.2">
      <c r="A5553" s="5">
        <v>5492</v>
      </c>
      <c r="B5553" s="138">
        <f>'Revenues 9-14'!F5</f>
        <v>808821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808821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39028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39028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847849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23836</v>
      </c>
      <c r="D5615" s="2" t="str">
        <f t="shared" si="86"/>
        <v>Error?</v>
      </c>
    </row>
    <row r="5616" spans="1:4" x14ac:dyDescent="0.2">
      <c r="A5616" s="10">
        <v>5555</v>
      </c>
      <c r="D5616" s="2" t="str">
        <f t="shared" si="86"/>
        <v>OK</v>
      </c>
    </row>
    <row r="5617" spans="1:4" x14ac:dyDescent="0.2">
      <c r="A5617" s="5">
        <v>5556</v>
      </c>
      <c r="B5617" s="138">
        <f>'Revenues 9-14'!F152</f>
        <v>384448</v>
      </c>
      <c r="D5617" s="2" t="str">
        <f t="shared" si="86"/>
        <v>Error?</v>
      </c>
    </row>
    <row r="5618" spans="1:4" x14ac:dyDescent="0.2">
      <c r="A5618" s="5">
        <v>5557</v>
      </c>
      <c r="B5618" s="138">
        <f>'Revenues 9-14'!F154</f>
        <v>408284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408284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408284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1256133</v>
      </c>
      <c r="C5720" s="2" t="s">
        <v>594</v>
      </c>
      <c r="D5720" s="2" t="str">
        <f t="shared" si="88"/>
        <v>Error?</v>
      </c>
    </row>
    <row r="5721" spans="1:4" x14ac:dyDescent="0.2">
      <c r="A5721" s="5">
        <v>5660</v>
      </c>
      <c r="B5721" s="138">
        <f>'Revenues 9-14'!G5</f>
        <v>162581</v>
      </c>
      <c r="D5721" s="2" t="str">
        <f t="shared" si="88"/>
        <v>Error?</v>
      </c>
    </row>
    <row r="5722" spans="1:4" x14ac:dyDescent="0.2">
      <c r="A5722" s="5">
        <v>5661</v>
      </c>
      <c r="B5722" s="138">
        <f>'Revenues 9-14'!G7</f>
        <v>0</v>
      </c>
      <c r="D5722" s="2" t="str">
        <f t="shared" si="88"/>
        <v>Error?</v>
      </c>
    </row>
    <row r="5723" spans="1:4" x14ac:dyDescent="0.2">
      <c r="A5723" s="5">
        <v>5662</v>
      </c>
      <c r="B5723" s="138">
        <f>'Revenues 9-14'!G8</f>
        <v>162581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325162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25000</v>
      </c>
      <c r="C5730" s="2" t="s">
        <v>594</v>
      </c>
      <c r="D5730" s="2" t="str">
        <f t="shared" si="88"/>
        <v>Error?</v>
      </c>
    </row>
    <row r="5731" spans="1:4" x14ac:dyDescent="0.2">
      <c r="A5731" s="5">
        <v>5670</v>
      </c>
      <c r="B5731" s="138">
        <f>'Revenues 9-14'!G65</f>
        <v>12054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12054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362216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80349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80349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22533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22533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102882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255960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255960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8076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8076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264036</v>
      </c>
      <c r="C6023" s="2" t="s">
        <v>594</v>
      </c>
      <c r="D6023" s="2" t="str">
        <f t="shared" si="93"/>
        <v>Error?</v>
      </c>
    </row>
    <row r="6024" spans="1:5" x14ac:dyDescent="0.2">
      <c r="A6024" s="5">
        <v>5963</v>
      </c>
      <c r="B6024" s="138">
        <f>'Revenues 9-14'!G109</f>
        <v>362216</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102882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264036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106033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40267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1206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217607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217607</v>
      </c>
      <c r="D6215" s="2" t="str">
        <f t="shared" si="96"/>
        <v>Error?</v>
      </c>
      <c r="E6215" s="2" t="s">
        <v>199</v>
      </c>
    </row>
    <row r="6216" spans="1:5" x14ac:dyDescent="0.2">
      <c r="A6216">
        <v>6155</v>
      </c>
      <c r="B6216" s="138">
        <f>'Assets-Liab 5-6'!J41</f>
        <v>217607</v>
      </c>
      <c r="D6216" s="2" t="str">
        <f t="shared" si="96"/>
        <v>Error?</v>
      </c>
      <c r="E6216" s="2" t="s">
        <v>199</v>
      </c>
    </row>
    <row r="6217" spans="1:5" x14ac:dyDescent="0.2">
      <c r="A6217">
        <v>6156</v>
      </c>
      <c r="B6217" s="138">
        <f>'Assets-Liab 5-6'!J4</f>
        <v>217607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167599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167599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167599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115988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115988</v>
      </c>
      <c r="D6229" s="2" t="str">
        <f t="shared" si="96"/>
        <v>Error?</v>
      </c>
      <c r="E6229" s="2" t="s">
        <v>199</v>
      </c>
    </row>
    <row r="6230" spans="1:5" x14ac:dyDescent="0.2">
      <c r="A6230">
        <v>6169</v>
      </c>
      <c r="B6230" s="138">
        <f>'Acct Summary 7-8'!J20</f>
        <v>51611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51611</v>
      </c>
      <c r="D6263" s="2" t="str">
        <f t="shared" si="96"/>
        <v>Error?</v>
      </c>
      <c r="E6263" s="2" t="s">
        <v>199</v>
      </c>
    </row>
    <row r="6264" spans="1:5" x14ac:dyDescent="0.2">
      <c r="A6264">
        <v>6203</v>
      </c>
      <c r="B6264" s="138">
        <f>'Acct Summary 7-8'!J79</f>
        <v>165996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217607</v>
      </c>
      <c r="D6266" s="2" t="str">
        <f t="shared" si="96"/>
        <v>Error?</v>
      </c>
      <c r="E6266" s="2" t="s">
        <v>199</v>
      </c>
    </row>
    <row r="6267" spans="1:5" x14ac:dyDescent="0.2">
      <c r="A6267">
        <v>6206</v>
      </c>
      <c r="B6267" s="138">
        <f>'Acct Summary 7-8'!C82</f>
        <v>1289197</v>
      </c>
      <c r="D6267" s="2" t="str">
        <f t="shared" si="96"/>
        <v>Error?</v>
      </c>
      <c r="E6267" s="2" t="s">
        <v>199</v>
      </c>
    </row>
    <row r="6268" spans="1:5" x14ac:dyDescent="0.2">
      <c r="A6268">
        <v>6207</v>
      </c>
      <c r="B6268" s="138">
        <f>'Acct Summary 7-8'!D82</f>
        <v>35293</v>
      </c>
      <c r="D6268" s="2" t="str">
        <f t="shared" si="96"/>
        <v>Error?</v>
      </c>
      <c r="E6268" s="2" t="s">
        <v>199</v>
      </c>
    </row>
    <row r="6269" spans="1:5" x14ac:dyDescent="0.2">
      <c r="A6269">
        <v>6208</v>
      </c>
      <c r="B6269" s="138">
        <f>'Acct Summary 7-8'!E82</f>
        <v>-39895</v>
      </c>
      <c r="D6269" s="2" t="str">
        <f t="shared" si="96"/>
        <v>Error?</v>
      </c>
      <c r="E6269" s="2" t="s">
        <v>199</v>
      </c>
    </row>
    <row r="6270" spans="1:5" x14ac:dyDescent="0.2">
      <c r="A6270">
        <v>6209</v>
      </c>
      <c r="B6270" s="138">
        <f>'Acct Summary 7-8'!F82</f>
        <v>455760</v>
      </c>
      <c r="D6270" s="2" t="str">
        <f t="shared" si="96"/>
        <v>Error?</v>
      </c>
      <c r="E6270" s="2" t="s">
        <v>199</v>
      </c>
    </row>
    <row r="6271" spans="1:5" x14ac:dyDescent="0.2">
      <c r="A6271">
        <v>6210</v>
      </c>
      <c r="B6271" s="138">
        <f>'Acct Summary 7-8'!G82</f>
        <v>-156896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102882</v>
      </c>
      <c r="D6273" s="2" t="str">
        <f t="shared" si="97"/>
        <v>Error?</v>
      </c>
      <c r="E6273" s="2" t="s">
        <v>199</v>
      </c>
    </row>
    <row r="6274" spans="1:5" x14ac:dyDescent="0.2">
      <c r="A6274">
        <v>6213</v>
      </c>
      <c r="B6274" s="138">
        <f>'Acct Summary 7-8'!J82</f>
        <v>51611</v>
      </c>
      <c r="D6274" s="2" t="str">
        <f t="shared" si="97"/>
        <v>Error?</v>
      </c>
      <c r="E6274" s="2" t="s">
        <v>199</v>
      </c>
    </row>
    <row r="6275" spans="1:5" x14ac:dyDescent="0.2">
      <c r="A6275">
        <v>6214</v>
      </c>
      <c r="B6275" s="138">
        <f>'Acct Summary 7-8'!K82</f>
        <v>264036</v>
      </c>
      <c r="D6275" s="2" t="str">
        <f t="shared" si="97"/>
        <v>Error?</v>
      </c>
      <c r="E6275" s="2" t="s">
        <v>199</v>
      </c>
    </row>
    <row r="6276" spans="1:5" x14ac:dyDescent="0.2">
      <c r="A6276">
        <v>6215</v>
      </c>
      <c r="B6276" s="138">
        <f>'Acct Summary 7-8'!C83</f>
        <v>8.7980781764159369E-2</v>
      </c>
      <c r="D6276" s="2" t="str">
        <f t="shared" si="97"/>
        <v>Error?</v>
      </c>
      <c r="E6276" s="2" t="s">
        <v>199</v>
      </c>
    </row>
    <row r="6277" spans="1:5" x14ac:dyDescent="0.2">
      <c r="A6277">
        <v>6216</v>
      </c>
      <c r="B6277" s="138">
        <f>'Acct Summary 7-8'!D83</f>
        <v>6.5367212489280801E-3</v>
      </c>
      <c r="D6277" s="2" t="str">
        <f t="shared" si="97"/>
        <v>Error?</v>
      </c>
      <c r="E6277" s="2" t="s">
        <v>199</v>
      </c>
    </row>
    <row r="6278" spans="1:5" x14ac:dyDescent="0.2">
      <c r="A6278">
        <v>6217</v>
      </c>
      <c r="B6278" s="138">
        <f>'Acct Summary 7-8'!E83</f>
        <v>-0.11682591927752123</v>
      </c>
      <c r="D6278" s="2" t="str">
        <f t="shared" si="97"/>
        <v>Error?</v>
      </c>
      <c r="E6278" s="2" t="s">
        <v>199</v>
      </c>
    </row>
    <row r="6279" spans="1:5" x14ac:dyDescent="0.2">
      <c r="A6279">
        <v>6218</v>
      </c>
      <c r="B6279" s="138">
        <f>'Acct Summary 7-8'!F83</f>
        <v>0.13377843958616037</v>
      </c>
      <c r="D6279" s="2" t="str">
        <f t="shared" si="97"/>
        <v>Error?</v>
      </c>
      <c r="E6279" s="2" t="s">
        <v>199</v>
      </c>
    </row>
    <row r="6280" spans="1:5" x14ac:dyDescent="0.2">
      <c r="A6280">
        <v>6219</v>
      </c>
      <c r="B6280" s="138">
        <f>'Acct Summary 7-8'!G83</f>
        <v>-0.2129216471788859</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5.244094391864064E-2</v>
      </c>
      <c r="D6282" s="2" t="str">
        <f t="shared" si="97"/>
        <v>Error?</v>
      </c>
      <c r="E6282" s="2" t="s">
        <v>199</v>
      </c>
    </row>
    <row r="6283" spans="1:5" x14ac:dyDescent="0.2">
      <c r="A6283">
        <v>6222</v>
      </c>
      <c r="B6283" s="138">
        <f>'Acct Summary 7-8'!J83</f>
        <v>0.23717527469245014</v>
      </c>
      <c r="D6283" s="2" t="str">
        <f t="shared" si="97"/>
        <v>Error?</v>
      </c>
      <c r="E6283" s="2" t="s">
        <v>199</v>
      </c>
    </row>
    <row r="6284" spans="1:5" x14ac:dyDescent="0.2">
      <c r="A6284">
        <v>6223</v>
      </c>
      <c r="B6284" s="138">
        <f>'Acct Summary 7-8'!K83</f>
        <v>0.32782114331900969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154326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154326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1751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1751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11522</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11522</v>
      </c>
      <c r="D6351" s="2" t="str">
        <f t="shared" si="98"/>
        <v>Error?</v>
      </c>
      <c r="E6351" s="2" t="s">
        <v>199</v>
      </c>
    </row>
    <row r="6352" spans="1:5" x14ac:dyDescent="0.2">
      <c r="A6352">
        <v>6291</v>
      </c>
      <c r="B6352" s="138">
        <f>'Revenues 9-14'!J109</f>
        <v>167599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275709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334906</v>
      </c>
      <c r="D6880" s="2" t="str">
        <f t="shared" si="106"/>
        <v>Error?</v>
      </c>
    </row>
    <row r="6881" spans="1:4" x14ac:dyDescent="0.2">
      <c r="A6881">
        <v>6820</v>
      </c>
      <c r="B6881" s="138">
        <f>'Expenditures 15-22'!K22</f>
        <v>334906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609092</v>
      </c>
      <c r="D6983" s="2" t="str">
        <f t="shared" si="108"/>
        <v>Error?</v>
      </c>
    </row>
    <row r="6984" spans="1:4" x14ac:dyDescent="0.2">
      <c r="A6984">
        <v>6923</v>
      </c>
      <c r="B6984" s="138">
        <f>'Expenditures 15-22'!K86</f>
        <v>609092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609092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115988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167599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11820</v>
      </c>
      <c r="D7075" s="2" t="str">
        <f t="shared" si="109"/>
        <v>Error?</v>
      </c>
    </row>
    <row r="7076" spans="1:4" x14ac:dyDescent="0.2">
      <c r="A7076">
        <v>7015</v>
      </c>
      <c r="B7076" s="138">
        <f>'Expenditures 15-22'!K218</f>
        <v>11820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71938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71938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44050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44050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115988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115988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115988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115988</v>
      </c>
      <c r="D7224" s="2" t="str">
        <f t="shared" si="111"/>
        <v>Error?</v>
      </c>
    </row>
    <row r="7225" spans="1:4" x14ac:dyDescent="0.2">
      <c r="A7225">
        <v>7164</v>
      </c>
      <c r="B7225" s="138">
        <f>'Expenditures 15-22'!K343</f>
        <v>51611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187462</v>
      </c>
      <c r="D7251" s="2" t="str">
        <f t="shared" si="112"/>
        <v>Error?</v>
      </c>
    </row>
    <row r="7252" spans="1:4" x14ac:dyDescent="0.2">
      <c r="A7252">
        <f t="shared" si="113"/>
        <v>7191</v>
      </c>
      <c r="B7252" s="138">
        <f>'Expenditures 15-22'!D9</f>
        <v>32155</v>
      </c>
      <c r="D7252" s="2" t="str">
        <f t="shared" si="112"/>
        <v>Error?</v>
      </c>
    </row>
    <row r="7253" spans="1:4" x14ac:dyDescent="0.2">
      <c r="A7253">
        <f t="shared" si="113"/>
        <v>7192</v>
      </c>
      <c r="B7253" s="138">
        <f>'Expenditures 15-22'!E9</f>
        <v>49243</v>
      </c>
      <c r="D7253" s="2" t="str">
        <f t="shared" si="112"/>
        <v>Error?</v>
      </c>
    </row>
    <row r="7254" spans="1:4" x14ac:dyDescent="0.2">
      <c r="A7254">
        <f t="shared" si="113"/>
        <v>7193</v>
      </c>
      <c r="B7254" s="138">
        <f>'Expenditures 15-22'!F9</f>
        <v>6849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806410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1063187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48000</v>
      </c>
      <c r="D7797" s="2" t="str">
        <f t="shared" si="127"/>
        <v>Error?</v>
      </c>
      <c r="E7797" s="4" t="s">
        <v>2017</v>
      </c>
    </row>
    <row r="7798" spans="1:5" x14ac:dyDescent="0.2">
      <c r="A7798">
        <v>7737</v>
      </c>
      <c r="B7798" s="138">
        <f>'Contracts Paid in CY 29'!F141</f>
        <v>25000</v>
      </c>
      <c r="D7798" s="2" t="str">
        <f t="shared" si="127"/>
        <v>Error?</v>
      </c>
      <c r="E7798" s="4" t="s">
        <v>2017</v>
      </c>
    </row>
    <row r="7799" spans="1:5" x14ac:dyDescent="0.2">
      <c r="A7799">
        <v>7738</v>
      </c>
      <c r="B7799" s="138">
        <f>'Contracts Paid in CY 29'!G141</f>
        <v>23000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Franklin Park SD 84</v>
      </c>
      <c r="B7" s="2422"/>
      <c r="C7" s="2422"/>
      <c r="D7" s="2423"/>
      <c r="E7" s="2424">
        <f>COVER!A13</f>
        <v>6016084002</v>
      </c>
      <c r="F7" s="2425"/>
      <c r="G7" s="2431" t="str">
        <f>COVER!T23</f>
        <v>066-003289</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EVOY, KAMSCHULTE, JACOBS &amp; CO. LLP</v>
      </c>
      <c r="H9" s="2437"/>
      <c r="I9" s="2437"/>
      <c r="J9" s="2437"/>
      <c r="K9" s="2437"/>
      <c r="L9" s="2438"/>
    </row>
    <row r="10" spans="1:29" ht="13.5" customHeight="1" x14ac:dyDescent="0.2">
      <c r="A10" s="2411" t="str">
        <f>COVER!A38</f>
        <v>DR. DAVID KATZIN</v>
      </c>
      <c r="B10" s="2412"/>
      <c r="C10" s="2412"/>
      <c r="D10" s="2412"/>
      <c r="E10" s="2412"/>
      <c r="F10" s="2413"/>
      <c r="G10" s="2405" t="str">
        <f>COVER!T17</f>
        <v>2122 YEOMAN STREET</v>
      </c>
      <c r="H10" s="2406"/>
      <c r="I10" s="2406"/>
      <c r="J10" s="2406"/>
      <c r="K10" s="2406"/>
      <c r="L10" s="2407"/>
    </row>
    <row r="11" spans="1:29" ht="13.5" customHeight="1" x14ac:dyDescent="0.2">
      <c r="A11" s="1185" t="s">
        <v>1599</v>
      </c>
      <c r="B11" s="1186"/>
      <c r="C11" s="1187"/>
      <c r="D11" s="1192"/>
      <c r="E11" s="1187"/>
      <c r="F11" s="1191"/>
      <c r="G11" s="2405" t="str">
        <f>COVER!T19</f>
        <v>WAUKEGAN</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JHENRY@EKJLLP.COM</v>
      </c>
      <c r="J13" s="2418"/>
      <c r="K13" s="2418"/>
      <c r="L13" s="2419"/>
    </row>
    <row r="14" spans="1:29" ht="13.5" customHeight="1" x14ac:dyDescent="0.2">
      <c r="A14" s="2405" t="str">
        <f>COVER!A19</f>
        <v>2915 MAPLE STREET</v>
      </c>
      <c r="B14" s="2406"/>
      <c r="C14" s="2406"/>
      <c r="D14" s="2406"/>
      <c r="E14" s="2406"/>
      <c r="F14" s="2407"/>
      <c r="G14" s="1196" t="s">
        <v>1247</v>
      </c>
      <c r="H14" s="1194"/>
      <c r="I14" s="1194"/>
      <c r="J14" s="1194"/>
      <c r="K14" s="1194"/>
      <c r="L14" s="1195"/>
    </row>
    <row r="15" spans="1:29" ht="13.5" customHeight="1" x14ac:dyDescent="0.2">
      <c r="A15" s="2405" t="str">
        <f>COVER!A21</f>
        <v>FRANKLIN PARK</v>
      </c>
      <c r="B15" s="2406"/>
      <c r="C15" s="2406"/>
      <c r="D15" s="2406"/>
      <c r="E15" s="2406"/>
      <c r="F15" s="2407"/>
      <c r="G15" s="2402" t="str">
        <f>COVER!T15</f>
        <v>JAMES HENRY, CPA</v>
      </c>
      <c r="H15" s="2403"/>
      <c r="I15" s="2403"/>
      <c r="J15" s="2403"/>
      <c r="K15" s="2403"/>
      <c r="L15" s="2404"/>
    </row>
    <row r="16" spans="1:29" ht="12.2" customHeight="1" x14ac:dyDescent="0.2">
      <c r="A16" s="2427">
        <f>COVER!A25</f>
        <v>60131</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f>COVER!T21</f>
        <v>8476628300</v>
      </c>
      <c r="H18" s="2422"/>
      <c r="I18" s="2422"/>
      <c r="J18" s="2422"/>
      <c r="K18" s="2421">
        <f>COVER!X21</f>
        <v>8476628305</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Franklin Park SD 84</v>
      </c>
      <c r="B1" s="2420"/>
      <c r="C1" s="2420"/>
      <c r="D1" s="2420"/>
    </row>
    <row r="2" spans="1:11" s="1215" customFormat="1" ht="12.75" x14ac:dyDescent="0.2">
      <c r="A2" s="2444">
        <f>'Single Audit Cover'!E7</f>
        <v>6016084002</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Franklin Park SD 84</v>
      </c>
      <c r="B1" s="2447"/>
      <c r="C1" s="2447"/>
      <c r="D1" s="2447"/>
      <c r="E1" s="2447"/>
    </row>
    <row r="2" spans="1:5" x14ac:dyDescent="0.2">
      <c r="A2" s="2448">
        <f>'Single Audit Cover'!E7</f>
        <v>6016084002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993535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40267</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-115761</v>
      </c>
    </row>
    <row r="19" spans="1:4" ht="13.5" thickBot="1" x14ac:dyDescent="0.25">
      <c r="A19" s="1265" t="s">
        <v>1297</v>
      </c>
      <c r="D19" s="1266">
        <f>SUM(D10:D17)</f>
        <v>918041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918041</v>
      </c>
    </row>
    <row r="33" spans="1:4" x14ac:dyDescent="0.2">
      <c r="D33" s="1269"/>
    </row>
    <row r="34" spans="1:4" x14ac:dyDescent="0.2">
      <c r="A34" s="317" t="s">
        <v>1294</v>
      </c>
    </row>
    <row r="35" spans="1:4" x14ac:dyDescent="0.2">
      <c r="A35" s="317" t="s">
        <v>1293</v>
      </c>
      <c r="B35" s="1258" t="s">
        <v>1292</v>
      </c>
      <c r="D35" s="1270">
        <v>918041</v>
      </c>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918041</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D19" sqref="D19:F1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Franklin Park SD 84</v>
      </c>
      <c r="B1" s="2460"/>
      <c r="C1" s="2460"/>
      <c r="D1" s="2460"/>
      <c r="E1" s="2460"/>
      <c r="F1" s="2460"/>
    </row>
    <row r="2" spans="1:7" ht="13.5" customHeight="1" x14ac:dyDescent="0.2">
      <c r="A2" s="2461">
        <f>'Single Audit Cover'!E7</f>
        <v>6016084002</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2096</v>
      </c>
      <c r="B7" s="2459"/>
      <c r="C7" s="2459"/>
      <c r="D7" s="2459"/>
      <c r="E7" s="2459"/>
      <c r="F7" s="2459"/>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2097</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t="s">
        <v>2098</v>
      </c>
      <c r="C17" s="1285" t="s">
        <v>2099</v>
      </c>
      <c r="D17" s="2452" t="s">
        <v>2098</v>
      </c>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2100</v>
      </c>
      <c r="B32" s="2453"/>
      <c r="C32" s="2453"/>
      <c r="D32" s="2453"/>
      <c r="E32" s="2453"/>
      <c r="F32" s="2453"/>
    </row>
    <row r="33" spans="1:6" ht="13.5" customHeight="1" x14ac:dyDescent="0.2">
      <c r="A33" s="328" t="s">
        <v>1509</v>
      </c>
      <c r="B33" s="328"/>
      <c r="C33" s="1288">
        <v>24078</v>
      </c>
      <c r="D33" s="1928"/>
      <c r="E33" s="1286"/>
    </row>
    <row r="34" spans="1:6" ht="13.5" customHeight="1" x14ac:dyDescent="0.2">
      <c r="A34" s="328" t="s">
        <v>1946</v>
      </c>
      <c r="B34" s="328"/>
      <c r="C34" s="1289">
        <v>16189</v>
      </c>
      <c r="D34" s="1928" t="s">
        <v>1671</v>
      </c>
      <c r="E34" s="2454">
        <f>+C33+C34</f>
        <v>40267</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v>0</v>
      </c>
      <c r="D38" s="1928"/>
      <c r="E38" s="1286"/>
    </row>
    <row r="39" spans="1:6" ht="14.25" customHeight="1" x14ac:dyDescent="0.2">
      <c r="A39" s="328"/>
      <c r="B39" s="328" t="s">
        <v>1511</v>
      </c>
      <c r="C39" s="1292">
        <v>0</v>
      </c>
      <c r="D39" s="1928"/>
      <c r="E39" s="1286"/>
    </row>
    <row r="40" spans="1:6" ht="14.25" customHeight="1" x14ac:dyDescent="0.2">
      <c r="A40" s="328"/>
      <c r="B40" s="328" t="s">
        <v>1512</v>
      </c>
      <c r="C40" s="1292">
        <v>0</v>
      </c>
      <c r="D40" s="1928"/>
      <c r="E40" s="1286"/>
    </row>
    <row r="41" spans="1:6" ht="14.25" customHeight="1" x14ac:dyDescent="0.2">
      <c r="A41" s="328"/>
      <c r="B41" s="328" t="s">
        <v>1513</v>
      </c>
      <c r="C41" s="1292">
        <v>0</v>
      </c>
      <c r="D41" s="1928"/>
      <c r="E41" s="1286"/>
    </row>
    <row r="42" spans="1:6" ht="14.25" customHeight="1" x14ac:dyDescent="0.2">
      <c r="A42" s="328" t="s">
        <v>1514</v>
      </c>
      <c r="B42" s="328"/>
      <c r="C42" s="1926">
        <v>0</v>
      </c>
      <c r="D42" s="1928"/>
      <c r="E42" s="1286"/>
    </row>
    <row r="43" spans="1:6" ht="14.25" customHeight="1" x14ac:dyDescent="0.2">
      <c r="A43" s="328" t="s">
        <v>1515</v>
      </c>
      <c r="B43" s="328"/>
      <c r="C43" s="1293" t="s">
        <v>401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6" sqref="I2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3.5" customHeight="1" x14ac:dyDescent="0.2">
      <c r="B1" s="2430" t="str">
        <f>'Single Audit Cover'!A7</f>
        <v>Franklin Park SD 84</v>
      </c>
      <c r="C1" s="2464"/>
      <c r="D1" s="2464"/>
      <c r="E1" s="2464"/>
      <c r="F1" s="2464"/>
      <c r="G1" s="2464"/>
      <c r="H1" s="2464"/>
      <c r="I1" s="2464"/>
      <c r="J1" s="2464"/>
      <c r="K1" s="2464"/>
      <c r="L1" s="2464"/>
      <c r="M1" s="2464"/>
    </row>
    <row r="2" spans="2:14" ht="13.5" customHeight="1" x14ac:dyDescent="0.2">
      <c r="B2" s="2461">
        <f>'Single Audit Cover'!E7</f>
        <v>6016084002</v>
      </c>
      <c r="C2" s="2461"/>
      <c r="D2" s="2461"/>
      <c r="E2" s="2461"/>
      <c r="F2" s="2461"/>
      <c r="G2" s="2461"/>
      <c r="H2" s="2461"/>
      <c r="I2" s="2461"/>
      <c r="J2" s="2461"/>
      <c r="K2" s="2461"/>
      <c r="L2" s="2461"/>
      <c r="M2" s="2461"/>
      <c r="N2" s="1302"/>
    </row>
    <row r="3" spans="2:14" ht="13.5" customHeight="1" x14ac:dyDescent="0.2">
      <c r="B3" s="2465" t="s">
        <v>1281</v>
      </c>
      <c r="C3" s="2465"/>
      <c r="D3" s="2465"/>
      <c r="E3" s="2465"/>
      <c r="F3" s="2465"/>
      <c r="G3" s="2465"/>
      <c r="H3" s="2465"/>
      <c r="I3" s="2465"/>
      <c r="J3" s="2465"/>
      <c r="K3" s="2465"/>
      <c r="L3" s="2465"/>
      <c r="M3" s="2465"/>
      <c r="N3" s="1302"/>
    </row>
    <row r="4" spans="2:14" ht="13.5" customHeight="1"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2101</v>
      </c>
      <c r="C11" s="1338"/>
      <c r="D11" s="1339"/>
      <c r="E11" s="1340"/>
      <c r="F11" s="1340"/>
      <c r="G11" s="1340"/>
      <c r="H11" s="1340"/>
      <c r="I11" s="1340"/>
      <c r="J11" s="1340"/>
      <c r="K11" s="1340"/>
      <c r="L11" s="1340">
        <f>+G11+I11+K11</f>
        <v>0</v>
      </c>
      <c r="M11" s="1340"/>
    </row>
    <row r="12" spans="2:14" ht="20.100000000000001" customHeight="1" x14ac:dyDescent="0.2">
      <c r="B12" s="1956" t="s">
        <v>2102</v>
      </c>
      <c r="C12" s="1341"/>
      <c r="D12" s="1342"/>
      <c r="E12" s="1343"/>
      <c r="F12" s="1343"/>
      <c r="G12" s="1343"/>
      <c r="H12" s="1343"/>
      <c r="I12" s="1343"/>
      <c r="J12" s="1343"/>
      <c r="K12" s="1343"/>
      <c r="L12" s="1340">
        <f t="shared" ref="L12:L27" si="0">+G12+I12+K12</f>
        <v>0</v>
      </c>
      <c r="M12" s="1343"/>
    </row>
    <row r="13" spans="2:14" ht="20.100000000000001" customHeight="1" x14ac:dyDescent="0.2">
      <c r="B13" s="1337" t="s">
        <v>2103</v>
      </c>
      <c r="C13" s="1341"/>
      <c r="D13" s="1342"/>
      <c r="E13" s="1343"/>
      <c r="F13" s="1343"/>
      <c r="G13" s="1343"/>
      <c r="H13" s="1343"/>
      <c r="I13" s="1343"/>
      <c r="J13" s="1343"/>
      <c r="K13" s="1343"/>
      <c r="L13" s="1340">
        <f t="shared" si="0"/>
        <v>0</v>
      </c>
      <c r="M13" s="1343"/>
    </row>
    <row r="14" spans="2:14" ht="20.100000000000001" customHeight="1" x14ac:dyDescent="0.2">
      <c r="B14" s="1337" t="s">
        <v>2104</v>
      </c>
      <c r="C14" s="1341">
        <v>10.555</v>
      </c>
      <c r="D14" s="1342" t="s">
        <v>2106</v>
      </c>
      <c r="E14" s="1343"/>
      <c r="F14" s="1343">
        <v>273455</v>
      </c>
      <c r="G14" s="1343"/>
      <c r="H14" s="1343"/>
      <c r="I14" s="1343">
        <v>273455</v>
      </c>
      <c r="J14" s="1343"/>
      <c r="K14" s="1343"/>
      <c r="L14" s="1340">
        <f t="shared" si="0"/>
        <v>273455</v>
      </c>
      <c r="M14" s="1343" t="s">
        <v>2099</v>
      </c>
    </row>
    <row r="15" spans="2:14" ht="20.100000000000001" customHeight="1" x14ac:dyDescent="0.2">
      <c r="B15" s="1337" t="s">
        <v>2104</v>
      </c>
      <c r="C15" s="1341">
        <v>10.555</v>
      </c>
      <c r="D15" s="1342" t="s">
        <v>2107</v>
      </c>
      <c r="E15" s="1343">
        <v>280764</v>
      </c>
      <c r="F15" s="1343">
        <v>58382</v>
      </c>
      <c r="G15" s="1343">
        <v>280764</v>
      </c>
      <c r="H15" s="1343"/>
      <c r="I15" s="1343">
        <v>58382</v>
      </c>
      <c r="J15" s="1343"/>
      <c r="K15" s="1343"/>
      <c r="L15" s="1340">
        <f t="shared" si="0"/>
        <v>339146</v>
      </c>
      <c r="M15" s="1343" t="s">
        <v>2099</v>
      </c>
    </row>
    <row r="16" spans="2:14" ht="20.100000000000001" customHeight="1" x14ac:dyDescent="0.2">
      <c r="B16" s="1337" t="s">
        <v>2105</v>
      </c>
      <c r="C16" s="1341">
        <v>10.555</v>
      </c>
      <c r="D16" s="1342" t="s">
        <v>2106</v>
      </c>
      <c r="E16" s="1343"/>
      <c r="F16" s="1343">
        <v>24078</v>
      </c>
      <c r="G16" s="1343"/>
      <c r="H16" s="1343"/>
      <c r="I16" s="1343">
        <v>24078</v>
      </c>
      <c r="J16" s="1343"/>
      <c r="K16" s="1343"/>
      <c r="L16" s="1340">
        <f t="shared" si="0"/>
        <v>24078</v>
      </c>
      <c r="M16" s="1343" t="s">
        <v>2099</v>
      </c>
    </row>
    <row r="17" spans="2:14" ht="20.100000000000001" customHeight="1" x14ac:dyDescent="0.2">
      <c r="B17" s="1337" t="s">
        <v>2149</v>
      </c>
      <c r="C17" s="1341">
        <v>10.555</v>
      </c>
      <c r="D17" s="1342" t="s">
        <v>2106</v>
      </c>
      <c r="E17" s="1343"/>
      <c r="F17" s="1343">
        <v>16189</v>
      </c>
      <c r="G17" s="1343"/>
      <c r="H17" s="1343"/>
      <c r="I17" s="1343">
        <v>16189</v>
      </c>
      <c r="J17" s="1343"/>
      <c r="K17" s="1343"/>
      <c r="L17" s="1340">
        <f t="shared" si="0"/>
        <v>16189</v>
      </c>
      <c r="M17" s="1343" t="s">
        <v>2099</v>
      </c>
    </row>
    <row r="18" spans="2:14" ht="20.100000000000001" customHeight="1" x14ac:dyDescent="0.2">
      <c r="B18" s="1956" t="s">
        <v>2108</v>
      </c>
      <c r="C18" s="1341"/>
      <c r="D18" s="1342"/>
      <c r="E18" s="1343">
        <v>280764</v>
      </c>
      <c r="F18" s="1343">
        <v>372104</v>
      </c>
      <c r="G18" s="1343">
        <v>280764</v>
      </c>
      <c r="H18" s="1343">
        <v>0</v>
      </c>
      <c r="I18" s="1343">
        <v>372104</v>
      </c>
      <c r="J18" s="1343"/>
      <c r="K18" s="1343"/>
      <c r="L18" s="1340">
        <f t="shared" si="0"/>
        <v>652868</v>
      </c>
      <c r="M18" s="1343"/>
    </row>
    <row r="19" spans="2:14" ht="20.100000000000001" customHeight="1" x14ac:dyDescent="0.2">
      <c r="B19" s="1337" t="s">
        <v>2109</v>
      </c>
      <c r="C19" s="1341"/>
      <c r="D19" s="1342"/>
      <c r="E19" s="1343">
        <v>280764</v>
      </c>
      <c r="F19" s="1343">
        <v>372104</v>
      </c>
      <c r="G19" s="1343">
        <v>280764</v>
      </c>
      <c r="H19" s="1343">
        <v>0</v>
      </c>
      <c r="I19" s="1343">
        <v>372104</v>
      </c>
      <c r="J19" s="1343"/>
      <c r="K19" s="1343"/>
      <c r="L19" s="1340">
        <f t="shared" si="0"/>
        <v>652868</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t="s">
        <v>2110</v>
      </c>
      <c r="C21" s="1341"/>
      <c r="D21" s="1342"/>
      <c r="E21" s="1343"/>
      <c r="F21" s="1343"/>
      <c r="G21" s="1343"/>
      <c r="H21" s="1343"/>
      <c r="I21" s="1343"/>
      <c r="J21" s="1343"/>
      <c r="K21" s="1343"/>
      <c r="L21" s="1340">
        <f t="shared" si="0"/>
        <v>0</v>
      </c>
      <c r="M21" s="1343"/>
    </row>
    <row r="22" spans="2:14" ht="20.100000000000001" customHeight="1" x14ac:dyDescent="0.2">
      <c r="B22" s="1337" t="s">
        <v>2103</v>
      </c>
      <c r="C22" s="1341"/>
      <c r="D22" s="1342"/>
      <c r="E22" s="1343"/>
      <c r="F22" s="1343"/>
      <c r="G22" s="1343"/>
      <c r="H22" s="1343"/>
      <c r="I22" s="1343"/>
      <c r="J22" s="1343"/>
      <c r="K22" s="1343"/>
      <c r="L22" s="1340">
        <f t="shared" si="0"/>
        <v>0</v>
      </c>
      <c r="M22" s="1343"/>
    </row>
    <row r="23" spans="2:14" ht="20.100000000000001" customHeight="1" x14ac:dyDescent="0.2">
      <c r="B23" s="1337" t="s">
        <v>2111</v>
      </c>
      <c r="C23" s="1341">
        <v>84.01</v>
      </c>
      <c r="D23" s="1342" t="s">
        <v>2112</v>
      </c>
      <c r="E23" s="1343"/>
      <c r="F23" s="1343">
        <v>84730</v>
      </c>
      <c r="G23" s="1343"/>
      <c r="H23" s="1343"/>
      <c r="I23" s="1343">
        <v>236204</v>
      </c>
      <c r="J23" s="1343"/>
      <c r="K23" s="1343"/>
      <c r="L23" s="1340">
        <f t="shared" si="0"/>
        <v>236204</v>
      </c>
      <c r="M23" s="1343"/>
    </row>
    <row r="24" spans="2:14" ht="20.100000000000001" customHeight="1" x14ac:dyDescent="0.2">
      <c r="B24" s="1337" t="s">
        <v>2111</v>
      </c>
      <c r="C24" s="1341">
        <v>84.01</v>
      </c>
      <c r="D24" s="1342" t="s">
        <v>2113</v>
      </c>
      <c r="E24" s="1343">
        <v>164047</v>
      </c>
      <c r="F24" s="1343">
        <v>123193</v>
      </c>
      <c r="G24" s="1343">
        <v>287240</v>
      </c>
      <c r="H24" s="1343"/>
      <c r="I24" s="1343">
        <v>0</v>
      </c>
      <c r="J24" s="1343"/>
      <c r="K24" s="1343"/>
      <c r="L24" s="1340">
        <f t="shared" si="0"/>
        <v>287240</v>
      </c>
      <c r="M24" s="1343"/>
    </row>
    <row r="25" spans="2:14" ht="20.100000000000001" customHeight="1" x14ac:dyDescent="0.2">
      <c r="B25" s="1337" t="s">
        <v>2118</v>
      </c>
      <c r="C25" s="1341">
        <v>84.424000000000007</v>
      </c>
      <c r="D25" s="1342" t="s">
        <v>2117</v>
      </c>
      <c r="E25" s="1343"/>
      <c r="F25" s="1343">
        <v>2700</v>
      </c>
      <c r="G25" s="1343"/>
      <c r="H25" s="1343"/>
      <c r="I25" s="1343">
        <v>10000</v>
      </c>
      <c r="J25" s="1343"/>
      <c r="K25" s="1343"/>
      <c r="L25" s="1340">
        <f t="shared" si="0"/>
        <v>10000</v>
      </c>
      <c r="M25" s="1343"/>
    </row>
    <row r="26" spans="2:14" ht="20.100000000000001" customHeight="1" x14ac:dyDescent="0.2">
      <c r="B26" s="1337" t="s">
        <v>2114</v>
      </c>
      <c r="C26" s="1341">
        <v>84.364999999999995</v>
      </c>
      <c r="D26" s="1342" t="s">
        <v>2115</v>
      </c>
      <c r="E26" s="1343"/>
      <c r="F26" s="1343">
        <v>35720</v>
      </c>
      <c r="G26" s="1343"/>
      <c r="H26" s="1343"/>
      <c r="I26" s="1343">
        <v>36277</v>
      </c>
      <c r="J26" s="1343"/>
      <c r="K26" s="1343"/>
      <c r="L26" s="1340">
        <f t="shared" si="0"/>
        <v>36277</v>
      </c>
      <c r="M26" s="1343"/>
    </row>
    <row r="27" spans="2:14" ht="20.100000000000001" customHeight="1" x14ac:dyDescent="0.2">
      <c r="B27" s="1337" t="s">
        <v>2114</v>
      </c>
      <c r="C27" s="1341">
        <v>84.364999999999995</v>
      </c>
      <c r="D27" s="1342" t="s">
        <v>2116</v>
      </c>
      <c r="E27" s="1343">
        <v>29015</v>
      </c>
      <c r="F27" s="1343">
        <v>16283</v>
      </c>
      <c r="G27" s="1343">
        <v>29215</v>
      </c>
      <c r="H27" s="1343"/>
      <c r="I27" s="1343">
        <v>16083</v>
      </c>
      <c r="J27" s="1343"/>
      <c r="K27" s="1343"/>
      <c r="L27" s="1340">
        <f t="shared" si="0"/>
        <v>45298</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ht="12" customHeight="1"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2"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2074</v>
      </c>
      <c r="C53" s="179">
        <v>22</v>
      </c>
      <c r="D53" s="247" t="s">
        <v>1537</v>
      </c>
      <c r="E53" s="248"/>
      <c r="F53" s="249"/>
      <c r="G53" s="249" t="s">
        <v>1536</v>
      </c>
      <c r="H53" s="250">
        <v>34700</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2086</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5" sqref="I2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3.5" customHeight="1" x14ac:dyDescent="0.2">
      <c r="B1" s="2430" t="str">
        <f>'Single Audit Cover'!A7</f>
        <v>Franklin Park SD 84</v>
      </c>
      <c r="C1" s="2464"/>
      <c r="D1" s="2464"/>
      <c r="E1" s="2464"/>
      <c r="F1" s="2464"/>
      <c r="G1" s="2464"/>
      <c r="H1" s="2464"/>
      <c r="I1" s="2464"/>
      <c r="J1" s="2464"/>
      <c r="K1" s="2464"/>
      <c r="L1" s="2464"/>
      <c r="M1" s="2464"/>
    </row>
    <row r="2" spans="2:14" ht="13.5" customHeight="1" x14ac:dyDescent="0.2">
      <c r="B2" s="2461">
        <f>'Single Audit Cover'!E7</f>
        <v>6016084002</v>
      </c>
      <c r="C2" s="2461"/>
      <c r="D2" s="2461"/>
      <c r="E2" s="2461"/>
      <c r="F2" s="2461"/>
      <c r="G2" s="2461"/>
      <c r="H2" s="2461"/>
      <c r="I2" s="2461"/>
      <c r="J2" s="2461"/>
      <c r="K2" s="2461"/>
      <c r="L2" s="2461"/>
      <c r="M2" s="2461"/>
      <c r="N2" s="1302"/>
    </row>
    <row r="3" spans="2:14" ht="13.5" customHeight="1" x14ac:dyDescent="0.2">
      <c r="B3" s="2465" t="s">
        <v>1281</v>
      </c>
      <c r="C3" s="2465"/>
      <c r="D3" s="2465"/>
      <c r="E3" s="2465"/>
      <c r="F3" s="2465"/>
      <c r="G3" s="2465"/>
      <c r="H3" s="2465"/>
      <c r="I3" s="2465"/>
      <c r="J3" s="2465"/>
      <c r="K3" s="2465"/>
      <c r="L3" s="2465"/>
      <c r="M3" s="2465"/>
      <c r="N3" s="1302"/>
    </row>
    <row r="4" spans="2:14" ht="13.5" customHeight="1"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2119</v>
      </c>
      <c r="C11" s="1338"/>
      <c r="D11" s="1339"/>
      <c r="E11" s="1340"/>
      <c r="F11" s="1340"/>
      <c r="G11" s="1340"/>
      <c r="H11" s="1340"/>
      <c r="I11" s="1340"/>
      <c r="J11" s="1340"/>
      <c r="K11" s="1340"/>
      <c r="L11" s="1340">
        <f>+G11+I11+K11</f>
        <v>0</v>
      </c>
      <c r="M11" s="1340"/>
    </row>
    <row r="12" spans="2:14" ht="20.100000000000001" customHeight="1" x14ac:dyDescent="0.2">
      <c r="B12" s="1337" t="s">
        <v>2120</v>
      </c>
      <c r="C12" s="1341"/>
      <c r="D12" s="1342"/>
      <c r="E12" s="1343"/>
      <c r="F12" s="1343"/>
      <c r="G12" s="1343"/>
      <c r="H12" s="1343"/>
      <c r="I12" s="1343"/>
      <c r="J12" s="1343"/>
      <c r="K12" s="1343"/>
      <c r="L12" s="1340">
        <f t="shared" ref="L12:L27" si="0">+G12+I12+K12</f>
        <v>0</v>
      </c>
      <c r="M12" s="1343"/>
    </row>
    <row r="13" spans="2:14" ht="20.100000000000001" customHeight="1" x14ac:dyDescent="0.2">
      <c r="B13" s="1337" t="s">
        <v>2147</v>
      </c>
      <c r="C13" s="1341">
        <v>84.367000000000004</v>
      </c>
      <c r="D13" s="1342" t="s">
        <v>2122</v>
      </c>
      <c r="E13" s="1343"/>
      <c r="F13" s="1343">
        <v>23755</v>
      </c>
      <c r="G13" s="1343"/>
      <c r="H13" s="1343"/>
      <c r="I13" s="1343">
        <v>59742</v>
      </c>
      <c r="J13" s="1343"/>
      <c r="K13" s="1343"/>
      <c r="L13" s="1340">
        <f t="shared" si="0"/>
        <v>59742</v>
      </c>
      <c r="M13" s="1343"/>
    </row>
    <row r="14" spans="2:14" ht="20.100000000000001" customHeight="1" x14ac:dyDescent="0.2">
      <c r="B14" s="1337" t="s">
        <v>2121</v>
      </c>
      <c r="C14" s="1341">
        <v>84.367000000000004</v>
      </c>
      <c r="D14" s="1342" t="s">
        <v>2123</v>
      </c>
      <c r="E14" s="1343">
        <v>11153</v>
      </c>
      <c r="F14" s="1343">
        <v>4507</v>
      </c>
      <c r="G14" s="1343">
        <v>15660</v>
      </c>
      <c r="H14" s="1343"/>
      <c r="I14" s="1343">
        <v>0</v>
      </c>
      <c r="J14" s="1343"/>
      <c r="K14" s="1343"/>
      <c r="L14" s="1340">
        <f t="shared" si="0"/>
        <v>15660</v>
      </c>
      <c r="M14" s="1343"/>
    </row>
    <row r="15" spans="2:14" ht="20.100000000000001" customHeight="1" x14ac:dyDescent="0.2">
      <c r="B15" s="1956" t="s">
        <v>2124</v>
      </c>
      <c r="C15" s="1341"/>
      <c r="D15" s="1342"/>
      <c r="E15" s="1343"/>
      <c r="F15" s="1343"/>
      <c r="G15" s="1343"/>
      <c r="H15" s="1343"/>
      <c r="I15" s="1343"/>
      <c r="J15" s="1343"/>
      <c r="K15" s="1343"/>
      <c r="L15" s="1340">
        <f t="shared" si="0"/>
        <v>0</v>
      </c>
      <c r="M15" s="1343"/>
    </row>
    <row r="16" spans="2:14" ht="20.100000000000001" customHeight="1" x14ac:dyDescent="0.2">
      <c r="B16" s="1337" t="s">
        <v>2103</v>
      </c>
      <c r="C16" s="1341"/>
      <c r="D16" s="1342"/>
      <c r="E16" s="1343"/>
      <c r="F16" s="1343"/>
      <c r="G16" s="1343"/>
      <c r="H16" s="1343"/>
      <c r="I16" s="1343"/>
      <c r="J16" s="1343"/>
      <c r="K16" s="1343"/>
      <c r="L16" s="1340">
        <f t="shared" si="0"/>
        <v>0</v>
      </c>
      <c r="M16" s="1343"/>
    </row>
    <row r="17" spans="2:14" ht="20.100000000000001" customHeight="1" x14ac:dyDescent="0.2">
      <c r="B17" s="1337" t="s">
        <v>2125</v>
      </c>
      <c r="C17" s="1341">
        <v>84.027000000000001</v>
      </c>
      <c r="D17" s="1342" t="s">
        <v>2151</v>
      </c>
      <c r="E17" s="1343"/>
      <c r="F17" s="1343">
        <v>0</v>
      </c>
      <c r="G17" s="1343"/>
      <c r="H17" s="1343"/>
      <c r="I17" s="1343">
        <v>32629</v>
      </c>
      <c r="J17" s="1343"/>
      <c r="K17" s="1343"/>
      <c r="L17" s="1340">
        <f t="shared" si="0"/>
        <v>32629</v>
      </c>
      <c r="M17" s="1343"/>
    </row>
    <row r="18" spans="2:14" ht="20.100000000000001" customHeight="1" x14ac:dyDescent="0.2">
      <c r="B18" s="1337" t="s">
        <v>2125</v>
      </c>
      <c r="C18" s="1341">
        <v>84.027000000000001</v>
      </c>
      <c r="D18" s="1342" t="s">
        <v>2126</v>
      </c>
      <c r="E18" s="1343"/>
      <c r="F18" s="1343">
        <v>26783</v>
      </c>
      <c r="G18" s="1343">
        <v>26783</v>
      </c>
      <c r="H18" s="1343"/>
      <c r="I18" s="1343">
        <v>0</v>
      </c>
      <c r="J18" s="1343"/>
      <c r="K18" s="1343"/>
      <c r="L18" s="1340">
        <f t="shared" si="0"/>
        <v>26783</v>
      </c>
      <c r="M18" s="1343"/>
    </row>
    <row r="19" spans="2:14" ht="20.100000000000001" customHeight="1" x14ac:dyDescent="0.2">
      <c r="B19" s="1337" t="s">
        <v>2133</v>
      </c>
      <c r="C19" s="1341"/>
      <c r="D19" s="1342"/>
      <c r="E19" s="1343"/>
      <c r="F19" s="1343"/>
      <c r="G19" s="1343"/>
      <c r="H19" s="1343"/>
      <c r="I19" s="1343"/>
      <c r="J19" s="1343"/>
      <c r="K19" s="1343"/>
      <c r="L19" s="1340">
        <f t="shared" si="0"/>
        <v>0</v>
      </c>
      <c r="M19" s="1343"/>
    </row>
    <row r="20" spans="2:14" ht="20.100000000000001" customHeight="1" x14ac:dyDescent="0.2">
      <c r="B20" s="1337" t="s">
        <v>2127</v>
      </c>
      <c r="C20" s="1341">
        <v>84.173000000000002</v>
      </c>
      <c r="D20" s="1342" t="s">
        <v>2129</v>
      </c>
      <c r="E20" s="1343"/>
      <c r="F20" s="1343">
        <v>7672</v>
      </c>
      <c r="G20" s="1343"/>
      <c r="H20" s="1343"/>
      <c r="I20" s="1343">
        <v>7672</v>
      </c>
      <c r="J20" s="1343"/>
      <c r="K20" s="1343"/>
      <c r="L20" s="1340">
        <f t="shared" si="0"/>
        <v>7672</v>
      </c>
      <c r="M20" s="1343"/>
    </row>
    <row r="21" spans="2:14" ht="20.100000000000001" customHeight="1" x14ac:dyDescent="0.2">
      <c r="B21" s="1337" t="s">
        <v>2127</v>
      </c>
      <c r="C21" s="1341">
        <v>84.173000000000002</v>
      </c>
      <c r="D21" s="1342" t="s">
        <v>2130</v>
      </c>
      <c r="E21" s="1343"/>
      <c r="F21" s="1343">
        <v>15361</v>
      </c>
      <c r="G21" s="1343">
        <v>15398</v>
      </c>
      <c r="H21" s="1343"/>
      <c r="I21" s="1343">
        <v>0</v>
      </c>
      <c r="J21" s="1343"/>
      <c r="K21" s="1343"/>
      <c r="L21" s="1340">
        <f t="shared" si="0"/>
        <v>15398</v>
      </c>
      <c r="M21" s="1343"/>
    </row>
    <row r="22" spans="2:14" ht="20.100000000000001" customHeight="1" x14ac:dyDescent="0.2">
      <c r="B22" s="1337" t="s">
        <v>2128</v>
      </c>
      <c r="C22" s="1341">
        <v>84.027000000000001</v>
      </c>
      <c r="D22" s="1342" t="s">
        <v>2131</v>
      </c>
      <c r="E22" s="1343"/>
      <c r="F22" s="1343">
        <v>181743</v>
      </c>
      <c r="G22" s="1343"/>
      <c r="H22" s="1343"/>
      <c r="I22" s="1343">
        <v>181743</v>
      </c>
      <c r="J22" s="1343"/>
      <c r="K22" s="1343"/>
      <c r="L22" s="1340">
        <f t="shared" si="0"/>
        <v>181743</v>
      </c>
      <c r="M22" s="1343"/>
    </row>
    <row r="23" spans="2:14" ht="20.100000000000001" customHeight="1" x14ac:dyDescent="0.2">
      <c r="B23" s="1337" t="s">
        <v>2128</v>
      </c>
      <c r="C23" s="1341">
        <v>84.027000000000001</v>
      </c>
      <c r="D23" s="1342" t="s">
        <v>2132</v>
      </c>
      <c r="E23" s="1343">
        <v>184277</v>
      </c>
      <c r="F23" s="1343"/>
      <c r="G23" s="1343">
        <v>184277</v>
      </c>
      <c r="H23" s="1343"/>
      <c r="I23" s="1343">
        <v>0</v>
      </c>
      <c r="J23" s="1343"/>
      <c r="K23" s="1343"/>
      <c r="L23" s="1340">
        <f t="shared" si="0"/>
        <v>184277</v>
      </c>
      <c r="M23" s="1343"/>
    </row>
    <row r="24" spans="2:14" ht="20.100000000000001" customHeight="1" x14ac:dyDescent="0.2">
      <c r="B24" s="1956" t="s">
        <v>2134</v>
      </c>
      <c r="C24" s="1341"/>
      <c r="D24" s="1342"/>
      <c r="E24" s="1343">
        <v>184277</v>
      </c>
      <c r="F24" s="1343">
        <v>231559</v>
      </c>
      <c r="G24" s="1343">
        <v>226458</v>
      </c>
      <c r="H24" s="1343">
        <v>0</v>
      </c>
      <c r="I24" s="1343">
        <v>222044</v>
      </c>
      <c r="J24" s="1343"/>
      <c r="K24" s="1343"/>
      <c r="L24" s="1340">
        <f t="shared" si="0"/>
        <v>448502</v>
      </c>
      <c r="M24" s="1343"/>
    </row>
    <row r="25" spans="2:14" ht="20.100000000000001" customHeight="1" x14ac:dyDescent="0.2">
      <c r="B25" s="1337" t="s">
        <v>2135</v>
      </c>
      <c r="C25" s="1341"/>
      <c r="D25" s="1342"/>
      <c r="E25" s="1343">
        <v>388492</v>
      </c>
      <c r="F25" s="1343">
        <v>522447</v>
      </c>
      <c r="G25" s="1343">
        <v>558573</v>
      </c>
      <c r="H25" s="1343"/>
      <c r="I25" s="1343">
        <v>580350</v>
      </c>
      <c r="J25" s="1343"/>
      <c r="K25" s="1343"/>
      <c r="L25" s="1340">
        <f t="shared" si="0"/>
        <v>1138923</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ht="12" customHeight="1"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2"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17" sqref="I1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3.5" customHeight="1" x14ac:dyDescent="0.2">
      <c r="B1" s="2430" t="str">
        <f>'Single Audit Cover'!A7</f>
        <v>Franklin Park SD 84</v>
      </c>
      <c r="C1" s="2464"/>
      <c r="D1" s="2464"/>
      <c r="E1" s="2464"/>
      <c r="F1" s="2464"/>
      <c r="G1" s="2464"/>
      <c r="H1" s="2464"/>
      <c r="I1" s="2464"/>
      <c r="J1" s="2464"/>
      <c r="K1" s="2464"/>
      <c r="L1" s="2464"/>
      <c r="M1" s="2464"/>
    </row>
    <row r="2" spans="2:14" ht="13.5" customHeight="1" x14ac:dyDescent="0.2">
      <c r="B2" s="2461">
        <f>'Single Audit Cover'!E7</f>
        <v>6016084002</v>
      </c>
      <c r="C2" s="2461"/>
      <c r="D2" s="2461"/>
      <c r="E2" s="2461"/>
      <c r="F2" s="2461"/>
      <c r="G2" s="2461"/>
      <c r="H2" s="2461"/>
      <c r="I2" s="2461"/>
      <c r="J2" s="2461"/>
      <c r="K2" s="2461"/>
      <c r="L2" s="2461"/>
      <c r="M2" s="2461"/>
      <c r="N2" s="1302"/>
    </row>
    <row r="3" spans="2:14" ht="13.5" customHeight="1" x14ac:dyDescent="0.2">
      <c r="B3" s="2465" t="s">
        <v>1281</v>
      </c>
      <c r="C3" s="2465"/>
      <c r="D3" s="2465"/>
      <c r="E3" s="2465"/>
      <c r="F3" s="2465"/>
      <c r="G3" s="2465"/>
      <c r="H3" s="2465"/>
      <c r="I3" s="2465"/>
      <c r="J3" s="2465"/>
      <c r="K3" s="2465"/>
      <c r="L3" s="2465"/>
      <c r="M3" s="2465"/>
      <c r="N3" s="1302"/>
    </row>
    <row r="4" spans="2:14" ht="13.5" customHeight="1"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2136</v>
      </c>
      <c r="C11" s="1338"/>
      <c r="D11" s="1339"/>
      <c r="E11" s="1340"/>
      <c r="F11" s="1340"/>
      <c r="G11" s="1340"/>
      <c r="H11" s="1340"/>
      <c r="I11" s="1340"/>
      <c r="J11" s="1340"/>
      <c r="K11" s="1340"/>
      <c r="L11" s="1340">
        <f>+G11+I11+K11</f>
        <v>0</v>
      </c>
      <c r="M11" s="1340"/>
    </row>
    <row r="12" spans="2:14" ht="20.100000000000001" customHeight="1" x14ac:dyDescent="0.2">
      <c r="B12" s="1337" t="s">
        <v>2137</v>
      </c>
      <c r="C12" s="1341"/>
      <c r="D12" s="1342"/>
      <c r="E12" s="1343"/>
      <c r="F12" s="1343"/>
      <c r="G12" s="1343"/>
      <c r="H12" s="1343"/>
      <c r="I12" s="1343"/>
      <c r="J12" s="1343"/>
      <c r="K12" s="1343"/>
      <c r="L12" s="1340">
        <f t="shared" ref="L12:L27" si="0">+G12+I12+K12</f>
        <v>0</v>
      </c>
      <c r="M12" s="1343"/>
    </row>
    <row r="13" spans="2:14" ht="20.100000000000001" customHeight="1" x14ac:dyDescent="0.2">
      <c r="B13" s="1337" t="s">
        <v>2138</v>
      </c>
      <c r="C13" s="1341">
        <v>93.778000000000006</v>
      </c>
      <c r="D13" s="1342" t="s">
        <v>2139</v>
      </c>
      <c r="E13" s="1343"/>
      <c r="F13" s="1343">
        <v>16961</v>
      </c>
      <c r="G13" s="1343"/>
      <c r="H13" s="1343"/>
      <c r="I13" s="1343">
        <v>16961</v>
      </c>
      <c r="J13" s="1343"/>
      <c r="K13" s="1343"/>
      <c r="L13" s="1340">
        <f t="shared" si="0"/>
        <v>16961</v>
      </c>
      <c r="M13" s="1343"/>
    </row>
    <row r="14" spans="2:14" ht="20.100000000000001" customHeight="1" x14ac:dyDescent="0.2">
      <c r="B14" s="1337" t="s">
        <v>2138</v>
      </c>
      <c r="C14" s="1341">
        <v>93.778000000000006</v>
      </c>
      <c r="D14" s="1342" t="s">
        <v>2140</v>
      </c>
      <c r="E14" s="1343">
        <v>25398</v>
      </c>
      <c r="F14" s="1343">
        <v>6529</v>
      </c>
      <c r="G14" s="1343">
        <v>31927</v>
      </c>
      <c r="H14" s="1343"/>
      <c r="I14" s="1343"/>
      <c r="J14" s="1343"/>
      <c r="K14" s="1343"/>
      <c r="L14" s="1340">
        <f t="shared" si="0"/>
        <v>31927</v>
      </c>
      <c r="M14" s="1343"/>
    </row>
    <row r="15" spans="2:14" ht="20.100000000000001" customHeight="1" x14ac:dyDescent="0.2">
      <c r="B15" s="1337" t="s">
        <v>2141</v>
      </c>
      <c r="C15" s="1341"/>
      <c r="D15" s="1342"/>
      <c r="E15" s="1343">
        <v>25398</v>
      </c>
      <c r="F15" s="1343">
        <v>23490</v>
      </c>
      <c r="G15" s="1343">
        <v>31927</v>
      </c>
      <c r="H15" s="1343"/>
      <c r="I15" s="1343">
        <v>16961</v>
      </c>
      <c r="J15" s="1343"/>
      <c r="K15" s="1343"/>
      <c r="L15" s="1340">
        <f t="shared" si="0"/>
        <v>48888</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t="s">
        <v>2142</v>
      </c>
      <c r="C17" s="1341"/>
      <c r="D17" s="1342"/>
      <c r="E17" s="1343">
        <v>694654</v>
      </c>
      <c r="F17" s="1343">
        <v>918041</v>
      </c>
      <c r="G17" s="1343">
        <v>871264</v>
      </c>
      <c r="H17" s="1343"/>
      <c r="I17" s="1343">
        <v>969415</v>
      </c>
      <c r="J17" s="1343"/>
      <c r="K17" s="1343"/>
      <c r="L17" s="1340">
        <f t="shared" si="0"/>
        <v>1840679</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19.5" customHeight="1" x14ac:dyDescent="0.2">
      <c r="B23" s="1337"/>
      <c r="C23" s="1341"/>
      <c r="D23" s="1342"/>
      <c r="E23" s="1343"/>
      <c r="F23" s="1343"/>
      <c r="G23" s="1343"/>
      <c r="H23" s="1343"/>
      <c r="I23" s="1343"/>
      <c r="J23" s="1343"/>
      <c r="K23" s="1343"/>
      <c r="L23" s="1340">
        <f t="shared" si="0"/>
        <v>0</v>
      </c>
      <c r="M23" s="1343"/>
    </row>
    <row r="24" spans="2:14" ht="21" customHeight="1" x14ac:dyDescent="0.2">
      <c r="B24" s="1337" t="s">
        <v>2145</v>
      </c>
      <c r="C24" s="1341"/>
      <c r="D24" s="1342"/>
      <c r="E24" s="1343">
        <v>0</v>
      </c>
      <c r="F24" s="1343">
        <v>40267</v>
      </c>
      <c r="G24" s="1343">
        <v>0</v>
      </c>
      <c r="H24" s="1343">
        <v>0</v>
      </c>
      <c r="I24" s="1343">
        <v>40267</v>
      </c>
      <c r="J24" s="1343">
        <v>0</v>
      </c>
      <c r="K24" s="1343">
        <v>0</v>
      </c>
      <c r="L24" s="1340">
        <f t="shared" si="0"/>
        <v>40267</v>
      </c>
      <c r="M24" s="1343"/>
    </row>
    <row r="25" spans="2:14" ht="21" customHeight="1" x14ac:dyDescent="0.2">
      <c r="B25" s="1337" t="s">
        <v>2148</v>
      </c>
      <c r="C25" s="1341"/>
      <c r="D25" s="1342"/>
      <c r="E25" s="1343">
        <v>0</v>
      </c>
      <c r="F25" s="1343">
        <v>0</v>
      </c>
      <c r="G25" s="1343">
        <v>0</v>
      </c>
      <c r="H25" s="1343">
        <v>0</v>
      </c>
      <c r="I25" s="1343">
        <v>0</v>
      </c>
      <c r="J25" s="1343">
        <v>0</v>
      </c>
      <c r="K25" s="1343">
        <v>0</v>
      </c>
      <c r="L25" s="1340">
        <f t="shared" si="0"/>
        <v>0</v>
      </c>
      <c r="M25" s="1343"/>
    </row>
    <row r="26" spans="2:14" ht="21" customHeight="1" x14ac:dyDescent="0.2">
      <c r="B26" s="1337" t="s">
        <v>2144</v>
      </c>
      <c r="C26" s="1341"/>
      <c r="D26" s="1342"/>
      <c r="E26" s="1343">
        <v>0</v>
      </c>
      <c r="F26" s="1343">
        <v>0</v>
      </c>
      <c r="G26" s="1343">
        <v>0</v>
      </c>
      <c r="H26" s="1343">
        <v>0</v>
      </c>
      <c r="I26" s="1343">
        <v>0</v>
      </c>
      <c r="J26" s="1343">
        <v>0</v>
      </c>
      <c r="K26" s="1343">
        <v>0</v>
      </c>
      <c r="L26" s="1340">
        <f t="shared" si="0"/>
        <v>0</v>
      </c>
      <c r="M26" s="1343"/>
    </row>
    <row r="27" spans="2:14" ht="21" customHeight="1" x14ac:dyDescent="0.2">
      <c r="B27" s="1337" t="s">
        <v>2143</v>
      </c>
      <c r="C27" s="1341"/>
      <c r="D27" s="1342"/>
      <c r="E27" s="1343">
        <v>0</v>
      </c>
      <c r="F27" s="1343">
        <v>0</v>
      </c>
      <c r="G27" s="1343">
        <v>0</v>
      </c>
      <c r="H27" s="1343">
        <v>0</v>
      </c>
      <c r="I27" s="1343">
        <v>0</v>
      </c>
      <c r="J27" s="1343">
        <v>0</v>
      </c>
      <c r="K27" s="1343">
        <v>0</v>
      </c>
      <c r="L27" s="1340">
        <f t="shared" si="0"/>
        <v>0</v>
      </c>
      <c r="M27" s="1343"/>
      <c r="N27" s="1344"/>
    </row>
    <row r="28" spans="2:14" ht="12" customHeight="1" x14ac:dyDescent="0.2">
      <c r="B28" s="1345"/>
      <c r="C28" s="1346"/>
      <c r="D28" s="1347"/>
      <c r="E28" s="1348"/>
      <c r="F28" s="1348"/>
      <c r="G28" s="1348"/>
      <c r="H28" s="1348"/>
      <c r="I28" s="1348"/>
      <c r="J28" s="1348"/>
      <c r="K28" s="1348"/>
      <c r="L28" s="1348"/>
      <c r="M28" s="1348"/>
      <c r="N28" s="1344"/>
    </row>
    <row r="29" spans="2:14" ht="12" customHeight="1"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ht="12" customHeight="1"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2"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H45" sqref="H45"/>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Franklin Park SD 84</v>
      </c>
      <c r="C1" s="2479"/>
      <c r="D1" s="2479"/>
      <c r="E1" s="2479"/>
      <c r="F1" s="2479"/>
      <c r="G1" s="2479"/>
      <c r="H1" s="2479"/>
      <c r="I1" s="2479"/>
      <c r="J1" s="1422"/>
    </row>
    <row r="2" spans="2:10" s="317" customFormat="1" ht="12.75" customHeight="1" x14ac:dyDescent="0.2">
      <c r="B2" s="2480">
        <f>'Single Audit Cover'!E7</f>
        <v>6016084002</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t="s">
        <v>1226</v>
      </c>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2074</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2074</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t="s">
        <v>2146</v>
      </c>
      <c r="E29" s="2485"/>
      <c r="F29" s="2485"/>
      <c r="G29" s="2485"/>
      <c r="H29" s="2485"/>
      <c r="I29" s="2485"/>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86" t="s">
        <v>1851</v>
      </c>
      <c r="D37" s="2487"/>
      <c r="E37" s="2487"/>
      <c r="F37" s="2488"/>
      <c r="G37" s="2486" t="s">
        <v>1674</v>
      </c>
      <c r="H37" s="2487"/>
      <c r="I37" s="2488"/>
    </row>
    <row r="38" spans="2:9" ht="16.5" customHeight="1" x14ac:dyDescent="0.2">
      <c r="B38" s="1444">
        <v>10.555</v>
      </c>
      <c r="C38" s="2474" t="s">
        <v>2102</v>
      </c>
      <c r="D38" s="2475"/>
      <c r="E38" s="2475"/>
      <c r="F38" s="2476"/>
      <c r="G38" s="2489">
        <v>372104</v>
      </c>
      <c r="H38" s="2490"/>
      <c r="I38" s="2491"/>
    </row>
    <row r="39" spans="2:9" ht="16.5" customHeight="1" x14ac:dyDescent="0.2">
      <c r="B39" s="1444">
        <v>84.367000000000004</v>
      </c>
      <c r="C39" s="2474" t="s">
        <v>782</v>
      </c>
      <c r="D39" s="2475"/>
      <c r="E39" s="2475"/>
      <c r="F39" s="2476"/>
      <c r="G39" s="2477">
        <v>59742</v>
      </c>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431846</v>
      </c>
      <c r="H43" s="2470"/>
      <c r="I43" s="2470"/>
    </row>
    <row r="44" spans="2:9" ht="12.75" customHeight="1" x14ac:dyDescent="0.2"/>
    <row r="45" spans="2:9" ht="12.75" customHeight="1" x14ac:dyDescent="0.2">
      <c r="B45" s="1435" t="s">
        <v>1949</v>
      </c>
      <c r="D45" s="2471">
        <v>969415</v>
      </c>
      <c r="E45" s="2472"/>
    </row>
    <row r="46" spans="2:9" ht="5.25" customHeight="1" x14ac:dyDescent="0.2">
      <c r="B46" s="1445"/>
      <c r="D46" s="1446"/>
      <c r="E46" s="1447"/>
    </row>
    <row r="47" spans="2:9" ht="12.75" customHeight="1" x14ac:dyDescent="0.2">
      <c r="B47" s="1300" t="s">
        <v>1676</v>
      </c>
      <c r="C47" s="1300"/>
      <c r="D47" s="1448">
        <f>+G43/D45</f>
        <v>0.44547072203339128</v>
      </c>
      <c r="E47" s="1449"/>
      <c r="F47" s="1450"/>
      <c r="I47" s="1451"/>
    </row>
    <row r="48" spans="2:9" ht="9.9499999999999993" customHeight="1" x14ac:dyDescent="0.2"/>
    <row r="49" spans="1:9" x14ac:dyDescent="0.2">
      <c r="B49" s="1368" t="s">
        <v>1335</v>
      </c>
      <c r="C49" s="1282"/>
      <c r="D49" s="1282"/>
      <c r="E49" s="2473">
        <v>750000</v>
      </c>
      <c r="F49" s="2473"/>
      <c r="G49" s="2473"/>
      <c r="H49" s="322"/>
    </row>
    <row r="51" spans="1:9" ht="13.5" customHeight="1" x14ac:dyDescent="0.2">
      <c r="B51" s="1368" t="s">
        <v>1334</v>
      </c>
      <c r="C51" s="1282"/>
      <c r="E51" s="1438"/>
      <c r="F51" s="1300" t="s">
        <v>940</v>
      </c>
      <c r="G51" s="1438" t="s">
        <v>2074</v>
      </c>
      <c r="H51" s="1300" t="s">
        <v>101</v>
      </c>
    </row>
    <row r="52" spans="1:9" ht="12" customHeight="1"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2.75" customHeight="1"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2.75" customHeight="1" x14ac:dyDescent="0.2">
      <c r="A58" s="1458"/>
      <c r="B58" s="1463" t="s">
        <v>1853</v>
      </c>
      <c r="C58" s="1464"/>
      <c r="D58" s="1464"/>
    </row>
    <row r="59" spans="1:9" s="1461" customFormat="1" ht="3.95" customHeight="1" x14ac:dyDescent="0.2">
      <c r="A59" s="1458"/>
      <c r="B59" s="1463"/>
      <c r="C59" s="1464"/>
      <c r="D59" s="1464"/>
    </row>
    <row r="60" spans="1:9" s="1461" customFormat="1" ht="12.7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2.7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5" sqref="D1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Franklin Park SD 84</v>
      </c>
      <c r="C1" s="2478"/>
      <c r="D1" s="2478"/>
      <c r="E1" s="2478"/>
      <c r="F1" s="2478"/>
      <c r="G1" s="2478"/>
      <c r="H1" s="2478"/>
      <c r="I1" s="2478"/>
      <c r="J1" s="2478"/>
      <c r="K1" s="2478"/>
      <c r="L1" s="1374"/>
      <c r="M1" s="1374"/>
    </row>
    <row r="2" spans="1:13" ht="12" customHeight="1" x14ac:dyDescent="0.2">
      <c r="B2" s="2480">
        <f>'Single Audit Cover'!E7</f>
        <v>6016084002</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t="s">
        <v>2099</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2098</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F21" sqref="F2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Franklin Park SD 84</v>
      </c>
      <c r="C1" s="2501"/>
      <c r="D1" s="2501"/>
      <c r="E1" s="2501"/>
      <c r="F1" s="2501"/>
      <c r="G1" s="2501"/>
      <c r="H1" s="2501"/>
      <c r="I1" s="2501"/>
      <c r="J1" s="2501"/>
      <c r="K1" s="2501"/>
      <c r="L1" s="1465"/>
    </row>
    <row r="2" spans="1:12" ht="12.75" customHeight="1" x14ac:dyDescent="0.2">
      <c r="B2" s="2502">
        <f>'Single Audit Cover'!E7</f>
        <v>6016084002</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t="s">
        <v>2099</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t="s">
        <v>2150</v>
      </c>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t="s">
        <v>2098</v>
      </c>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4" sqref="C1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Franklin Park SD 84</v>
      </c>
      <c r="C1" s="2478"/>
      <c r="D1" s="2478"/>
      <c r="E1" s="1491"/>
    </row>
    <row r="2" spans="2:5" s="1282" customFormat="1" ht="12.75" customHeight="1" x14ac:dyDescent="0.2">
      <c r="B2" s="2480">
        <f>'Single Audit Cover'!E7</f>
        <v>6016084002</v>
      </c>
      <c r="C2" s="2480"/>
      <c r="D2" s="2480"/>
      <c r="E2" s="1492"/>
    </row>
    <row r="3" spans="2:5" ht="12.75" customHeight="1" x14ac:dyDescent="0.2">
      <c r="B3" s="2494" t="s">
        <v>1866</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t="s">
        <v>2098</v>
      </c>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320752292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4.0439999999999997E-2</v>
      </c>
      <c r="E10" s="356" t="s">
        <v>1062</v>
      </c>
      <c r="F10" s="355">
        <v>5.3E-3</v>
      </c>
      <c r="G10" s="356" t="s">
        <v>1062</v>
      </c>
      <c r="H10" s="355">
        <v>3.01E-4</v>
      </c>
      <c r="I10" s="356" t="s">
        <v>1063</v>
      </c>
      <c r="J10" s="1754">
        <f>ROUND(D10+F10+H10,5)</f>
        <v>4.6039999999999998E-2</v>
      </c>
      <c r="K10" s="222"/>
      <c r="L10" s="355">
        <v>1.4999999999999999E-4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19963028</v>
      </c>
      <c r="E16" s="356"/>
      <c r="F16" s="1755">
        <f>SUM('Acct Summary 7-8'!C17,'Acct Summary 7-8'!D17,'Acct Summary 7-8'!F17)</f>
        <v>18079896</v>
      </c>
      <c r="G16" s="356"/>
      <c r="H16" s="1755">
        <f>SUM(D16-F16)</f>
        <v>1883132</v>
      </c>
      <c r="I16" s="222"/>
      <c r="J16" s="1755">
        <f>SUM('Acct Summary 7-8'!C81,'Acct Summary 7-8'!D81,'Acct Summary 7-8'!F81,'Acct Summary 7-8'!I81)</f>
        <v>25421047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2074</v>
      </c>
      <c r="C31" s="367" t="s">
        <v>607</v>
      </c>
      <c r="D31" s="237" t="s">
        <v>1132</v>
      </c>
      <c r="E31" s="222"/>
      <c r="F31" s="222"/>
      <c r="G31" s="363"/>
      <c r="H31" s="1757">
        <f>IF(B31="X",(J7*0.069),IF(B32="X",(J7*0.138),"Enter x in a.or b."))</f>
        <v>22131908.148000002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7761019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O31" sqref="O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Franklin Park SD 84</v>
      </c>
      <c r="E7" s="391"/>
      <c r="G7" s="252"/>
      <c r="H7" s="387"/>
      <c r="I7" s="387"/>
      <c r="J7" s="387"/>
      <c r="K7" s="387"/>
      <c r="L7" s="329"/>
      <c r="M7" s="329"/>
      <c r="N7" s="329"/>
      <c r="O7" s="329"/>
      <c r="P7" s="329"/>
    </row>
    <row r="8" spans="1:18" ht="12.75" x14ac:dyDescent="0.2">
      <c r="A8" s="329"/>
      <c r="B8" s="329"/>
      <c r="C8" s="389" t="s">
        <v>1187</v>
      </c>
      <c r="D8" s="392">
        <f>COVER!A13</f>
        <v>6016084002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25421047</v>
      </c>
      <c r="I12" s="404"/>
      <c r="J12" s="404"/>
      <c r="K12" s="405">
        <f>TRUNC((H12/H13*100000),5)/100000</f>
        <v>1.2734063689999999</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19963028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18079896</v>
      </c>
      <c r="I17" s="404"/>
      <c r="J17" s="416"/>
      <c r="K17" s="405">
        <f>TRUNC((H17/H18*100000),5)/100000</f>
        <v>0.90566901970000002</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19963028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25421047</v>
      </c>
      <c r="I24" s="422"/>
      <c r="J24" s="422"/>
      <c r="K24" s="423">
        <f>TRUNC(((H24/H25*100000)/100000),2)</f>
        <v>506.17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50221.93333</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12552320.19513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7761019</v>
      </c>
      <c r="I32" s="420"/>
      <c r="J32" s="420"/>
      <c r="K32" s="423">
        <f>TRUNC(100-((((H32/H33*100))*100)/100),2)</f>
        <v>64.930000000000007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22131908.148000002</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G1" colorId="8" zoomScale="110" zoomScaleNormal="110" workbookViewId="0">
      <pane ySplit="2" topLeftCell="A12" activePane="bottomLeft" state="frozen"/>
      <selection activeCell="A47" sqref="A47"/>
      <selection pane="bottomLeft" activeCell="M43" sqref="M4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14653166</v>
      </c>
      <c r="D4" s="466">
        <v>5399190</v>
      </c>
      <c r="E4" s="466">
        <v>341491</v>
      </c>
      <c r="F4" s="466">
        <v>3406827</v>
      </c>
      <c r="G4" s="466">
        <v>736872</v>
      </c>
      <c r="H4" s="466">
        <v>0</v>
      </c>
      <c r="I4" s="466">
        <v>1961864</v>
      </c>
      <c r="J4" s="467">
        <v>217607</v>
      </c>
      <c r="K4" s="466">
        <v>805427</v>
      </c>
      <c r="L4" s="466">
        <v>33045</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14653166</v>
      </c>
      <c r="D13" s="1759">
        <f t="shared" ref="D13:L13" si="0">SUM(D4:D12)</f>
        <v>5399190</v>
      </c>
      <c r="E13" s="1759">
        <f t="shared" si="0"/>
        <v>341491</v>
      </c>
      <c r="F13" s="1759">
        <f t="shared" si="0"/>
        <v>3406827</v>
      </c>
      <c r="G13" s="1759">
        <f t="shared" si="0"/>
        <v>736872</v>
      </c>
      <c r="H13" s="1759">
        <f t="shared" si="0"/>
        <v>0</v>
      </c>
      <c r="I13" s="1759">
        <f t="shared" si="0"/>
        <v>1961864</v>
      </c>
      <c r="J13" s="1759">
        <f t="shared" si="0"/>
        <v>217607</v>
      </c>
      <c r="K13" s="1759">
        <f t="shared" si="0"/>
        <v>805427</v>
      </c>
      <c r="L13" s="1759">
        <f t="shared" si="0"/>
        <v>33045</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425000</v>
      </c>
      <c r="N16" s="484"/>
    </row>
    <row r="17" spans="1:14" s="485" customFormat="1" ht="12.75" customHeight="1" x14ac:dyDescent="0.2">
      <c r="A17" s="482" t="s">
        <v>1470</v>
      </c>
      <c r="B17" s="483">
        <v>230</v>
      </c>
      <c r="C17" s="477"/>
      <c r="D17" s="477"/>
      <c r="E17" s="477"/>
      <c r="F17" s="477"/>
      <c r="G17" s="477"/>
      <c r="H17" s="477"/>
      <c r="I17" s="477"/>
      <c r="J17" s="477"/>
      <c r="K17" s="477"/>
      <c r="L17" s="477"/>
      <c r="M17" s="467">
        <v>14980457</v>
      </c>
      <c r="N17" s="484"/>
    </row>
    <row r="18" spans="1:14" s="485" customFormat="1" ht="12.75" customHeight="1" x14ac:dyDescent="0.2">
      <c r="A18" s="482" t="s">
        <v>1471</v>
      </c>
      <c r="B18" s="483">
        <v>240</v>
      </c>
      <c r="C18" s="477"/>
      <c r="D18" s="477"/>
      <c r="E18" s="477"/>
      <c r="F18" s="477"/>
      <c r="G18" s="477"/>
      <c r="H18" s="477"/>
      <c r="I18" s="477"/>
      <c r="J18" s="477"/>
      <c r="K18" s="477"/>
      <c r="L18" s="477"/>
      <c r="M18" s="467">
        <v>143781</v>
      </c>
      <c r="N18" s="484"/>
    </row>
    <row r="19" spans="1:14" s="485" customFormat="1" ht="12.75" customHeight="1" x14ac:dyDescent="0.2">
      <c r="A19" s="482" t="s">
        <v>1472</v>
      </c>
      <c r="B19" s="483">
        <v>250</v>
      </c>
      <c r="C19" s="477"/>
      <c r="D19" s="477"/>
      <c r="E19" s="477"/>
      <c r="F19" s="477"/>
      <c r="G19" s="477"/>
      <c r="H19" s="477"/>
      <c r="I19" s="477"/>
      <c r="J19" s="477"/>
      <c r="K19" s="477"/>
      <c r="L19" s="477"/>
      <c r="M19" s="467">
        <v>1122942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341491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7419528</v>
      </c>
    </row>
    <row r="23" spans="1:14" ht="13.5" customHeight="1" thickBot="1" x14ac:dyDescent="0.25">
      <c r="A23" s="1758" t="s">
        <v>664</v>
      </c>
      <c r="B23" s="1763"/>
      <c r="C23" s="468"/>
      <c r="D23" s="468"/>
      <c r="E23" s="468"/>
      <c r="F23" s="468"/>
      <c r="G23" s="468"/>
      <c r="H23" s="468"/>
      <c r="I23" s="468"/>
      <c r="J23" s="468"/>
      <c r="K23" s="468"/>
      <c r="L23" s="468"/>
      <c r="M23" s="1710">
        <f>SUM(M15:M22)</f>
        <v>16672180</v>
      </c>
      <c r="N23" s="1710">
        <f>SUM(N21:N22)</f>
        <v>7761019</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33045</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33045</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7761019</v>
      </c>
    </row>
    <row r="37" spans="1:14" ht="13.5" thickBot="1" x14ac:dyDescent="0.25">
      <c r="A37" s="1758" t="s">
        <v>674</v>
      </c>
      <c r="B37" s="1763"/>
      <c r="C37" s="477"/>
      <c r="D37" s="477"/>
      <c r="E37" s="477"/>
      <c r="F37" s="477"/>
      <c r="G37" s="477"/>
      <c r="H37" s="477"/>
      <c r="I37" s="477"/>
      <c r="J37" s="477"/>
      <c r="K37" s="477"/>
      <c r="L37" s="480"/>
      <c r="M37" s="468"/>
      <c r="N37" s="1710">
        <f>SUM(N36:N36)</f>
        <v>7761019</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14653166</v>
      </c>
      <c r="D39" s="466">
        <v>5399190</v>
      </c>
      <c r="E39" s="466">
        <v>341491</v>
      </c>
      <c r="F39" s="466">
        <v>3406827</v>
      </c>
      <c r="G39" s="466">
        <v>736872</v>
      </c>
      <c r="H39" s="466">
        <v>0</v>
      </c>
      <c r="I39" s="466">
        <v>1961864</v>
      </c>
      <c r="J39" s="467">
        <v>217607</v>
      </c>
      <c r="K39" s="466">
        <v>805427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16672180</v>
      </c>
      <c r="N40" s="497"/>
    </row>
    <row r="41" spans="1:14" ht="13.5" customHeight="1" thickBot="1" x14ac:dyDescent="0.25">
      <c r="A41" s="1758" t="s">
        <v>676</v>
      </c>
      <c r="B41" s="1728"/>
      <c r="C41" s="1710">
        <f>(SUM(C34,C37,C38,C39))</f>
        <v>14653166</v>
      </c>
      <c r="D41" s="1710">
        <f t="shared" ref="D41:L41" si="2">SUM(D34,D37,D38:D39)</f>
        <v>5399190</v>
      </c>
      <c r="E41" s="1710">
        <f t="shared" si="2"/>
        <v>341491</v>
      </c>
      <c r="F41" s="1710">
        <f t="shared" si="2"/>
        <v>3406827</v>
      </c>
      <c r="G41" s="1710">
        <f t="shared" si="2"/>
        <v>736872</v>
      </c>
      <c r="H41" s="1710">
        <f t="shared" si="2"/>
        <v>0</v>
      </c>
      <c r="I41" s="1710">
        <f t="shared" si="2"/>
        <v>1961864</v>
      </c>
      <c r="J41" s="1710">
        <f t="shared" si="2"/>
        <v>217607</v>
      </c>
      <c r="K41" s="1710">
        <f t="shared" si="2"/>
        <v>805427</v>
      </c>
      <c r="L41" s="1710">
        <f t="shared" si="2"/>
        <v>33045</v>
      </c>
      <c r="M41" s="1710">
        <f>SUM(M40)</f>
        <v>16672180</v>
      </c>
      <c r="N41" s="1710">
        <f>SUM(N37)</f>
        <v>7761019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9" activePane="bottomLeft" state="frozenSplit"/>
      <selection activeCell="A47" sqref="A47"/>
      <selection pane="bottomLeft" activeCell="A86" sqref="A8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12316955</v>
      </c>
      <c r="D4" s="1764">
        <f>'Revenues 9-14'!D109</f>
        <v>2115378</v>
      </c>
      <c r="E4" s="1764">
        <f>'Revenues 9-14'!E109</f>
        <v>927568</v>
      </c>
      <c r="F4" s="1764">
        <f>'Revenues 9-14'!F109</f>
        <v>847849</v>
      </c>
      <c r="G4" s="1764">
        <f>'Revenues 9-14'!G109</f>
        <v>362216</v>
      </c>
      <c r="H4" s="1764">
        <f>'Revenues 9-14'!H109</f>
        <v>0</v>
      </c>
      <c r="I4" s="1764">
        <f>'Revenues 9-14'!I109</f>
        <v>102882</v>
      </c>
      <c r="J4" s="1764">
        <f>'Revenues 9-14'!J109</f>
        <v>167599</v>
      </c>
      <c r="K4" s="1764">
        <f>'Revenues 9-14'!K109</f>
        <v>264036</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3178145</v>
      </c>
      <c r="D6" s="1765">
        <f>'Revenues 9-14'!D173</f>
        <v>0</v>
      </c>
      <c r="E6" s="1765">
        <f>'Revenues 9-14'!E173</f>
        <v>0</v>
      </c>
      <c r="F6" s="1765">
        <f>'Revenues 9-14'!F173</f>
        <v>408284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993535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16488635</v>
      </c>
      <c r="D8" s="1710">
        <f t="shared" ref="D8:K8" si="0">SUM(D4:D7)</f>
        <v>2115378</v>
      </c>
      <c r="E8" s="1710">
        <f t="shared" si="0"/>
        <v>927568</v>
      </c>
      <c r="F8" s="1710">
        <f t="shared" si="0"/>
        <v>1256133</v>
      </c>
      <c r="G8" s="1710">
        <f t="shared" si="0"/>
        <v>362216</v>
      </c>
      <c r="H8" s="1710">
        <f t="shared" si="0"/>
        <v>0</v>
      </c>
      <c r="I8" s="1710">
        <f t="shared" si="0"/>
        <v>102882</v>
      </c>
      <c r="J8" s="1710">
        <f t="shared" si="0"/>
        <v>167599</v>
      </c>
      <c r="K8" s="1710">
        <f t="shared" si="0"/>
        <v>264036</v>
      </c>
      <c r="L8" s="347"/>
    </row>
    <row r="9" spans="1:13" ht="15.75" thickTop="1" x14ac:dyDescent="0.2">
      <c r="A9" s="514" t="s">
        <v>1752</v>
      </c>
      <c r="B9" s="515">
        <v>3998</v>
      </c>
      <c r="C9" s="481">
        <v>6142091</v>
      </c>
      <c r="D9" s="516"/>
      <c r="E9" s="481"/>
      <c r="F9" s="481"/>
      <c r="G9" s="517"/>
      <c r="H9" s="481"/>
      <c r="I9" s="509" t="s">
        <v>1231</v>
      </c>
      <c r="J9" s="478"/>
      <c r="K9" s="481"/>
      <c r="L9" s="347"/>
    </row>
    <row r="10" spans="1:13" s="519" customFormat="1" ht="13.5" thickBot="1" x14ac:dyDescent="0.25">
      <c r="A10" s="1758" t="s">
        <v>1235</v>
      </c>
      <c r="B10" s="1731"/>
      <c r="C10" s="1710">
        <f>SUM(C8:C9)</f>
        <v>22630726</v>
      </c>
      <c r="D10" s="1710">
        <f t="shared" ref="D10:K10" si="1">SUM(D8:D9)</f>
        <v>2115378</v>
      </c>
      <c r="E10" s="1710">
        <f t="shared" si="1"/>
        <v>927568</v>
      </c>
      <c r="F10" s="1710">
        <f t="shared" si="1"/>
        <v>1256133</v>
      </c>
      <c r="G10" s="1710">
        <f t="shared" si="1"/>
        <v>362216</v>
      </c>
      <c r="H10" s="1710">
        <f t="shared" si="1"/>
        <v>0</v>
      </c>
      <c r="I10" s="1710">
        <f t="shared" si="1"/>
        <v>102882</v>
      </c>
      <c r="J10" s="1710">
        <f t="shared" si="1"/>
        <v>167599</v>
      </c>
      <c r="K10" s="1710">
        <f t="shared" si="1"/>
        <v>264036</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10502877</v>
      </c>
      <c r="D12" s="520" t="s">
        <v>1231</v>
      </c>
      <c r="E12" s="468" t="s">
        <v>1231</v>
      </c>
      <c r="F12" s="468" t="s">
        <v>1231</v>
      </c>
      <c r="G12" s="1764">
        <f>'Expenditures 15-22'!K229</f>
        <v>161489</v>
      </c>
      <c r="H12" s="521"/>
      <c r="I12" s="468" t="s">
        <v>1231</v>
      </c>
      <c r="J12" s="468" t="s">
        <v>1231</v>
      </c>
      <c r="K12" s="521" t="s">
        <v>1231</v>
      </c>
      <c r="L12" s="347"/>
    </row>
    <row r="13" spans="1:13" ht="15.75" customHeight="1" x14ac:dyDescent="0.2">
      <c r="A13" s="1598" t="s">
        <v>477</v>
      </c>
      <c r="B13" s="1600">
        <v>2000</v>
      </c>
      <c r="C13" s="1765">
        <f>'Expenditures 15-22'!K74</f>
        <v>3854955</v>
      </c>
      <c r="D13" s="1765">
        <f>'Expenditures 15-22'!K129</f>
        <v>2080085</v>
      </c>
      <c r="E13" s="469" t="s">
        <v>1231</v>
      </c>
      <c r="F13" s="1765">
        <f>'Expenditures 15-22'!K184</f>
        <v>800373</v>
      </c>
      <c r="G13" s="1765">
        <f>'Expenditures 15-22'!K279</f>
        <v>356207</v>
      </c>
      <c r="H13" s="1765">
        <f>'Expenditures 15-22'!K303</f>
        <v>0</v>
      </c>
      <c r="I13" s="468" t="s">
        <v>1231</v>
      </c>
      <c r="J13" s="1765">
        <f>'Expenditures 15-22'!K330</f>
        <v>115988</v>
      </c>
      <c r="K13" s="1769">
        <f>'Expenditures 15-22'!K352</f>
        <v>0</v>
      </c>
      <c r="L13" s="347"/>
    </row>
    <row r="14" spans="1:13" ht="15.75" customHeight="1" x14ac:dyDescent="0.2">
      <c r="A14" s="1598" t="s">
        <v>469</v>
      </c>
      <c r="B14" s="1600">
        <v>3000</v>
      </c>
      <c r="C14" s="1765">
        <f>'Expenditures 15-22'!K75</f>
        <v>7772</v>
      </c>
      <c r="D14" s="1765">
        <f>'Expenditures 15-22'!K130</f>
        <v>0</v>
      </c>
      <c r="E14" s="520" t="s">
        <v>1231</v>
      </c>
      <c r="F14" s="1765">
        <f>'Expenditures 15-22'!K185</f>
        <v>0</v>
      </c>
      <c r="G14" s="1765">
        <f>'Expenditures 15-22'!K280</f>
        <v>1416</v>
      </c>
      <c r="H14" s="512"/>
      <c r="I14" s="468" t="s">
        <v>1231</v>
      </c>
      <c r="J14" s="468" t="s">
        <v>1231</v>
      </c>
      <c r="K14" s="512" t="s">
        <v>1231</v>
      </c>
      <c r="L14" s="347"/>
    </row>
    <row r="15" spans="1:13" ht="15.75" customHeight="1" x14ac:dyDescent="0.2">
      <c r="A15" s="1598" t="s">
        <v>109</v>
      </c>
      <c r="B15" s="1600">
        <v>4000</v>
      </c>
      <c r="C15" s="1765">
        <f>'Expenditures 15-22'!K102</f>
        <v>833834</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967463</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15199438</v>
      </c>
      <c r="D17" s="1710">
        <f t="shared" si="2"/>
        <v>2080085</v>
      </c>
      <c r="E17" s="1710">
        <f t="shared" si="2"/>
        <v>967463</v>
      </c>
      <c r="F17" s="1710">
        <f t="shared" si="2"/>
        <v>800373</v>
      </c>
      <c r="G17" s="1710">
        <f t="shared" si="2"/>
        <v>519112</v>
      </c>
      <c r="H17" s="1710">
        <f t="shared" si="2"/>
        <v>0</v>
      </c>
      <c r="I17" s="468"/>
      <c r="J17" s="1710">
        <f>SUM(J12:J16)</f>
        <v>115988</v>
      </c>
      <c r="K17" s="1710">
        <f>SUM(K12:K16)</f>
        <v>0</v>
      </c>
      <c r="L17" s="347"/>
    </row>
    <row r="18" spans="1:12" ht="15" customHeight="1" thickTop="1" x14ac:dyDescent="0.2">
      <c r="A18" s="1766" t="s">
        <v>1753</v>
      </c>
      <c r="B18" s="1767">
        <v>4180</v>
      </c>
      <c r="C18" s="1764">
        <f t="shared" ref="C18:H18" si="3">C9</f>
        <v>6142091</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21341529</v>
      </c>
      <c r="D19" s="1710">
        <f t="shared" si="4"/>
        <v>2080085</v>
      </c>
      <c r="E19" s="1710">
        <f t="shared" si="4"/>
        <v>967463</v>
      </c>
      <c r="F19" s="1710">
        <f t="shared" si="4"/>
        <v>800373</v>
      </c>
      <c r="G19" s="1710">
        <f t="shared" si="4"/>
        <v>519112</v>
      </c>
      <c r="H19" s="1710">
        <f t="shared" si="4"/>
        <v>0</v>
      </c>
      <c r="I19" s="468"/>
      <c r="J19" s="1710">
        <f>SUM(J17:J18)</f>
        <v>115988</v>
      </c>
      <c r="K19" s="1710">
        <f>SUM(K17:K18)</f>
        <v>0</v>
      </c>
      <c r="L19" s="347"/>
    </row>
    <row r="20" spans="1:12" ht="16.5" thickTop="1" thickBot="1" x14ac:dyDescent="0.25">
      <c r="A20" s="2144" t="s">
        <v>1754</v>
      </c>
      <c r="B20" s="2145"/>
      <c r="C20" s="1768">
        <f>C8-C17</f>
        <v>1289197</v>
      </c>
      <c r="D20" s="1768">
        <f t="shared" ref="D20:K20" si="5">D8-D17</f>
        <v>35293</v>
      </c>
      <c r="E20" s="1768">
        <f t="shared" si="5"/>
        <v>-39895</v>
      </c>
      <c r="F20" s="1768">
        <f t="shared" si="5"/>
        <v>455760</v>
      </c>
      <c r="G20" s="1768">
        <f t="shared" si="5"/>
        <v>-156896</v>
      </c>
      <c r="H20" s="1768">
        <f t="shared" si="5"/>
        <v>0</v>
      </c>
      <c r="I20" s="1768">
        <f t="shared" si="5"/>
        <v>102882</v>
      </c>
      <c r="J20" s="1768">
        <f t="shared" si="5"/>
        <v>51611</v>
      </c>
      <c r="K20" s="1768">
        <f t="shared" si="5"/>
        <v>264036</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1289197</v>
      </c>
      <c r="D78" s="1724">
        <f t="shared" si="9"/>
        <v>35293</v>
      </c>
      <c r="E78" s="1724">
        <f t="shared" si="9"/>
        <v>-39895</v>
      </c>
      <c r="F78" s="1724">
        <f t="shared" si="9"/>
        <v>455760</v>
      </c>
      <c r="G78" s="1724">
        <f t="shared" si="9"/>
        <v>-156896</v>
      </c>
      <c r="H78" s="1724">
        <f t="shared" si="9"/>
        <v>0</v>
      </c>
      <c r="I78" s="1724">
        <f t="shared" si="9"/>
        <v>102882</v>
      </c>
      <c r="J78" s="1724">
        <f t="shared" si="9"/>
        <v>51611</v>
      </c>
      <c r="K78" s="1724">
        <f t="shared" si="9"/>
        <v>264036</v>
      </c>
      <c r="L78" s="533"/>
    </row>
    <row r="79" spans="1:12" ht="13.5" thickTop="1" x14ac:dyDescent="0.2">
      <c r="A79" s="1516" t="s">
        <v>2070</v>
      </c>
      <c r="B79" s="534"/>
      <c r="C79" s="478">
        <v>13363969</v>
      </c>
      <c r="D79" s="535">
        <v>5363897</v>
      </c>
      <c r="E79" s="535">
        <v>381386</v>
      </c>
      <c r="F79" s="535">
        <v>2951067</v>
      </c>
      <c r="G79" s="535">
        <v>893768</v>
      </c>
      <c r="H79" s="535">
        <v>0</v>
      </c>
      <c r="I79" s="535">
        <v>1858982</v>
      </c>
      <c r="J79" s="535">
        <v>165996</v>
      </c>
      <c r="K79" s="535">
        <v>541391</v>
      </c>
      <c r="L79" s="347"/>
    </row>
    <row r="80" spans="1:12" x14ac:dyDescent="0.2">
      <c r="A80" s="2146" t="s">
        <v>1895</v>
      </c>
      <c r="B80" s="2147"/>
      <c r="C80" s="467"/>
      <c r="D80" s="467"/>
      <c r="E80" s="467"/>
      <c r="F80" s="467"/>
      <c r="G80" s="467"/>
      <c r="H80" s="467"/>
      <c r="I80" s="467"/>
      <c r="J80" s="467"/>
      <c r="K80" s="467"/>
      <c r="L80" s="347"/>
    </row>
    <row r="81" spans="1:12" ht="13.5" thickBot="1" x14ac:dyDescent="0.25">
      <c r="A81" s="2138" t="s">
        <v>2071</v>
      </c>
      <c r="B81" s="2139"/>
      <c r="C81" s="1710">
        <f>(SUM(C78:C80))</f>
        <v>14653166</v>
      </c>
      <c r="D81" s="1710">
        <f>SUM(D78:D80)</f>
        <v>5399190</v>
      </c>
      <c r="E81" s="1710">
        <f t="shared" ref="E81:K81" si="10">SUM(E78:E80)</f>
        <v>341491</v>
      </c>
      <c r="F81" s="1710">
        <f t="shared" si="10"/>
        <v>3406827</v>
      </c>
      <c r="G81" s="1710">
        <f t="shared" si="10"/>
        <v>736872</v>
      </c>
      <c r="H81" s="1710">
        <f t="shared" si="10"/>
        <v>0</v>
      </c>
      <c r="I81" s="1710">
        <f t="shared" si="10"/>
        <v>1961864</v>
      </c>
      <c r="J81" s="1710">
        <f t="shared" si="10"/>
        <v>217607</v>
      </c>
      <c r="K81" s="1710">
        <f t="shared" si="10"/>
        <v>805427</v>
      </c>
      <c r="L81" s="347"/>
    </row>
    <row r="82" spans="1:12" ht="0.75" customHeight="1" thickTop="1" thickBot="1" x14ac:dyDescent="0.25">
      <c r="A82" s="536" t="s">
        <v>361</v>
      </c>
      <c r="B82" s="537"/>
      <c r="C82" s="538">
        <f>(C81-C79)</f>
        <v>1289197</v>
      </c>
      <c r="D82" s="538">
        <f t="shared" ref="D82:K82" si="11">(D81-D79)</f>
        <v>35293</v>
      </c>
      <c r="E82" s="538">
        <f t="shared" si="11"/>
        <v>-39895</v>
      </c>
      <c r="F82" s="538">
        <f t="shared" si="11"/>
        <v>455760</v>
      </c>
      <c r="G82" s="538">
        <f t="shared" si="11"/>
        <v>-156896</v>
      </c>
      <c r="H82" s="538">
        <f t="shared" si="11"/>
        <v>0</v>
      </c>
      <c r="I82" s="538">
        <f t="shared" si="11"/>
        <v>102882</v>
      </c>
      <c r="J82" s="538">
        <f t="shared" si="11"/>
        <v>51611</v>
      </c>
      <c r="K82" s="538">
        <f t="shared" si="11"/>
        <v>264036</v>
      </c>
    </row>
    <row r="83" spans="1:12" ht="14.25" hidden="1" thickTop="1" thickBot="1" x14ac:dyDescent="0.25">
      <c r="A83" s="539" t="s">
        <v>362</v>
      </c>
      <c r="B83" s="464"/>
      <c r="C83" s="540">
        <f>C82/C81</f>
        <v>8.7980781764159369E-2</v>
      </c>
      <c r="D83" s="540">
        <f t="shared" ref="D83:K83" si="12">D82/D81</f>
        <v>6.5367212489280801E-3</v>
      </c>
      <c r="E83" s="540">
        <f t="shared" si="12"/>
        <v>-0.11682591927752123</v>
      </c>
      <c r="F83" s="540">
        <f t="shared" si="12"/>
        <v>0.13377843958616037</v>
      </c>
      <c r="G83" s="540">
        <f t="shared" si="12"/>
        <v>-0.2129216471788859</v>
      </c>
      <c r="H83" s="540" t="e">
        <f t="shared" si="12"/>
        <v>#DIV/0!</v>
      </c>
      <c r="I83" s="540">
        <f t="shared" si="12"/>
        <v>5.244094391864064E-2</v>
      </c>
      <c r="J83" s="540">
        <f t="shared" si="12"/>
        <v>0.23717527469245014</v>
      </c>
      <c r="K83" s="540">
        <f t="shared" si="12"/>
        <v>0.32782114331900969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xSplit="2" ySplit="2" topLeftCell="C3" activePane="bottomRight" state="frozen"/>
      <selection pane="topRight" activeCell="C1" sqref="C1"/>
      <selection pane="bottomLeft" activeCell="A3" sqref="A3"/>
      <selection pane="bottomRigh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1902</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10365180</v>
      </c>
      <c r="D5" s="481">
        <v>1461853</v>
      </c>
      <c r="E5" s="466">
        <v>923719</v>
      </c>
      <c r="F5" s="548">
        <v>808821</v>
      </c>
      <c r="G5" s="466">
        <v>162581</v>
      </c>
      <c r="H5" s="466"/>
      <c r="I5" s="466">
        <v>80349</v>
      </c>
      <c r="J5" s="467">
        <v>154326</v>
      </c>
      <c r="K5" s="466">
        <v>255960</v>
      </c>
    </row>
    <row r="6" spans="1:12" ht="15" x14ac:dyDescent="0.2">
      <c r="A6" s="463" t="s">
        <v>1761</v>
      </c>
      <c r="B6" s="470">
        <v>1130</v>
      </c>
      <c r="C6" s="466"/>
      <c r="D6" s="466"/>
      <c r="E6" s="475"/>
      <c r="F6" s="475"/>
      <c r="G6" s="468"/>
      <c r="H6" s="468"/>
      <c r="I6" s="468"/>
      <c r="J6" s="468"/>
      <c r="K6" s="468"/>
    </row>
    <row r="7" spans="1:12" x14ac:dyDescent="0.2">
      <c r="A7" s="463" t="s">
        <v>112</v>
      </c>
      <c r="B7" s="549">
        <v>1140</v>
      </c>
      <c r="C7" s="466">
        <v>1063187</v>
      </c>
      <c r="D7" s="466"/>
      <c r="E7" s="468"/>
      <c r="F7" s="467"/>
      <c r="G7" s="467"/>
      <c r="H7" s="467"/>
      <c r="I7" s="468"/>
      <c r="J7" s="468"/>
      <c r="K7" s="468"/>
    </row>
    <row r="8" spans="1:12" x14ac:dyDescent="0.2">
      <c r="A8" s="463" t="s">
        <v>433</v>
      </c>
      <c r="B8" s="470">
        <v>1150</v>
      </c>
      <c r="C8" s="475"/>
      <c r="D8" s="475"/>
      <c r="E8" s="477"/>
      <c r="F8" s="477"/>
      <c r="G8" s="481">
        <v>162581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11428367</v>
      </c>
      <c r="D12" s="1729">
        <f t="shared" si="0"/>
        <v>1461853</v>
      </c>
      <c r="E12" s="1729">
        <f t="shared" si="0"/>
        <v>923719</v>
      </c>
      <c r="F12" s="1729">
        <f t="shared" si="0"/>
        <v>808821</v>
      </c>
      <c r="G12" s="1729">
        <f t="shared" si="0"/>
        <v>325162</v>
      </c>
      <c r="H12" s="1729">
        <f t="shared" si="0"/>
        <v>0</v>
      </c>
      <c r="I12" s="1729">
        <f t="shared" si="0"/>
        <v>80349</v>
      </c>
      <c r="J12" s="1729">
        <f t="shared" si="0"/>
        <v>154326</v>
      </c>
      <c r="K12" s="1710">
        <f t="shared" si="0"/>
        <v>255960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200000</v>
      </c>
      <c r="D16" s="466">
        <v>507697</v>
      </c>
      <c r="E16" s="466"/>
      <c r="F16" s="466"/>
      <c r="G16" s="466">
        <v>25000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200000</v>
      </c>
      <c r="D18" s="1732">
        <f t="shared" ref="D18:K18" si="1">SUM(D14:D17)</f>
        <v>507697</v>
      </c>
      <c r="E18" s="1732">
        <f t="shared" si="1"/>
        <v>0</v>
      </c>
      <c r="F18" s="1732">
        <f t="shared" si="1"/>
        <v>0</v>
      </c>
      <c r="G18" s="1732">
        <f t="shared" si="1"/>
        <v>25000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233011</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233011</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163878</v>
      </c>
      <c r="D65" s="466">
        <v>60670</v>
      </c>
      <c r="E65" s="466">
        <v>3849</v>
      </c>
      <c r="F65" s="467">
        <v>39028</v>
      </c>
      <c r="G65" s="466">
        <v>12054</v>
      </c>
      <c r="H65" s="466"/>
      <c r="I65" s="466">
        <v>22533</v>
      </c>
      <c r="J65" s="467">
        <v>1751</v>
      </c>
      <c r="K65" s="466">
        <v>8076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163878</v>
      </c>
      <c r="D67" s="1710">
        <f t="shared" ref="D67:K67" si="2">SUM(D65:D66)</f>
        <v>60670</v>
      </c>
      <c r="E67" s="1710">
        <f t="shared" si="2"/>
        <v>3849</v>
      </c>
      <c r="F67" s="1710">
        <f t="shared" si="2"/>
        <v>39028</v>
      </c>
      <c r="G67" s="1710">
        <f t="shared" si="2"/>
        <v>12054</v>
      </c>
      <c r="H67" s="1710">
        <f t="shared" si="2"/>
        <v>0</v>
      </c>
      <c r="I67" s="1710">
        <f t="shared" si="2"/>
        <v>22533</v>
      </c>
      <c r="J67" s="1710">
        <f t="shared" si="2"/>
        <v>1751</v>
      </c>
      <c r="K67" s="1710">
        <f t="shared" si="2"/>
        <v>8076</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106033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106033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14569</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14569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85158</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149304</v>
      </c>
      <c r="D99" s="466"/>
      <c r="E99" s="466"/>
      <c r="F99" s="466"/>
      <c r="G99" s="466"/>
      <c r="H99" s="466"/>
      <c r="I99" s="468"/>
      <c r="J99" s="467">
        <v>11522</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20014</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1779</v>
      </c>
      <c r="D107" s="466"/>
      <c r="E107" s="466"/>
      <c r="F107" s="466"/>
      <c r="G107" s="466"/>
      <c r="H107" s="466"/>
      <c r="I107" s="466"/>
      <c r="J107" s="467"/>
      <c r="K107" s="466"/>
    </row>
    <row r="108" spans="1:12" ht="12.75" customHeight="1" thickBot="1" x14ac:dyDescent="0.25">
      <c r="A108" s="1730" t="s">
        <v>508</v>
      </c>
      <c r="B108" s="1734"/>
      <c r="C108" s="1729">
        <f>SUM(C95:C107)</f>
        <v>171097</v>
      </c>
      <c r="D108" s="1729">
        <f t="shared" ref="D108:K108" si="3">SUM(D95:D107)</f>
        <v>85158</v>
      </c>
      <c r="E108" s="1729">
        <f t="shared" si="3"/>
        <v>0</v>
      </c>
      <c r="F108" s="1729">
        <f t="shared" si="3"/>
        <v>0</v>
      </c>
      <c r="G108" s="1729">
        <f t="shared" si="3"/>
        <v>0</v>
      </c>
      <c r="H108" s="1729">
        <f t="shared" si="3"/>
        <v>0</v>
      </c>
      <c r="I108" s="1729">
        <f t="shared" si="3"/>
        <v>0</v>
      </c>
      <c r="J108" s="1729">
        <f t="shared" si="3"/>
        <v>11522</v>
      </c>
      <c r="K108" s="1710">
        <f t="shared" si="3"/>
        <v>0</v>
      </c>
    </row>
    <row r="109" spans="1:12" ht="14.25" thickTop="1" thickBot="1" x14ac:dyDescent="0.25">
      <c r="A109" s="1735" t="s">
        <v>266</v>
      </c>
      <c r="B109" s="1736" t="s">
        <v>591</v>
      </c>
      <c r="C109" s="1737">
        <f t="shared" ref="C109:K109" si="4">SUM(C12,C18,C40,C63,C67,C75,C82,C93,C108,)</f>
        <v>12316955</v>
      </c>
      <c r="D109" s="1737">
        <f t="shared" si="4"/>
        <v>2115378</v>
      </c>
      <c r="E109" s="1737">
        <f t="shared" si="4"/>
        <v>927568</v>
      </c>
      <c r="F109" s="1737">
        <f t="shared" si="4"/>
        <v>847849</v>
      </c>
      <c r="G109" s="1737">
        <f t="shared" si="4"/>
        <v>362216</v>
      </c>
      <c r="H109" s="1737">
        <f t="shared" si="4"/>
        <v>0</v>
      </c>
      <c r="I109" s="1737">
        <f t="shared" si="4"/>
        <v>102882</v>
      </c>
      <c r="J109" s="1737">
        <f t="shared" si="4"/>
        <v>167599</v>
      </c>
      <c r="K109" s="1724">
        <f t="shared" si="4"/>
        <v>264036</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2476080</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2476080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179885</v>
      </c>
      <c r="D124" s="561"/>
      <c r="E124" s="468"/>
      <c r="F124" s="548"/>
      <c r="G124" s="468"/>
      <c r="H124" s="468"/>
      <c r="I124" s="468"/>
      <c r="J124" s="468"/>
      <c r="K124" s="468"/>
    </row>
    <row r="125" spans="1:11" ht="12.75" customHeight="1" x14ac:dyDescent="0.2">
      <c r="A125" s="463" t="s">
        <v>1521</v>
      </c>
      <c r="B125" s="562">
        <v>3105</v>
      </c>
      <c r="C125" s="466">
        <v>90982</v>
      </c>
      <c r="D125" s="561"/>
      <c r="E125" s="468"/>
      <c r="F125" s="466"/>
      <c r="G125" s="468"/>
      <c r="H125" s="468"/>
      <c r="I125" s="468"/>
      <c r="J125" s="468"/>
      <c r="K125" s="468"/>
    </row>
    <row r="126" spans="1:11" ht="12.75" customHeight="1" x14ac:dyDescent="0.2">
      <c r="A126" s="463" t="s">
        <v>922</v>
      </c>
      <c r="B126" s="562">
        <v>3110</v>
      </c>
      <c r="C126" s="551">
        <v>118923</v>
      </c>
      <c r="D126" s="466"/>
      <c r="E126" s="468"/>
      <c r="F126" s="466"/>
      <c r="G126" s="468"/>
      <c r="H126" s="468"/>
      <c r="I126" s="468"/>
      <c r="J126" s="468"/>
      <c r="K126" s="468"/>
    </row>
    <row r="127" spans="1:11" ht="12.75" customHeight="1" x14ac:dyDescent="0.2">
      <c r="A127" s="463" t="s">
        <v>107</v>
      </c>
      <c r="B127" s="562">
        <v>3120</v>
      </c>
      <c r="C127" s="466">
        <v>5203</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394993</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1246</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1246</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106093</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106093</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4281</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23836</v>
      </c>
      <c r="G151" s="467"/>
      <c r="H151" s="468"/>
      <c r="I151" s="468"/>
      <c r="J151" s="468"/>
      <c r="K151" s="468"/>
    </row>
    <row r="152" spans="1:11" ht="12.75" customHeight="1" x14ac:dyDescent="0.2">
      <c r="A152" s="463" t="s">
        <v>1117</v>
      </c>
      <c r="B152" s="562">
        <v>3510</v>
      </c>
      <c r="C152" s="551"/>
      <c r="D152" s="466"/>
      <c r="E152" s="561"/>
      <c r="F152" s="466">
        <v>384448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408284</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159600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35852</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702065</v>
      </c>
      <c r="D172" s="1744">
        <f t="shared" si="6"/>
        <v>0</v>
      </c>
      <c r="E172" s="1744">
        <f t="shared" si="6"/>
        <v>0</v>
      </c>
      <c r="F172" s="1744">
        <f t="shared" si="6"/>
        <v>408284</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3178145</v>
      </c>
      <c r="D173" s="1737">
        <f>SUM(D121,D172)</f>
        <v>0</v>
      </c>
      <c r="E173" s="1737">
        <f>SUM(E121,E172)</f>
        <v>0</v>
      </c>
      <c r="F173" s="1737">
        <f t="shared" ref="F173:K173" si="7">SUM(F121,F172)</f>
        <v>408284</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1903</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331837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331837</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207923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207923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2700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2700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23033</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181743</v>
      </c>
      <c r="D220" s="466"/>
      <c r="E220" s="468"/>
      <c r="F220" s="466"/>
      <c r="G220" s="466"/>
      <c r="H220" s="468"/>
      <c r="I220" s="468"/>
      <c r="J220" s="468"/>
      <c r="K220" s="468"/>
    </row>
    <row r="221" spans="1:11" ht="12.75" customHeight="1" x14ac:dyDescent="0.2">
      <c r="A221" s="463" t="s">
        <v>1114</v>
      </c>
      <c r="B221" s="470">
        <v>4625</v>
      </c>
      <c r="C221" s="551">
        <v>26783</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231559</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52003</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28262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23490</v>
      </c>
      <c r="D270" s="576"/>
      <c r="E270" s="468"/>
      <c r="F270" s="576"/>
      <c r="G270" s="576"/>
      <c r="H270" s="468"/>
      <c r="I270" s="468"/>
      <c r="J270" s="468"/>
      <c r="K270" s="468"/>
    </row>
    <row r="271" spans="1:11" ht="12.75" customHeight="1" thickTop="1" thickBot="1" x14ac:dyDescent="0.25">
      <c r="A271" s="463" t="s">
        <v>395</v>
      </c>
      <c r="B271" s="470">
        <v>4992</v>
      </c>
      <c r="C271" s="575">
        <v>115761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993535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993535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16488635</v>
      </c>
      <c r="D275" s="1737">
        <f t="shared" si="12"/>
        <v>2115378</v>
      </c>
      <c r="E275" s="1737">
        <f t="shared" si="12"/>
        <v>927568</v>
      </c>
      <c r="F275" s="1737">
        <f t="shared" si="12"/>
        <v>1256133</v>
      </c>
      <c r="G275" s="1737">
        <f t="shared" si="12"/>
        <v>362216</v>
      </c>
      <c r="H275" s="1737">
        <f t="shared" si="12"/>
        <v>0</v>
      </c>
      <c r="I275" s="1737">
        <f t="shared" si="12"/>
        <v>102882</v>
      </c>
      <c r="J275" s="1737">
        <f t="shared" si="12"/>
        <v>167599</v>
      </c>
      <c r="K275" s="1724">
        <f t="shared" si="12"/>
        <v>264036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xSplit="2" ySplit="2" topLeftCell="C41" activePane="bottomRight" state="frozen"/>
      <selection pane="topRight" activeCell="C1" sqref="C1"/>
      <selection pane="bottomLeft" activeCell="A3" sqref="A3"/>
      <selection pane="bottomRight" activeCell="A63" sqref="A6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5561066</v>
      </c>
      <c r="D5" s="466">
        <v>1543894</v>
      </c>
      <c r="E5" s="466">
        <v>96108</v>
      </c>
      <c r="F5" s="466">
        <v>539528</v>
      </c>
      <c r="G5" s="466">
        <v>42932</v>
      </c>
      <c r="H5" s="466"/>
      <c r="I5" s="467"/>
      <c r="J5" s="467"/>
      <c r="K5" s="1693">
        <f>SUM(C5:J5)</f>
        <v>7783528</v>
      </c>
      <c r="L5" s="466">
        <v>8290000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1229690</v>
      </c>
      <c r="D8" s="466">
        <v>299570</v>
      </c>
      <c r="E8" s="466">
        <v>76348</v>
      </c>
      <c r="F8" s="466">
        <v>16159</v>
      </c>
      <c r="G8" s="466"/>
      <c r="H8" s="466"/>
      <c r="I8" s="467"/>
      <c r="J8" s="467"/>
      <c r="K8" s="1693">
        <f t="shared" si="0"/>
        <v>1621767</v>
      </c>
      <c r="L8" s="466">
        <v>1472500</v>
      </c>
    </row>
    <row r="9" spans="1:14" x14ac:dyDescent="0.2">
      <c r="A9" s="1526" t="s">
        <v>745</v>
      </c>
      <c r="B9" s="615" t="s">
        <v>1025</v>
      </c>
      <c r="C9" s="467">
        <v>187462</v>
      </c>
      <c r="D9" s="467">
        <v>32155</v>
      </c>
      <c r="E9" s="467">
        <v>49243</v>
      </c>
      <c r="F9" s="467">
        <v>6849</v>
      </c>
      <c r="G9" s="467"/>
      <c r="H9" s="467"/>
      <c r="I9" s="467"/>
      <c r="J9" s="467"/>
      <c r="K9" s="1693">
        <f t="shared" si="0"/>
        <v>275709</v>
      </c>
      <c r="L9" s="466">
        <v>334500</v>
      </c>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354186</v>
      </c>
      <c r="D14" s="466">
        <v>4612</v>
      </c>
      <c r="E14" s="466">
        <v>23301</v>
      </c>
      <c r="F14" s="466">
        <v>1730</v>
      </c>
      <c r="G14" s="466">
        <v>891</v>
      </c>
      <c r="H14" s="466"/>
      <c r="I14" s="467"/>
      <c r="J14" s="467"/>
      <c r="K14" s="1693">
        <f t="shared" si="0"/>
        <v>384720</v>
      </c>
      <c r="L14" s="466">
        <v>411500</v>
      </c>
    </row>
    <row r="15" spans="1:14" x14ac:dyDescent="0.2">
      <c r="A15" s="1526" t="s">
        <v>1021</v>
      </c>
      <c r="B15" s="615">
        <v>1600</v>
      </c>
      <c r="C15" s="466">
        <v>1893</v>
      </c>
      <c r="D15" s="466">
        <v>2</v>
      </c>
      <c r="E15" s="466"/>
      <c r="F15" s="466">
        <v>2335</v>
      </c>
      <c r="G15" s="466"/>
      <c r="H15" s="466"/>
      <c r="I15" s="467"/>
      <c r="J15" s="467"/>
      <c r="K15" s="1693">
        <f t="shared" si="0"/>
        <v>4230</v>
      </c>
      <c r="L15" s="466">
        <v>7500</v>
      </c>
    </row>
    <row r="16" spans="1:14" x14ac:dyDescent="0.2">
      <c r="A16" s="1526" t="s">
        <v>1044</v>
      </c>
      <c r="B16" s="615" t="s">
        <v>444</v>
      </c>
      <c r="C16" s="466">
        <v>92397</v>
      </c>
      <c r="D16" s="466">
        <v>1349</v>
      </c>
      <c r="E16" s="466">
        <v>2475</v>
      </c>
      <c r="F16" s="466">
        <v>1796</v>
      </c>
      <c r="G16" s="466"/>
      <c r="H16" s="466"/>
      <c r="I16" s="467"/>
      <c r="J16" s="467"/>
      <c r="K16" s="1693">
        <f t="shared" si="0"/>
        <v>98017</v>
      </c>
      <c r="L16" s="466">
        <v>109000</v>
      </c>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334906</v>
      </c>
      <c r="I22" s="617"/>
      <c r="J22" s="477"/>
      <c r="K22" s="1693">
        <f t="shared" si="0"/>
        <v>334906</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7426694</v>
      </c>
      <c r="D33" s="1692">
        <f t="shared" ref="D33:L33" si="1">SUM(D5:D32)</f>
        <v>1881582</v>
      </c>
      <c r="E33" s="1692">
        <f t="shared" si="1"/>
        <v>247475</v>
      </c>
      <c r="F33" s="1692">
        <f t="shared" si="1"/>
        <v>568397</v>
      </c>
      <c r="G33" s="1692">
        <f t="shared" si="1"/>
        <v>43823</v>
      </c>
      <c r="H33" s="1692">
        <f t="shared" si="1"/>
        <v>334906</v>
      </c>
      <c r="I33" s="1692">
        <f t="shared" si="1"/>
        <v>0</v>
      </c>
      <c r="J33" s="1692">
        <f t="shared" si="1"/>
        <v>0</v>
      </c>
      <c r="K33" s="1692">
        <f t="shared" si="1"/>
        <v>10502877</v>
      </c>
      <c r="L33" s="1692">
        <f t="shared" si="1"/>
        <v>10625000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231244</v>
      </c>
      <c r="D36" s="481">
        <v>75316</v>
      </c>
      <c r="E36" s="481"/>
      <c r="F36" s="481">
        <v>2465</v>
      </c>
      <c r="G36" s="481"/>
      <c r="H36" s="481"/>
      <c r="I36" s="467"/>
      <c r="J36" s="467"/>
      <c r="K36" s="1693">
        <f t="shared" ref="K36:K41" si="2">SUM(C36:J36)</f>
        <v>309025</v>
      </c>
      <c r="L36" s="466">
        <v>336500</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92751</v>
      </c>
      <c r="D38" s="466">
        <v>52141</v>
      </c>
      <c r="E38" s="466">
        <v>18854</v>
      </c>
      <c r="F38" s="466">
        <v>4061</v>
      </c>
      <c r="G38" s="466"/>
      <c r="H38" s="466"/>
      <c r="I38" s="467"/>
      <c r="J38" s="467"/>
      <c r="K38" s="1693">
        <f t="shared" si="2"/>
        <v>167807</v>
      </c>
      <c r="L38" s="466">
        <v>199000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102658</v>
      </c>
      <c r="D40" s="466">
        <v>20944</v>
      </c>
      <c r="E40" s="466">
        <v>80890</v>
      </c>
      <c r="F40" s="466">
        <v>927</v>
      </c>
      <c r="G40" s="466"/>
      <c r="H40" s="466"/>
      <c r="I40" s="467"/>
      <c r="J40" s="467"/>
      <c r="K40" s="1693">
        <f t="shared" si="2"/>
        <v>205419</v>
      </c>
      <c r="L40" s="466">
        <v>266000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426653</v>
      </c>
      <c r="D42" s="1692">
        <f t="shared" ref="D42:L42" si="3">SUM(D36:D41)</f>
        <v>148401</v>
      </c>
      <c r="E42" s="1692">
        <f t="shared" si="3"/>
        <v>99744</v>
      </c>
      <c r="F42" s="1692">
        <f t="shared" si="3"/>
        <v>7453</v>
      </c>
      <c r="G42" s="1692">
        <f t="shared" si="3"/>
        <v>0</v>
      </c>
      <c r="H42" s="1692">
        <f t="shared" si="3"/>
        <v>0</v>
      </c>
      <c r="I42" s="1692">
        <f t="shared" si="3"/>
        <v>0</v>
      </c>
      <c r="J42" s="1692">
        <f t="shared" si="3"/>
        <v>0</v>
      </c>
      <c r="K42" s="1692">
        <f t="shared" si="3"/>
        <v>682251</v>
      </c>
      <c r="L42" s="1692">
        <f t="shared" si="3"/>
        <v>801500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161461</v>
      </c>
      <c r="D44" s="481">
        <v>37500</v>
      </c>
      <c r="E44" s="481">
        <v>125402</v>
      </c>
      <c r="F44" s="481">
        <v>78061</v>
      </c>
      <c r="G44" s="481">
        <v>79580</v>
      </c>
      <c r="H44" s="481"/>
      <c r="I44" s="467"/>
      <c r="J44" s="467"/>
      <c r="K44" s="1694">
        <f>SUM(C44:J44)</f>
        <v>482004</v>
      </c>
      <c r="L44" s="481">
        <v>464000</v>
      </c>
    </row>
    <row r="45" spans="1:14" x14ac:dyDescent="0.2">
      <c r="A45" s="1526" t="s">
        <v>869</v>
      </c>
      <c r="B45" s="615">
        <v>2220</v>
      </c>
      <c r="C45" s="466">
        <v>88232</v>
      </c>
      <c r="D45" s="466"/>
      <c r="E45" s="466"/>
      <c r="F45" s="466">
        <v>23649</v>
      </c>
      <c r="G45" s="466"/>
      <c r="H45" s="466"/>
      <c r="I45" s="467"/>
      <c r="J45" s="467"/>
      <c r="K45" s="1694">
        <f>SUM(C45:J45)</f>
        <v>111881</v>
      </c>
      <c r="L45" s="466">
        <v>135500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249693</v>
      </c>
      <c r="D47" s="1692">
        <f t="shared" ref="D47:K47" si="4">SUM(D44:D46)</f>
        <v>37500</v>
      </c>
      <c r="E47" s="1692">
        <f t="shared" si="4"/>
        <v>125402</v>
      </c>
      <c r="F47" s="1692">
        <f t="shared" si="4"/>
        <v>101710</v>
      </c>
      <c r="G47" s="1692">
        <f t="shared" si="4"/>
        <v>79580</v>
      </c>
      <c r="H47" s="1692">
        <f t="shared" si="4"/>
        <v>0</v>
      </c>
      <c r="I47" s="1692">
        <f t="shared" si="4"/>
        <v>0</v>
      </c>
      <c r="J47" s="1692">
        <f t="shared" si="4"/>
        <v>0</v>
      </c>
      <c r="K47" s="1692">
        <f t="shared" si="4"/>
        <v>593885</v>
      </c>
      <c r="L47" s="1692">
        <f>SUM(L44:L46)</f>
        <v>599500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142304</v>
      </c>
      <c r="F49" s="481">
        <v>455</v>
      </c>
      <c r="G49" s="481"/>
      <c r="H49" s="481">
        <v>11142</v>
      </c>
      <c r="I49" s="467"/>
      <c r="J49" s="467"/>
      <c r="K49" s="1694">
        <f>SUM(C49:J49)</f>
        <v>153901</v>
      </c>
      <c r="L49" s="481">
        <v>253000</v>
      </c>
    </row>
    <row r="50" spans="1:14" x14ac:dyDescent="0.2">
      <c r="A50" s="1526" t="s">
        <v>872</v>
      </c>
      <c r="B50" s="615">
        <v>2320</v>
      </c>
      <c r="C50" s="466">
        <v>240619</v>
      </c>
      <c r="D50" s="466">
        <v>50231</v>
      </c>
      <c r="E50" s="466">
        <v>1710</v>
      </c>
      <c r="F50" s="466">
        <v>1627</v>
      </c>
      <c r="G50" s="466">
        <v>458</v>
      </c>
      <c r="H50" s="466">
        <v>9081</v>
      </c>
      <c r="I50" s="467"/>
      <c r="J50" s="467"/>
      <c r="K50" s="1694">
        <f>SUM(C50:J50)</f>
        <v>303726</v>
      </c>
      <c r="L50" s="466">
        <v>328000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240619</v>
      </c>
      <c r="D53" s="1692">
        <f t="shared" ref="D53:L53" si="5">SUM(D49:D52)</f>
        <v>50231</v>
      </c>
      <c r="E53" s="1692">
        <f t="shared" si="5"/>
        <v>144014</v>
      </c>
      <c r="F53" s="1692">
        <f t="shared" si="5"/>
        <v>2082</v>
      </c>
      <c r="G53" s="1692">
        <f t="shared" si="5"/>
        <v>458</v>
      </c>
      <c r="H53" s="1692">
        <f t="shared" si="5"/>
        <v>20223</v>
      </c>
      <c r="I53" s="1692">
        <f t="shared" si="5"/>
        <v>0</v>
      </c>
      <c r="J53" s="1692">
        <f t="shared" si="5"/>
        <v>0</v>
      </c>
      <c r="K53" s="1692">
        <f t="shared" si="5"/>
        <v>457627</v>
      </c>
      <c r="L53" s="1692">
        <f t="shared" si="5"/>
        <v>581000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842843</v>
      </c>
      <c r="D55" s="481">
        <v>224804</v>
      </c>
      <c r="E55" s="481">
        <v>5841</v>
      </c>
      <c r="F55" s="481">
        <v>306</v>
      </c>
      <c r="G55" s="481"/>
      <c r="H55" s="481">
        <v>1317</v>
      </c>
      <c r="I55" s="467"/>
      <c r="J55" s="467"/>
      <c r="K55" s="1694">
        <f>SUM(C55:J55)</f>
        <v>1075111</v>
      </c>
      <c r="L55" s="481">
        <v>1137500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842843</v>
      </c>
      <c r="D57" s="1696">
        <f t="shared" ref="D57:K57" si="6">SUM(D55:D56)</f>
        <v>224804</v>
      </c>
      <c r="E57" s="1696">
        <f t="shared" si="6"/>
        <v>5841</v>
      </c>
      <c r="F57" s="1696">
        <f t="shared" si="6"/>
        <v>306</v>
      </c>
      <c r="G57" s="1696">
        <f t="shared" si="6"/>
        <v>0</v>
      </c>
      <c r="H57" s="1696">
        <f t="shared" si="6"/>
        <v>1317</v>
      </c>
      <c r="I57" s="1696">
        <f t="shared" si="6"/>
        <v>0</v>
      </c>
      <c r="J57" s="1696">
        <f t="shared" si="6"/>
        <v>0</v>
      </c>
      <c r="K57" s="1696">
        <f t="shared" si="6"/>
        <v>1075111</v>
      </c>
      <c r="L57" s="1692">
        <f>SUM(L55:L56)</f>
        <v>1137500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146887</v>
      </c>
      <c r="D60" s="466">
        <v>45222</v>
      </c>
      <c r="E60" s="466">
        <v>22169</v>
      </c>
      <c r="F60" s="466">
        <v>1594</v>
      </c>
      <c r="G60" s="466"/>
      <c r="H60" s="466">
        <v>2371</v>
      </c>
      <c r="I60" s="467"/>
      <c r="J60" s="467"/>
      <c r="K60" s="1694">
        <f t="shared" si="7"/>
        <v>218243</v>
      </c>
      <c r="L60" s="466">
        <v>286000</v>
      </c>
      <c r="M60" s="610"/>
      <c r="N60" s="610"/>
    </row>
    <row r="61" spans="1:14" s="343" customFormat="1" x14ac:dyDescent="0.2">
      <c r="A61" s="1526" t="s">
        <v>206</v>
      </c>
      <c r="B61" s="615">
        <v>2540</v>
      </c>
      <c r="C61" s="466"/>
      <c r="D61" s="466"/>
      <c r="E61" s="466">
        <v>125919</v>
      </c>
      <c r="F61" s="466">
        <v>217314</v>
      </c>
      <c r="G61" s="466"/>
      <c r="H61" s="466"/>
      <c r="I61" s="467"/>
      <c r="J61" s="467"/>
      <c r="K61" s="1694">
        <f t="shared" si="7"/>
        <v>343233</v>
      </c>
      <c r="L61" s="466">
        <v>415000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44120</v>
      </c>
      <c r="D63" s="466"/>
      <c r="E63" s="466">
        <v>374092</v>
      </c>
      <c r="F63" s="466">
        <v>9826</v>
      </c>
      <c r="G63" s="466">
        <v>10760</v>
      </c>
      <c r="H63" s="466"/>
      <c r="I63" s="467"/>
      <c r="J63" s="467"/>
      <c r="K63" s="1694">
        <f t="shared" si="7"/>
        <v>438798</v>
      </c>
      <c r="L63" s="466">
        <v>475000</v>
      </c>
    </row>
    <row r="64" spans="1:14" s="610" customFormat="1" x14ac:dyDescent="0.2">
      <c r="A64" s="1531" t="s">
        <v>103</v>
      </c>
      <c r="B64" s="631">
        <v>2570</v>
      </c>
      <c r="C64" s="481"/>
      <c r="D64" s="481"/>
      <c r="E64" s="481">
        <v>2350</v>
      </c>
      <c r="F64" s="481">
        <v>4469</v>
      </c>
      <c r="G64" s="481"/>
      <c r="H64" s="481"/>
      <c r="I64" s="467"/>
      <c r="J64" s="467"/>
      <c r="K64" s="1694">
        <f t="shared" si="7"/>
        <v>6819</v>
      </c>
      <c r="L64" s="481">
        <v>23500</v>
      </c>
    </row>
    <row r="65" spans="1:14" s="343" customFormat="1" ht="12.75" customHeight="1" thickBot="1" x14ac:dyDescent="0.25">
      <c r="A65" s="1690" t="s">
        <v>743</v>
      </c>
      <c r="B65" s="1691" t="s">
        <v>35</v>
      </c>
      <c r="C65" s="1692">
        <f>SUM(C59:C64)</f>
        <v>191007</v>
      </c>
      <c r="D65" s="1692">
        <f t="shared" ref="D65:L65" si="8">SUM(D59:D64)</f>
        <v>45222</v>
      </c>
      <c r="E65" s="1692">
        <f t="shared" si="8"/>
        <v>524530</v>
      </c>
      <c r="F65" s="1692">
        <f t="shared" si="8"/>
        <v>233203</v>
      </c>
      <c r="G65" s="1692">
        <f t="shared" si="8"/>
        <v>10760</v>
      </c>
      <c r="H65" s="1692">
        <f t="shared" si="8"/>
        <v>2371</v>
      </c>
      <c r="I65" s="1692">
        <f t="shared" si="8"/>
        <v>0</v>
      </c>
      <c r="J65" s="1692">
        <f t="shared" si="8"/>
        <v>0</v>
      </c>
      <c r="K65" s="1692">
        <f t="shared" si="8"/>
        <v>1007093</v>
      </c>
      <c r="L65" s="1692">
        <f t="shared" si="8"/>
        <v>1199500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v>38988</v>
      </c>
      <c r="F68" s="466"/>
      <c r="G68" s="466"/>
      <c r="H68" s="466"/>
      <c r="I68" s="467"/>
      <c r="J68" s="467"/>
      <c r="K68" s="1694">
        <f>SUM(C68:J68)</f>
        <v>38988</v>
      </c>
      <c r="L68" s="466">
        <v>40000</v>
      </c>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38988</v>
      </c>
      <c r="F72" s="1692">
        <f t="shared" si="9"/>
        <v>0</v>
      </c>
      <c r="G72" s="1692">
        <f t="shared" si="9"/>
        <v>0</v>
      </c>
      <c r="H72" s="1692">
        <f t="shared" si="9"/>
        <v>0</v>
      </c>
      <c r="I72" s="1692">
        <f t="shared" si="9"/>
        <v>0</v>
      </c>
      <c r="J72" s="1692">
        <f t="shared" si="9"/>
        <v>0</v>
      </c>
      <c r="K72" s="1692">
        <f t="shared" si="9"/>
        <v>38988</v>
      </c>
      <c r="L72" s="1692">
        <f>SUM(L67:L71)</f>
        <v>40000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2000</v>
      </c>
      <c r="M73" s="610"/>
      <c r="N73" s="610"/>
    </row>
    <row r="74" spans="1:14" ht="12.75" customHeight="1" thickTop="1" thickBot="1" x14ac:dyDescent="0.25">
      <c r="A74" s="1690" t="s">
        <v>865</v>
      </c>
      <c r="B74" s="1698">
        <v>2000</v>
      </c>
      <c r="C74" s="1699">
        <f>SUM(C42,C47,C53,C57,C65,C72,C73)</f>
        <v>1950815</v>
      </c>
      <c r="D74" s="1699">
        <f t="shared" ref="D74:K74" si="10">SUM(D42,D47,D53,D57,D65,D72,D73)</f>
        <v>506158</v>
      </c>
      <c r="E74" s="1699">
        <f t="shared" si="10"/>
        <v>938519</v>
      </c>
      <c r="F74" s="1699">
        <f t="shared" si="10"/>
        <v>344754</v>
      </c>
      <c r="G74" s="1699">
        <f t="shared" si="10"/>
        <v>90798</v>
      </c>
      <c r="H74" s="1699">
        <f t="shared" si="10"/>
        <v>23911</v>
      </c>
      <c r="I74" s="1699">
        <f t="shared" si="10"/>
        <v>0</v>
      </c>
      <c r="J74" s="1699">
        <f t="shared" si="10"/>
        <v>0</v>
      </c>
      <c r="K74" s="1699">
        <f t="shared" si="10"/>
        <v>3854955</v>
      </c>
      <c r="L74" s="1699">
        <f>SUM(L42,L47,L53,L57,L65,L72,L73)</f>
        <v>4361000</v>
      </c>
    </row>
    <row r="75" spans="1:14" s="259" customFormat="1" ht="15.75" customHeight="1" thickTop="1" thickBot="1" x14ac:dyDescent="0.25">
      <c r="A75" s="1632" t="s">
        <v>49</v>
      </c>
      <c r="B75" s="1633" t="s">
        <v>596</v>
      </c>
      <c r="C75" s="573">
        <v>7000</v>
      </c>
      <c r="D75" s="573"/>
      <c r="E75" s="573">
        <v>565</v>
      </c>
      <c r="F75" s="573">
        <v>207</v>
      </c>
      <c r="G75" s="573"/>
      <c r="H75" s="573"/>
      <c r="I75" s="531"/>
      <c r="J75" s="531"/>
      <c r="K75" s="1692">
        <f>SUM(C75:J75)</f>
        <v>7772</v>
      </c>
      <c r="L75" s="576">
        <v>13000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224742</v>
      </c>
      <c r="I79" s="477"/>
      <c r="J79" s="477"/>
      <c r="K79" s="1693">
        <f t="shared" si="11"/>
        <v>224742</v>
      </c>
      <c r="L79" s="466">
        <v>1265000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224742</v>
      </c>
      <c r="I84" s="477"/>
      <c r="J84" s="477"/>
      <c r="K84" s="1692">
        <f>SUM(K78:K83)</f>
        <v>224742</v>
      </c>
      <c r="L84" s="1692">
        <f>SUM(L78:L83)</f>
        <v>1265000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609092</v>
      </c>
      <c r="I86" s="477"/>
      <c r="J86" s="477"/>
      <c r="K86" s="1699">
        <f t="shared" ref="K86:K98" si="12">H86</f>
        <v>609092</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609092</v>
      </c>
      <c r="I92" s="477"/>
      <c r="J92" s="477"/>
      <c r="K92" s="1699">
        <f t="shared" si="12"/>
        <v>609092</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833834</v>
      </c>
      <c r="I102" s="477"/>
      <c r="J102" s="477"/>
      <c r="K102" s="1699">
        <f>SUM(K84,K92,K100,K101)</f>
        <v>833834</v>
      </c>
      <c r="L102" s="1699">
        <f>SUM(L84,L92,L100,L101)</f>
        <v>1265000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9384509</v>
      </c>
      <c r="D114" s="1692">
        <f t="shared" ref="D114:K114" si="13">SUM(D33,D74,D75,D102,D112,D113)</f>
        <v>2387740</v>
      </c>
      <c r="E114" s="1692">
        <f t="shared" si="13"/>
        <v>1186559</v>
      </c>
      <c r="F114" s="1692">
        <f t="shared" si="13"/>
        <v>913358</v>
      </c>
      <c r="G114" s="1692">
        <f t="shared" si="13"/>
        <v>134621</v>
      </c>
      <c r="H114" s="1692">
        <f>SUM(H33,H74,H75,H102,H112,H113)</f>
        <v>1192651</v>
      </c>
      <c r="I114" s="1692">
        <f t="shared" si="13"/>
        <v>0</v>
      </c>
      <c r="J114" s="1692">
        <f t="shared" si="13"/>
        <v>0</v>
      </c>
      <c r="K114" s="1692">
        <f t="shared" si="13"/>
        <v>15199438</v>
      </c>
      <c r="L114" s="1692">
        <f>SUM(L33,L74,L75,L102,L112,L113)</f>
        <v>16264000</v>
      </c>
    </row>
    <row r="115" spans="1:14" ht="13.5" thickTop="1" x14ac:dyDescent="0.2">
      <c r="A115" s="2199" t="s">
        <v>1053</v>
      </c>
      <c r="B115" s="2200"/>
      <c r="C115" s="619"/>
      <c r="D115" s="619"/>
      <c r="E115" s="619"/>
      <c r="F115" s="619"/>
      <c r="G115" s="619"/>
      <c r="H115" s="619"/>
      <c r="I115" s="619"/>
      <c r="J115" s="619"/>
      <c r="K115" s="1706">
        <f>'Revenues 9-14'!C275-'Expenditures 15-22'!K114</f>
        <v>1289197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822733</v>
      </c>
      <c r="D124" s="466">
        <v>219652</v>
      </c>
      <c r="E124" s="466">
        <v>377711</v>
      </c>
      <c r="F124" s="466">
        <v>120516</v>
      </c>
      <c r="G124" s="466">
        <v>539473</v>
      </c>
      <c r="H124" s="466"/>
      <c r="I124" s="467"/>
      <c r="J124" s="467"/>
      <c r="K124" s="1692">
        <f>SUM(C124:J124)</f>
        <v>2080085</v>
      </c>
      <c r="L124" s="466">
        <v>2166000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822733</v>
      </c>
      <c r="D127" s="1692">
        <f t="shared" ref="D127:L127" si="14">SUM(D122:D126)</f>
        <v>219652</v>
      </c>
      <c r="E127" s="1692">
        <f t="shared" si="14"/>
        <v>377711</v>
      </c>
      <c r="F127" s="1692">
        <f t="shared" si="14"/>
        <v>120516</v>
      </c>
      <c r="G127" s="1692">
        <f t="shared" si="14"/>
        <v>539473</v>
      </c>
      <c r="H127" s="1692">
        <f t="shared" si="14"/>
        <v>0</v>
      </c>
      <c r="I127" s="1692">
        <f t="shared" si="14"/>
        <v>0</v>
      </c>
      <c r="J127" s="1692">
        <f t="shared" si="14"/>
        <v>0</v>
      </c>
      <c r="K127" s="1692">
        <f t="shared" si="14"/>
        <v>2080085</v>
      </c>
      <c r="L127" s="1692">
        <f t="shared" si="14"/>
        <v>2166000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822733</v>
      </c>
      <c r="D129" s="1699">
        <f t="shared" ref="D129:L129" si="15">SUM(D120,D127,D128)</f>
        <v>219652</v>
      </c>
      <c r="E129" s="1699">
        <f t="shared" si="15"/>
        <v>377711</v>
      </c>
      <c r="F129" s="1699">
        <f t="shared" si="15"/>
        <v>120516</v>
      </c>
      <c r="G129" s="1699">
        <f t="shared" si="15"/>
        <v>539473</v>
      </c>
      <c r="H129" s="1699">
        <f t="shared" si="15"/>
        <v>0</v>
      </c>
      <c r="I129" s="1699">
        <f t="shared" si="15"/>
        <v>0</v>
      </c>
      <c r="J129" s="1699">
        <f t="shared" si="15"/>
        <v>0</v>
      </c>
      <c r="K129" s="1699">
        <f t="shared" si="15"/>
        <v>2080085</v>
      </c>
      <c r="L129" s="1699">
        <f t="shared" si="15"/>
        <v>2166000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822733</v>
      </c>
      <c r="D151" s="1692">
        <f t="shared" ref="D151:K151" si="16">SUM(D129,D130,D139,D149,D150)</f>
        <v>219652</v>
      </c>
      <c r="E151" s="1692">
        <f t="shared" si="16"/>
        <v>377711</v>
      </c>
      <c r="F151" s="1692">
        <f t="shared" si="16"/>
        <v>120516</v>
      </c>
      <c r="G151" s="1692">
        <f t="shared" si="16"/>
        <v>539473</v>
      </c>
      <c r="H151" s="1692">
        <f t="shared" si="16"/>
        <v>0</v>
      </c>
      <c r="I151" s="1692">
        <f t="shared" si="16"/>
        <v>0</v>
      </c>
      <c r="J151" s="1692">
        <f t="shared" si="16"/>
        <v>0</v>
      </c>
      <c r="K151" s="1692">
        <f t="shared" si="16"/>
        <v>2080085</v>
      </c>
      <c r="L151" s="1692">
        <f>SUM(L129,L130,L139,L149,L150)</f>
        <v>2166000</v>
      </c>
    </row>
    <row r="152" spans="1:14" ht="12.75" customHeight="1" thickTop="1" x14ac:dyDescent="0.2">
      <c r="A152" s="2192" t="s">
        <v>1240</v>
      </c>
      <c r="B152" s="2193"/>
      <c r="C152" s="619"/>
      <c r="D152" s="619"/>
      <c r="E152" s="619"/>
      <c r="F152" s="619"/>
      <c r="G152" s="619"/>
      <c r="H152" s="619"/>
      <c r="I152" s="619"/>
      <c r="J152" s="617"/>
      <c r="K152" s="1706">
        <f>'Revenues 9-14'!D275-'Expenditures 15-22'!K151</f>
        <v>35293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415926</v>
      </c>
      <c r="I169" s="617"/>
      <c r="J169" s="617"/>
      <c r="K169" s="1693">
        <f>SUM(C169:H169)</f>
        <v>415926</v>
      </c>
      <c r="L169" s="657">
        <v>430000</v>
      </c>
    </row>
    <row r="170" spans="1:14" ht="33.75" customHeight="1" x14ac:dyDescent="0.2">
      <c r="A170" s="670" t="s">
        <v>1769</v>
      </c>
      <c r="B170" s="672" t="s">
        <v>31</v>
      </c>
      <c r="C170" s="617"/>
      <c r="D170" s="617"/>
      <c r="E170" s="617"/>
      <c r="F170" s="617"/>
      <c r="G170" s="617"/>
      <c r="H170" s="569">
        <v>551537</v>
      </c>
      <c r="I170" s="617"/>
      <c r="J170" s="617"/>
      <c r="K170" s="1693">
        <f>SUM(C170:J170)</f>
        <v>551537</v>
      </c>
      <c r="L170" s="569">
        <v>575000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967463</v>
      </c>
      <c r="I172" s="639"/>
      <c r="J172" s="617"/>
      <c r="K172" s="1699">
        <f>SUM(K168,K169,K170,K171)</f>
        <v>967463</v>
      </c>
      <c r="L172" s="1699">
        <f>SUM(L168,L169,L170,L171)</f>
        <v>1005000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967463</v>
      </c>
      <c r="I174" s="639"/>
      <c r="J174" s="617"/>
      <c r="K174" s="1699">
        <f>SUM(K160,K172,K173)</f>
        <v>967463</v>
      </c>
      <c r="L174" s="1699">
        <f>SUM(L160,L172,L173)</f>
        <v>1005000</v>
      </c>
    </row>
    <row r="175" spans="1:14" ht="13.5" thickTop="1" x14ac:dyDescent="0.2">
      <c r="A175" s="2199" t="s">
        <v>1053</v>
      </c>
      <c r="B175" s="2200"/>
      <c r="C175" s="617"/>
      <c r="D175" s="617"/>
      <c r="E175" s="617"/>
      <c r="F175" s="617"/>
      <c r="G175" s="617"/>
      <c r="H175" s="619"/>
      <c r="I175" s="617"/>
      <c r="J175" s="617"/>
      <c r="K175" s="1706">
        <f>'Revenues 9-14'!E275-'Expenditures 15-22'!K174</f>
        <v>-39895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271622</v>
      </c>
      <c r="D182" s="466">
        <v>28152</v>
      </c>
      <c r="E182" s="466">
        <v>399296</v>
      </c>
      <c r="F182" s="466">
        <v>23597</v>
      </c>
      <c r="G182" s="466">
        <v>77706</v>
      </c>
      <c r="H182" s="466"/>
      <c r="I182" s="467"/>
      <c r="J182" s="467"/>
      <c r="K182" s="1693">
        <f>SUM(C182:J182)</f>
        <v>800373</v>
      </c>
      <c r="L182" s="466">
        <v>898700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271622</v>
      </c>
      <c r="D184" s="1699">
        <f t="shared" ref="D184:J184" si="17">SUM(D180,D182,D183)</f>
        <v>28152</v>
      </c>
      <c r="E184" s="1699">
        <f t="shared" si="17"/>
        <v>399296</v>
      </c>
      <c r="F184" s="1699">
        <f t="shared" si="17"/>
        <v>23597</v>
      </c>
      <c r="G184" s="1699">
        <f t="shared" si="17"/>
        <v>77706</v>
      </c>
      <c r="H184" s="1699">
        <f t="shared" si="17"/>
        <v>0</v>
      </c>
      <c r="I184" s="1699">
        <f t="shared" si="17"/>
        <v>0</v>
      </c>
      <c r="J184" s="1699">
        <f t="shared" si="17"/>
        <v>0</v>
      </c>
      <c r="K184" s="1699">
        <f>SUM(K180,K182,K183)</f>
        <v>800373</v>
      </c>
      <c r="L184" s="1699">
        <f>SUM(L180, L182:L183)</f>
        <v>898700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271622</v>
      </c>
      <c r="D210" s="1692">
        <f>SUM(D184,D185)</f>
        <v>28152</v>
      </c>
      <c r="E210" s="1692">
        <f>SUM(E184,E185,E196)</f>
        <v>399296</v>
      </c>
      <c r="F210" s="1692">
        <f>SUM(F184,F185)</f>
        <v>23597</v>
      </c>
      <c r="G210" s="1692">
        <f>SUM(G184,G185)</f>
        <v>77706</v>
      </c>
      <c r="H210" s="1692">
        <f>SUM(H184,H185,H196,H208,H209)</f>
        <v>0</v>
      </c>
      <c r="I210" s="1692">
        <f>SUM(I184,I185)</f>
        <v>0</v>
      </c>
      <c r="J210" s="1692">
        <f>SUM(J184,J185)</f>
        <v>0</v>
      </c>
      <c r="K210" s="1693">
        <f>SUM(K184,K185,K196,K208,K209)</f>
        <v>800373</v>
      </c>
      <c r="L210" s="1692">
        <f>SUM(L184,L185,L196,L208,L209)</f>
        <v>898700</v>
      </c>
    </row>
    <row r="211" spans="1:14" ht="13.5" thickTop="1" x14ac:dyDescent="0.2">
      <c r="A211" s="2199" t="s">
        <v>1053</v>
      </c>
      <c r="B211" s="2200"/>
      <c r="C211" s="619"/>
      <c r="D211" s="619"/>
      <c r="E211" s="619"/>
      <c r="F211" s="619"/>
      <c r="G211" s="619"/>
      <c r="H211" s="619"/>
      <c r="I211" s="617"/>
      <c r="J211" s="617"/>
      <c r="K211" s="1706">
        <f>'Revenues 9-14'!F275-'Expenditures 15-22'!K210</f>
        <v>455760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89596</v>
      </c>
      <c r="E215" s="617"/>
      <c r="F215" s="617"/>
      <c r="G215" s="617"/>
      <c r="H215" s="617"/>
      <c r="I215" s="617"/>
      <c r="J215" s="617"/>
      <c r="K215" s="1693">
        <f>D215</f>
        <v>89596</v>
      </c>
      <c r="L215" s="466">
        <v>98450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46245</v>
      </c>
      <c r="E217" s="617"/>
      <c r="F217" s="617"/>
      <c r="G217" s="617"/>
      <c r="H217" s="617"/>
      <c r="I217" s="617"/>
      <c r="J217" s="617"/>
      <c r="K217" s="1693">
        <f t="shared" si="19"/>
        <v>46245</v>
      </c>
      <c r="L217" s="466">
        <v>42500</v>
      </c>
    </row>
    <row r="218" spans="1:14" x14ac:dyDescent="0.2">
      <c r="A218" s="1526" t="s">
        <v>296</v>
      </c>
      <c r="B218" s="615" t="s">
        <v>1025</v>
      </c>
      <c r="C218" s="617"/>
      <c r="D218" s="467">
        <v>11820</v>
      </c>
      <c r="E218" s="617"/>
      <c r="F218" s="617"/>
      <c r="G218" s="617"/>
      <c r="H218" s="617"/>
      <c r="I218" s="617"/>
      <c r="J218" s="617"/>
      <c r="K218" s="1693">
        <f t="shared" si="19"/>
        <v>11820</v>
      </c>
      <c r="L218" s="466">
        <v>13500</v>
      </c>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12172</v>
      </c>
      <c r="E223" s="617"/>
      <c r="F223" s="617"/>
      <c r="G223" s="617"/>
      <c r="H223" s="617"/>
      <c r="I223" s="617"/>
      <c r="J223" s="617"/>
      <c r="K223" s="1693">
        <f t="shared" si="19"/>
        <v>12172</v>
      </c>
      <c r="L223" s="466">
        <v>11000</v>
      </c>
    </row>
    <row r="224" spans="1:14" x14ac:dyDescent="0.2">
      <c r="A224" s="1526" t="s">
        <v>1021</v>
      </c>
      <c r="B224" s="615">
        <v>1600</v>
      </c>
      <c r="C224" s="617"/>
      <c r="D224" s="466">
        <v>360</v>
      </c>
      <c r="E224" s="617"/>
      <c r="F224" s="617"/>
      <c r="G224" s="617"/>
      <c r="H224" s="617"/>
      <c r="I224" s="617"/>
      <c r="J224" s="617"/>
      <c r="K224" s="1693">
        <f t="shared" si="19"/>
        <v>360</v>
      </c>
      <c r="L224" s="466">
        <v>2500</v>
      </c>
    </row>
    <row r="225" spans="1:12" x14ac:dyDescent="0.2">
      <c r="A225" s="1526" t="s">
        <v>1044</v>
      </c>
      <c r="B225" s="615">
        <v>1650</v>
      </c>
      <c r="C225" s="617"/>
      <c r="D225" s="466">
        <v>1296</v>
      </c>
      <c r="E225" s="617"/>
      <c r="F225" s="617"/>
      <c r="G225" s="617"/>
      <c r="H225" s="617"/>
      <c r="I225" s="617"/>
      <c r="J225" s="617"/>
      <c r="K225" s="1693">
        <f t="shared" si="19"/>
        <v>1296</v>
      </c>
      <c r="L225" s="466">
        <v>1500</v>
      </c>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161489</v>
      </c>
      <c r="E229" s="617"/>
      <c r="F229" s="617"/>
      <c r="G229" s="617"/>
      <c r="H229" s="617"/>
      <c r="I229" s="617"/>
      <c r="J229" s="617"/>
      <c r="K229" s="1692">
        <f>SUM(K215:K228)</f>
        <v>161489</v>
      </c>
      <c r="L229" s="1692">
        <f>SUM(L215:L228)</f>
        <v>169450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3166</v>
      </c>
      <c r="E232" s="617"/>
      <c r="F232" s="617"/>
      <c r="G232" s="617"/>
      <c r="H232" s="617"/>
      <c r="I232" s="617"/>
      <c r="J232" s="617"/>
      <c r="K232" s="1693">
        <f t="shared" ref="K232:K237" si="20">D232</f>
        <v>3166</v>
      </c>
      <c r="L232" s="466">
        <v>4500</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7209</v>
      </c>
      <c r="E234" s="617"/>
      <c r="F234" s="617"/>
      <c r="G234" s="617"/>
      <c r="H234" s="617"/>
      <c r="I234" s="617"/>
      <c r="J234" s="617"/>
      <c r="K234" s="1693">
        <f t="shared" si="20"/>
        <v>7209</v>
      </c>
      <c r="L234" s="466">
        <v>12000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1455</v>
      </c>
      <c r="E236" s="617"/>
      <c r="F236" s="617"/>
      <c r="G236" s="617"/>
      <c r="H236" s="617"/>
      <c r="I236" s="617"/>
      <c r="J236" s="617"/>
      <c r="K236" s="1693">
        <f t="shared" si="20"/>
        <v>1455</v>
      </c>
      <c r="L236" s="466">
        <v>3000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11830</v>
      </c>
      <c r="E238" s="617"/>
      <c r="F238" s="617"/>
      <c r="G238" s="617"/>
      <c r="H238" s="617"/>
      <c r="I238" s="617"/>
      <c r="J238" s="617"/>
      <c r="K238" s="1692">
        <f>SUM(K232:K237)</f>
        <v>11830</v>
      </c>
      <c r="L238" s="1692">
        <f>SUM(L232:L237)</f>
        <v>19500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15894</v>
      </c>
      <c r="E240" s="617"/>
      <c r="F240" s="617"/>
      <c r="G240" s="617"/>
      <c r="H240" s="617"/>
      <c r="I240" s="617"/>
      <c r="J240" s="617"/>
      <c r="K240" s="1694">
        <f>D240</f>
        <v>15894</v>
      </c>
      <c r="L240" s="481">
        <v>17000</v>
      </c>
    </row>
    <row r="241" spans="1:12" x14ac:dyDescent="0.2">
      <c r="A241" s="1526" t="s">
        <v>869</v>
      </c>
      <c r="B241" s="615">
        <v>2220</v>
      </c>
      <c r="C241" s="617"/>
      <c r="D241" s="466">
        <v>17613</v>
      </c>
      <c r="E241" s="617"/>
      <c r="F241" s="617"/>
      <c r="G241" s="617"/>
      <c r="H241" s="617"/>
      <c r="I241" s="617"/>
      <c r="J241" s="617"/>
      <c r="K241" s="1694">
        <f>D241</f>
        <v>17613</v>
      </c>
      <c r="L241" s="466">
        <v>23500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33507</v>
      </c>
      <c r="E243" s="617"/>
      <c r="F243" s="617"/>
      <c r="G243" s="617"/>
      <c r="H243" s="617"/>
      <c r="I243" s="617"/>
      <c r="J243" s="617"/>
      <c r="K243" s="1692">
        <f>SUM(K240:K242)</f>
        <v>33507</v>
      </c>
      <c r="L243" s="1692">
        <f>SUM(L240:L242)</f>
        <v>40500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13799</v>
      </c>
      <c r="E246" s="617"/>
      <c r="F246" s="617"/>
      <c r="G246" s="617"/>
      <c r="H246" s="617"/>
      <c r="I246" s="617"/>
      <c r="J246" s="617"/>
      <c r="K246" s="1694">
        <f t="shared" ref="K246:K256" si="21">D246</f>
        <v>13799</v>
      </c>
      <c r="L246" s="466">
        <v>18000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13799</v>
      </c>
      <c r="E257" s="617"/>
      <c r="F257" s="617"/>
      <c r="G257" s="617"/>
      <c r="H257" s="617"/>
      <c r="I257" s="617"/>
      <c r="J257" s="617"/>
      <c r="K257" s="1692">
        <f>SUM(K245:K256)</f>
        <v>13799</v>
      </c>
      <c r="L257" s="1692">
        <f>SUM(L245:L256)</f>
        <v>18000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48615</v>
      </c>
      <c r="E259" s="617"/>
      <c r="F259" s="617"/>
      <c r="G259" s="617"/>
      <c r="H259" s="617"/>
      <c r="I259" s="617"/>
      <c r="J259" s="617"/>
      <c r="K259" s="1694">
        <f>D259</f>
        <v>48615</v>
      </c>
      <c r="L259" s="481">
        <v>60000</v>
      </c>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48615</v>
      </c>
      <c r="E261" s="617"/>
      <c r="F261" s="617"/>
      <c r="G261" s="617"/>
      <c r="H261" s="617"/>
      <c r="I261" s="617"/>
      <c r="J261" s="617"/>
      <c r="K261" s="1692">
        <f>SUM(K259:K260)</f>
        <v>48615</v>
      </c>
      <c r="L261" s="1692">
        <f>SUM(L259:L260)</f>
        <v>60000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29519</v>
      </c>
      <c r="E264" s="617"/>
      <c r="F264" s="617"/>
      <c r="G264" s="617"/>
      <c r="H264" s="617"/>
      <c r="I264" s="617"/>
      <c r="J264" s="617"/>
      <c r="K264" s="1694">
        <f t="shared" ref="K264:K269" si="22">D264</f>
        <v>29519</v>
      </c>
      <c r="L264" s="466">
        <v>41500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155973</v>
      </c>
      <c r="E266" s="617"/>
      <c r="F266" s="617"/>
      <c r="G266" s="617"/>
      <c r="H266" s="617"/>
      <c r="I266" s="617"/>
      <c r="J266" s="617"/>
      <c r="K266" s="1694">
        <f t="shared" si="22"/>
        <v>155973</v>
      </c>
      <c r="L266" s="466">
        <v>207000</v>
      </c>
    </row>
    <row r="267" spans="1:14" x14ac:dyDescent="0.2">
      <c r="A267" s="1526" t="s">
        <v>1010</v>
      </c>
      <c r="B267" s="615">
        <v>2550</v>
      </c>
      <c r="C267" s="617"/>
      <c r="D267" s="466">
        <v>54060</v>
      </c>
      <c r="E267" s="617"/>
      <c r="F267" s="617"/>
      <c r="G267" s="617"/>
      <c r="H267" s="617"/>
      <c r="I267" s="617"/>
      <c r="J267" s="617"/>
      <c r="K267" s="1694">
        <f t="shared" si="22"/>
        <v>54060</v>
      </c>
      <c r="L267" s="466">
        <v>49500</v>
      </c>
    </row>
    <row r="268" spans="1:14" x14ac:dyDescent="0.2">
      <c r="A268" s="1526" t="s">
        <v>102</v>
      </c>
      <c r="B268" s="615">
        <v>2560</v>
      </c>
      <c r="C268" s="617"/>
      <c r="D268" s="466">
        <v>8904</v>
      </c>
      <c r="E268" s="617"/>
      <c r="F268" s="617"/>
      <c r="G268" s="617"/>
      <c r="H268" s="617"/>
      <c r="I268" s="617"/>
      <c r="J268" s="617"/>
      <c r="K268" s="1694">
        <f t="shared" si="22"/>
        <v>8904</v>
      </c>
      <c r="L268" s="466">
        <v>10000</v>
      </c>
    </row>
    <row r="269" spans="1:14" x14ac:dyDescent="0.2">
      <c r="A269" s="1526" t="s">
        <v>103</v>
      </c>
      <c r="B269" s="615">
        <v>2570</v>
      </c>
      <c r="C269" s="617"/>
      <c r="D269" s="466"/>
      <c r="E269" s="617"/>
      <c r="F269" s="617"/>
      <c r="G269" s="617"/>
      <c r="H269" s="617"/>
      <c r="I269" s="617"/>
      <c r="J269" s="617"/>
      <c r="K269" s="1694">
        <f t="shared" si="22"/>
        <v>0</v>
      </c>
      <c r="L269" s="466">
        <v>2000</v>
      </c>
    </row>
    <row r="270" spans="1:14" ht="12.75" customHeight="1" thickBot="1" x14ac:dyDescent="0.25">
      <c r="A270" s="1690" t="s">
        <v>743</v>
      </c>
      <c r="B270" s="1697" t="s">
        <v>35</v>
      </c>
      <c r="C270" s="617"/>
      <c r="D270" s="1692">
        <f>SUM(D263:D269)</f>
        <v>248456</v>
      </c>
      <c r="E270" s="617"/>
      <c r="F270" s="617"/>
      <c r="G270" s="617"/>
      <c r="H270" s="617"/>
      <c r="I270" s="617"/>
      <c r="J270" s="617"/>
      <c r="K270" s="1692">
        <f>SUM(K263:K269)</f>
        <v>248456</v>
      </c>
      <c r="L270" s="1692">
        <f>SUM(L263:L269)</f>
        <v>310000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356207</v>
      </c>
      <c r="E279" s="617"/>
      <c r="F279" s="617"/>
      <c r="G279" s="617"/>
      <c r="H279" s="617"/>
      <c r="I279" s="617"/>
      <c r="J279" s="617"/>
      <c r="K279" s="1699">
        <f>SUM(K238,K243,K257,K261,K270,K277,K278)</f>
        <v>356207</v>
      </c>
      <c r="L279" s="1699">
        <f>SUM(L238,L243,L257,L261,L270,L277,L278)</f>
        <v>448000</v>
      </c>
    </row>
    <row r="280" spans="1:12" ht="15.75" customHeight="1" thickTop="1" thickBot="1" x14ac:dyDescent="0.25">
      <c r="A280" s="1646" t="s">
        <v>930</v>
      </c>
      <c r="B280" s="1635">
        <v>3000</v>
      </c>
      <c r="C280" s="617"/>
      <c r="D280" s="576">
        <v>1416</v>
      </c>
      <c r="E280" s="617"/>
      <c r="F280" s="617"/>
      <c r="G280" s="617"/>
      <c r="H280" s="617"/>
      <c r="I280" s="617"/>
      <c r="J280" s="617"/>
      <c r="K280" s="1701">
        <f>D280</f>
        <v>1416</v>
      </c>
      <c r="L280" s="576">
        <v>3500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519112</v>
      </c>
      <c r="E295" s="617"/>
      <c r="F295" s="617"/>
      <c r="G295" s="617"/>
      <c r="H295" s="1692">
        <f>H293</f>
        <v>0</v>
      </c>
      <c r="I295" s="617"/>
      <c r="J295" s="617"/>
      <c r="K295" s="1692">
        <f>SUM(K229,K279,K280,K285,K293,K294)</f>
        <v>519112</v>
      </c>
      <c r="L295" s="1692">
        <f>SUM(L229,L279,L280,L285,L293,L294)</f>
        <v>620950</v>
      </c>
    </row>
    <row r="296" spans="1:14" ht="13.5" thickTop="1" x14ac:dyDescent="0.2">
      <c r="A296" s="2199" t="s">
        <v>1053</v>
      </c>
      <c r="B296" s="2200"/>
      <c r="C296" s="617"/>
      <c r="D296" s="619"/>
      <c r="E296" s="617"/>
      <c r="F296" s="617"/>
      <c r="G296" s="617"/>
      <c r="H296" s="688"/>
      <c r="I296" s="617"/>
      <c r="J296" s="617"/>
      <c r="K296" s="1706">
        <f>'Revenues 9-14'!G275-'Expenditures 15-22'!K295</f>
        <v>-156896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2500</v>
      </c>
      <c r="M319" s="666"/>
      <c r="N319" s="666"/>
    </row>
    <row r="320" spans="1:14" s="675" customFormat="1" x14ac:dyDescent="0.2">
      <c r="A320" s="1545" t="s">
        <v>1905</v>
      </c>
      <c r="B320" s="699" t="s">
        <v>300</v>
      </c>
      <c r="C320" s="467"/>
      <c r="D320" s="467"/>
      <c r="E320" s="467">
        <v>71938</v>
      </c>
      <c r="F320" s="467"/>
      <c r="G320" s="467"/>
      <c r="H320" s="467"/>
      <c r="I320" s="467"/>
      <c r="J320" s="467"/>
      <c r="K320" s="1693">
        <f t="shared" ref="K320:K327" si="24">SUM(C320:J320)</f>
        <v>71938</v>
      </c>
      <c r="L320" s="467">
        <v>75000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10000</v>
      </c>
      <c r="M321" s="666"/>
      <c r="N321" s="666"/>
    </row>
    <row r="322" spans="1:14" s="675" customFormat="1" x14ac:dyDescent="0.2">
      <c r="A322" s="1541" t="s">
        <v>256</v>
      </c>
      <c r="B322" s="698" t="s">
        <v>302</v>
      </c>
      <c r="C322" s="467"/>
      <c r="D322" s="467"/>
      <c r="E322" s="467">
        <v>44050</v>
      </c>
      <c r="F322" s="467"/>
      <c r="G322" s="467"/>
      <c r="H322" s="467"/>
      <c r="I322" s="467"/>
      <c r="J322" s="467"/>
      <c r="K322" s="1693">
        <f t="shared" si="24"/>
        <v>44050</v>
      </c>
      <c r="L322" s="467">
        <v>27000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2100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1000</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115988</v>
      </c>
      <c r="F330" s="1692">
        <f t="shared" si="25"/>
        <v>0</v>
      </c>
      <c r="G330" s="1692">
        <f t="shared" si="25"/>
        <v>0</v>
      </c>
      <c r="H330" s="1692">
        <f t="shared" si="25"/>
        <v>0</v>
      </c>
      <c r="I330" s="1692">
        <f t="shared" si="25"/>
        <v>0</v>
      </c>
      <c r="J330" s="1692">
        <f t="shared" si="25"/>
        <v>0</v>
      </c>
      <c r="K330" s="1692">
        <f>SUM(K319:K329)</f>
        <v>115988</v>
      </c>
      <c r="L330" s="1692">
        <f>SUM(L319:L329)</f>
        <v>117600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115988</v>
      </c>
      <c r="F342" s="1692">
        <f>SUM(F330)</f>
        <v>0</v>
      </c>
      <c r="G342" s="1692">
        <f>SUM(G330)</f>
        <v>0</v>
      </c>
      <c r="H342" s="1692">
        <f>SUM(H330,H334,H340)</f>
        <v>0</v>
      </c>
      <c r="I342" s="1692">
        <f>SUM(I330)</f>
        <v>0</v>
      </c>
      <c r="J342" s="1692">
        <f>SUM(J330)</f>
        <v>0</v>
      </c>
      <c r="K342" s="1692">
        <f>SUM(K330,K334,K340)</f>
        <v>115988</v>
      </c>
      <c r="L342" s="1699">
        <f>SUM(L330,L340,L341)</f>
        <v>117600</v>
      </c>
    </row>
    <row r="343" spans="1:14" ht="12.75" customHeight="1" thickTop="1" x14ac:dyDescent="0.2">
      <c r="A343" s="2185" t="s">
        <v>1053</v>
      </c>
      <c r="B343" s="2186"/>
      <c r="C343" s="617"/>
      <c r="D343" s="617"/>
      <c r="E343" s="617"/>
      <c r="F343" s="617"/>
      <c r="G343" s="617"/>
      <c r="H343" s="617"/>
      <c r="I343" s="617"/>
      <c r="J343" s="617"/>
      <c r="K343" s="1706">
        <f>'Revenues 9-14'!J275-'Expenditures 15-22'!K342</f>
        <v>51611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30000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30000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30000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30000</v>
      </c>
    </row>
    <row r="368" spans="1:14" ht="13.5" thickTop="1" x14ac:dyDescent="0.2">
      <c r="A368" s="2199" t="s">
        <v>1053</v>
      </c>
      <c r="B368" s="2200"/>
      <c r="C368" s="655"/>
      <c r="D368" s="655"/>
      <c r="E368" s="627"/>
      <c r="F368" s="627"/>
      <c r="G368" s="627"/>
      <c r="H368" s="627"/>
      <c r="I368" s="627"/>
      <c r="J368" s="624"/>
      <c r="K368" s="1693">
        <f>'Revenues 9-14'!K275-'Expenditures 15-22'!K367</f>
        <v>264036</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purl.org/dc/dcmitype/"/>
    <ds:schemaRef ds:uri="http://schemas.microsoft.com/office/infopath/2007/PartnerControls"/>
    <ds:schemaRef ds:uri="6ce3111e-7420-4802-b50a-75d4e9a0b980"/>
    <ds:schemaRef ds:uri="http://purl.org/dc/elements/1.1/"/>
    <ds:schemaRef ds:uri="d21dc803-237d-4c68-8692-8d731fd29118"/>
    <ds:schemaRef ds:uri="http://www.w3.org/XML/1998/namespace"/>
    <ds:schemaRef ds:uri="http://purl.org/dc/terms/"/>
    <ds:schemaRef ds:uri="http://schemas.microsoft.com/office/2006/documentManagement/types"/>
    <ds:schemaRef ds:uri="http://schemas.openxmlformats.org/package/2006/metadata/core-properties"/>
    <ds:schemaRef ds:uri="4d435f69-8686-490b-bd6d-b153bf22ab5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2018-10-17T17:11:47Z</cp:lastPrinted>
  <dcterms:created xsi:type="dcterms:W3CDTF">2003-10-29T19:06:34Z</dcterms:created>
  <dcterms:modified xsi:type="dcterms:W3CDTF">2018-11-15T20:43:12Z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