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34"/>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65" i="5" l="1"/>
  <c r="E73" i="29"/>
  <c r="C5" i="5" l="1"/>
  <c r="I13" i="11"/>
  <c r="I12" i="11"/>
  <c r="D12" i="11"/>
  <c r="H5" i="12"/>
  <c r="J31" i="8" l="1"/>
  <c r="D268" i="29"/>
  <c r="D266" i="29"/>
  <c r="D264" i="29"/>
  <c r="D259" i="29"/>
  <c r="D246" i="29"/>
  <c r="D241" i="29"/>
  <c r="D240" i="29"/>
  <c r="D234" i="29"/>
  <c r="D227" i="29"/>
  <c r="D224" i="29"/>
  <c r="D223" i="29"/>
  <c r="D217" i="29"/>
  <c r="D215" i="29"/>
  <c r="L63" i="29" l="1"/>
  <c r="L55" i="29"/>
  <c r="L50" i="29"/>
  <c r="L45" i="29"/>
  <c r="L38" i="29"/>
  <c r="L14" i="29"/>
  <c r="L5" i="29"/>
  <c r="E69" i="29"/>
  <c r="C126" i="5" l="1"/>
  <c r="M19" i="3"/>
  <c r="M17" i="3"/>
  <c r="C4" i="3"/>
  <c r="L10" i="37" l="1"/>
  <c r="H10" i="37"/>
  <c r="F10" i="37"/>
  <c r="D10" i="3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B7764" i="106"/>
  <c r="D7764" i="106" s="1"/>
  <c r="J85" i="28"/>
  <c r="B7758" i="106" s="1"/>
  <c r="D7758" i="106" s="1"/>
  <c r="J88" i="28"/>
  <c r="K6" i="29"/>
  <c r="B7763" i="106" s="1"/>
  <c r="D7763" i="106" s="1"/>
  <c r="B7762" i="106"/>
  <c r="K12" i="12"/>
  <c r="B7719" i="106" s="1"/>
  <c r="D7719" i="106" s="1"/>
  <c r="K23" i="12"/>
  <c r="J12" i="12"/>
  <c r="J21" i="12"/>
  <c r="J23" i="12"/>
  <c r="B7729" i="106"/>
  <c r="D7729" i="106" s="1"/>
  <c r="B7734" i="106"/>
  <c r="B7726" i="106"/>
  <c r="D76" i="36"/>
  <c r="F162" i="34"/>
  <c r="B30" i="36"/>
  <c r="B33" i="36" s="1"/>
  <c r="B43" i="36" s="1"/>
  <c r="B56" i="36" s="1"/>
  <c r="B66" i="36" s="1"/>
  <c r="B70" i="36" s="1"/>
  <c r="B74" i="36" s="1"/>
  <c r="D73" i="36"/>
  <c r="C191" i="5"/>
  <c r="B4395" i="106" s="1"/>
  <c r="D4395" i="106" s="1"/>
  <c r="C201" i="5"/>
  <c r="C211" i="5"/>
  <c r="C216" i="5"/>
  <c r="C224" i="5"/>
  <c r="B5286" i="106" s="1"/>
  <c r="D5286" i="106" s="1"/>
  <c r="C228" i="5"/>
  <c r="C259" i="5"/>
  <c r="B6833" i="106" s="1"/>
  <c r="D6833" i="106" s="1"/>
  <c r="B7761" i="106"/>
  <c r="D7761" i="106" s="1"/>
  <c r="L127" i="29"/>
  <c r="L129" i="29" s="1"/>
  <c r="L139" i="29"/>
  <c r="L149" i="29"/>
  <c r="I7" i="145"/>
  <c r="I6" i="145"/>
  <c r="D78" i="36"/>
  <c r="K75" i="29"/>
  <c r="K130" i="29"/>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E27" i="108"/>
  <c r="G27" i="108"/>
  <c r="F31" i="108"/>
  <c r="F37" i="108"/>
  <c r="G28" i="108"/>
  <c r="D31" i="108"/>
  <c r="D37" i="108"/>
  <c r="E31" i="108"/>
  <c r="G31" i="108"/>
  <c r="G33" i="108"/>
  <c r="G34"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C38" i="34"/>
  <c r="D38" i="34"/>
  <c r="C39" i="34"/>
  <c r="D39" i="34"/>
  <c r="C40" i="34"/>
  <c r="D40" i="34"/>
  <c r="C41" i="34"/>
  <c r="D41" i="34"/>
  <c r="F41" i="34"/>
  <c r="C42" i="34"/>
  <c r="D42" i="34"/>
  <c r="C43" i="34"/>
  <c r="D43" i="34"/>
  <c r="C44" i="34"/>
  <c r="D44" i="34"/>
  <c r="C45" i="34"/>
  <c r="D45" i="34"/>
  <c r="F45" i="34"/>
  <c r="C46" i="34"/>
  <c r="D46" i="34"/>
  <c r="C47" i="34"/>
  <c r="D47" i="34"/>
  <c r="C48" i="34"/>
  <c r="D48" i="34"/>
  <c r="C49" i="34"/>
  <c r="D49" i="34"/>
  <c r="F49" i="34"/>
  <c r="C50" i="34"/>
  <c r="D50" i="34"/>
  <c r="C51" i="34"/>
  <c r="D51" i="34"/>
  <c r="C52" i="34"/>
  <c r="C53" i="34"/>
  <c r="D53" i="34"/>
  <c r="C56" i="34"/>
  <c r="F56" i="34"/>
  <c r="C57" i="34"/>
  <c r="D57" i="34"/>
  <c r="C61" i="34"/>
  <c r="C62" i="34"/>
  <c r="C63" i="34"/>
  <c r="D63" i="34"/>
  <c r="C64" i="34"/>
  <c r="F66" i="34"/>
  <c r="C67" i="34"/>
  <c r="D67" i="34"/>
  <c r="C68" i="34"/>
  <c r="D68" i="34"/>
  <c r="C69" i="34"/>
  <c r="D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29" i="34" s="1"/>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B5752" i="106" s="1"/>
  <c r="D5752" i="106" s="1"/>
  <c r="G144" i="5"/>
  <c r="B5756" i="106" s="1"/>
  <c r="D5756" i="106" s="1"/>
  <c r="G154" i="5"/>
  <c r="C144" i="5"/>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D14" i="4"/>
  <c r="B2570" i="106" s="1"/>
  <c r="D2570" i="106" s="1"/>
  <c r="F14" i="4"/>
  <c r="B2597" i="106" s="1"/>
  <c r="D2597" i="106" s="1"/>
  <c r="B2633" i="106"/>
  <c r="D2633" i="106" s="1"/>
  <c r="D7" i="118"/>
  <c r="D8" i="118"/>
  <c r="D9" i="118"/>
  <c r="H14" i="118"/>
  <c r="H19" i="118"/>
  <c r="H24" i="118"/>
  <c r="H28" i="118"/>
  <c r="L22" i="37"/>
  <c r="D24" i="37"/>
  <c r="B4270" i="106" s="1"/>
  <c r="D4270" i="106" s="1"/>
  <c r="J22" i="37" l="1"/>
  <c r="F68" i="34"/>
  <c r="D36" i="108"/>
  <c r="F36" i="108"/>
  <c r="E28" i="108"/>
  <c r="H342" i="29"/>
  <c r="B7078" i="106"/>
  <c r="D7078" i="106" s="1"/>
  <c r="B7074" i="106"/>
  <c r="D7074" i="106" s="1"/>
  <c r="B6995" i="106"/>
  <c r="D6995" i="106" s="1"/>
  <c r="B2724" i="106"/>
  <c r="D2724" i="106" s="1"/>
  <c r="J77" i="4"/>
  <c r="B6262" i="106" s="1"/>
  <c r="D6262" i="106" s="1"/>
  <c r="D68" i="36"/>
  <c r="F106" i="34"/>
  <c r="K41" i="3"/>
  <c r="J352" i="29"/>
  <c r="J367" i="29" s="1"/>
  <c r="B7245" i="106" s="1"/>
  <c r="F42" i="34"/>
  <c r="F37" i="34"/>
  <c r="F34" i="34"/>
  <c r="D27" i="108"/>
  <c r="B7047" i="106"/>
  <c r="D7047" i="106" s="1"/>
  <c r="B4211" i="106"/>
  <c r="D4211" i="106" s="1"/>
  <c r="B1124" i="106"/>
  <c r="D1124" i="106" s="1"/>
  <c r="G15" i="145"/>
  <c r="G26" i="108"/>
  <c r="E26" i="108"/>
  <c r="B3619" i="106"/>
  <c r="D3619" i="106" s="1"/>
  <c r="B1274" i="106"/>
  <c r="D1274" i="106" s="1"/>
  <c r="F128" i="34"/>
  <c r="D11" i="7"/>
  <c r="B1768" i="106" s="1"/>
  <c r="D1768" i="106" s="1"/>
  <c r="B5096" i="106"/>
  <c r="D5096" i="106" s="1"/>
  <c r="B6289" i="106"/>
  <c r="D6289" i="106" s="1"/>
  <c r="H76" i="4"/>
  <c r="B3298" i="106" s="1"/>
  <c r="D3298" i="106" s="1"/>
  <c r="D7" i="7"/>
  <c r="B1763" i="106" s="1"/>
  <c r="D1763" i="106" s="1"/>
  <c r="D22" i="37"/>
  <c r="D9" i="7"/>
  <c r="B1767" i="106" s="1"/>
  <c r="D1767" i="106" s="1"/>
  <c r="L367" i="29"/>
  <c r="F62" i="34"/>
  <c r="F50" i="34"/>
  <c r="F44" i="34"/>
  <c r="G35" i="108"/>
  <c r="E29" i="108"/>
  <c r="K285" i="29"/>
  <c r="B1223" i="106"/>
  <c r="D1223" i="106" s="1"/>
  <c r="B1126" i="106"/>
  <c r="D1126" i="106" s="1"/>
  <c r="F46" i="34"/>
  <c r="B7235" i="106"/>
  <c r="D7235" i="106" s="1"/>
  <c r="H112" i="29"/>
  <c r="B7018" i="106" s="1"/>
  <c r="D7018" i="106" s="1"/>
  <c r="G29" i="108"/>
  <c r="F26" i="108"/>
  <c r="B1746" i="106"/>
  <c r="D1746" i="106" s="1"/>
  <c r="F131" i="34"/>
  <c r="F130" i="34"/>
  <c r="D12" i="7"/>
  <c r="B1769" i="106" s="1"/>
  <c r="D1769" i="106" s="1"/>
  <c r="H109" i="5"/>
  <c r="B6025" i="106" s="1"/>
  <c r="D6025" i="106" s="1"/>
  <c r="F136" i="34"/>
  <c r="L5" i="11"/>
  <c r="B2056" i="106" s="1"/>
  <c r="D2056" i="106" s="1"/>
  <c r="K24" i="12"/>
  <c r="I24" i="12"/>
  <c r="D17" i="7"/>
  <c r="B4104" i="106" s="1"/>
  <c r="D4104" i="106" s="1"/>
  <c r="B3647" i="106"/>
  <c r="D3647" i="106" s="1"/>
  <c r="G39" i="108"/>
  <c r="K274" i="5"/>
  <c r="B6022" i="106" s="1"/>
  <c r="D6022" i="106" s="1"/>
  <c r="B5847" i="106"/>
  <c r="D5847" i="106" s="1"/>
  <c r="F127" i="34"/>
  <c r="D5" i="4"/>
  <c r="B3406" i="106" s="1"/>
  <c r="D3406" i="106" s="1"/>
  <c r="B4412" i="106"/>
  <c r="D4412" i="106" s="1"/>
  <c r="B4373" i="106"/>
  <c r="D4373" i="106" s="1"/>
  <c r="K173" i="5"/>
  <c r="K6" i="4" s="1"/>
  <c r="B3570" i="106" s="1"/>
  <c r="D3570" i="106" s="1"/>
  <c r="K76" i="4"/>
  <c r="B3586" i="106" s="1"/>
  <c r="D3586" i="106" s="1"/>
  <c r="D7245" i="106"/>
  <c r="D6103" i="106"/>
  <c r="L15" i="11"/>
  <c r="B3459" i="106" s="1"/>
  <c r="D3459" i="106" s="1"/>
  <c r="C342" i="29"/>
  <c r="B7216" i="106" s="1"/>
  <c r="D7216" i="106" s="1"/>
  <c r="H365" i="29"/>
  <c r="B7242" i="106" s="1"/>
  <c r="D7242" i="106" s="1"/>
  <c r="I342" i="29"/>
  <c r="B7222" i="106" s="1"/>
  <c r="D7222" i="106" s="1"/>
  <c r="K184" i="29"/>
  <c r="F13" i="4" s="1"/>
  <c r="B2596" i="106" s="1"/>
  <c r="D2596" i="106" s="1"/>
  <c r="G172" i="5"/>
  <c r="G173" i="5" s="1"/>
  <c r="B5778" i="106" s="1"/>
  <c r="D5778" i="106" s="1"/>
  <c r="F172" i="5"/>
  <c r="B5644" i="106" s="1"/>
  <c r="D5644" i="106" s="1"/>
  <c r="F77" i="4"/>
  <c r="B3255" i="106" s="1"/>
  <c r="D3255" i="106" s="1"/>
  <c r="B6261" i="106"/>
  <c r="D6261" i="106" s="1"/>
  <c r="D15" i="7"/>
  <c r="B1772" i="106" s="1"/>
  <c r="D1772" i="106" s="1"/>
  <c r="D109" i="5"/>
  <c r="B5356" i="106" s="1"/>
  <c r="D5356" i="106" s="1"/>
  <c r="H173" i="5"/>
  <c r="D5" i="7"/>
  <c r="B1761" i="106" s="1"/>
  <c r="D1761" i="106" s="1"/>
  <c r="G5" i="4"/>
  <c r="B3409" i="106" s="1"/>
  <c r="D3409" i="106" s="1"/>
  <c r="B5246" i="106"/>
  <c r="D5246" i="106" s="1"/>
  <c r="E10" i="108"/>
  <c r="D54" i="36"/>
  <c r="F21" i="8"/>
  <c r="L342" i="29"/>
  <c r="K350" i="29"/>
  <c r="G210" i="29"/>
  <c r="E174" i="29"/>
  <c r="B1309" i="106" s="1"/>
  <c r="D1309" i="106" s="1"/>
  <c r="B3621" i="106"/>
  <c r="D3621" i="106" s="1"/>
  <c r="C367" i="29"/>
  <c r="L312" i="29"/>
  <c r="B3649" i="106"/>
  <c r="D3649" i="106" s="1"/>
  <c r="G367" i="29"/>
  <c r="B3650" i="106" s="1"/>
  <c r="D3650" i="106" s="1"/>
  <c r="J274" i="5"/>
  <c r="B7054" i="106" s="1"/>
  <c r="D7054" i="106" s="1"/>
  <c r="C172" i="5"/>
  <c r="B5214" i="106" s="1"/>
  <c r="D5214" i="106" s="1"/>
  <c r="I173" i="5"/>
  <c r="B4216" i="106" s="1"/>
  <c r="D4216" i="106" s="1"/>
  <c r="E109" i="5"/>
  <c r="E4" i="4" s="1"/>
  <c r="B2630" i="106" s="1"/>
  <c r="D2630" i="106" s="1"/>
  <c r="B3254" i="106"/>
  <c r="D3254" i="106" s="1"/>
  <c r="J41" i="3"/>
  <c r="B6216" i="106" s="1"/>
  <c r="D6216" i="106" s="1"/>
  <c r="B281" i="106"/>
  <c r="D281" i="106" s="1"/>
  <c r="K28" i="118"/>
  <c r="O27" i="118" s="1"/>
  <c r="O29" i="118" s="1"/>
  <c r="D4" i="7"/>
  <c r="B1760" i="106" s="1"/>
  <c r="D1760" i="106" s="1"/>
  <c r="L13" i="11"/>
  <c r="B2060" i="106" s="1"/>
  <c r="D2060" i="106" s="1"/>
  <c r="N22" i="3"/>
  <c r="B283" i="106" s="1"/>
  <c r="D283" i="106" s="1"/>
  <c r="D69" i="36"/>
  <c r="F19" i="7"/>
  <c r="B1807" i="106" s="1"/>
  <c r="D1807" i="106" s="1"/>
  <c r="F71" i="34"/>
  <c r="B1410" i="106"/>
  <c r="D1410" i="106" s="1"/>
  <c r="G109" i="5"/>
  <c r="F111" i="34"/>
  <c r="B1329" i="106"/>
  <c r="D1329" i="106" s="1"/>
  <c r="F61" i="34"/>
  <c r="C14" i="4"/>
  <c r="B2558" i="106" s="1"/>
  <c r="D2558" i="106" s="1"/>
  <c r="F52" i="34"/>
  <c r="E38" i="108"/>
  <c r="G38" i="108"/>
  <c r="F28" i="108"/>
  <c r="F38" i="34"/>
  <c r="B5165" i="106"/>
  <c r="D5165" i="106" s="1"/>
  <c r="C109" i="5"/>
  <c r="B5121" i="106" s="1"/>
  <c r="D5121" i="106" s="1"/>
  <c r="B5066" i="106"/>
  <c r="D5066" i="106" s="1"/>
  <c r="D13" i="7"/>
  <c r="B3726" i="106" s="1"/>
  <c r="D3726" i="106" s="1"/>
  <c r="H33" i="118"/>
  <c r="B4268" i="106"/>
  <c r="D4268" i="106" s="1"/>
  <c r="D31" i="36"/>
  <c r="D11" i="37"/>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7270" i="106"/>
  <c r="F41" i="108" l="1"/>
  <c r="G43" i="108" s="1"/>
  <c r="D274" i="5"/>
  <c r="D51" i="36"/>
  <c r="B3568" i="106"/>
  <c r="D3568" i="106" s="1"/>
  <c r="D52" i="36"/>
  <c r="H151" i="29"/>
  <c r="B1273" i="106" s="1"/>
  <c r="D1273" i="106" s="1"/>
  <c r="H4" i="4"/>
  <c r="B2655" i="106" s="1"/>
  <c r="D2655" i="106" s="1"/>
  <c r="D7253" i="106"/>
  <c r="D7254" i="106"/>
  <c r="D7250" i="106"/>
  <c r="D7255" i="106"/>
  <c r="D7252" i="106"/>
  <c r="L16" i="11"/>
  <c r="B2061" i="106" s="1"/>
  <c r="D2061" i="106" s="1"/>
  <c r="F73" i="34"/>
  <c r="G15" i="4"/>
  <c r="B6032" i="106" s="1"/>
  <c r="D6032" i="106" s="1"/>
  <c r="B3724" i="106"/>
  <c r="D3724" i="106" s="1"/>
  <c r="K7" i="4"/>
  <c r="B3718" i="106" s="1"/>
  <c r="D3718" i="106" s="1"/>
  <c r="B5527" i="106"/>
  <c r="D5527" i="106" s="1"/>
  <c r="F173" i="5"/>
  <c r="C173" i="5"/>
  <c r="B5223" i="106" s="1"/>
  <c r="D5223" i="106" s="1"/>
  <c r="D4" i="4"/>
  <c r="B2564" i="106" s="1"/>
  <c r="D2564" i="106" s="1"/>
  <c r="B1996" i="106"/>
  <c r="D1996" i="106" s="1"/>
  <c r="I26" i="12"/>
  <c r="B7741" i="106" s="1"/>
  <c r="D7741" i="106" s="1"/>
  <c r="B7733" i="106"/>
  <c r="D7733" i="106" s="1"/>
  <c r="K26" i="12"/>
  <c r="B7743" i="106" s="1"/>
  <c r="D7743" i="106" s="1"/>
  <c r="B1365" i="106"/>
  <c r="D1365" i="106" s="1"/>
  <c r="F65" i="34"/>
  <c r="B5770" i="106"/>
  <c r="D5770" i="106" s="1"/>
  <c r="B3730" i="106"/>
  <c r="D3730" i="106" s="1"/>
  <c r="G30" i="108"/>
  <c r="E30" i="108"/>
  <c r="B5906" i="106"/>
  <c r="D5906" i="106" s="1"/>
  <c r="H6" i="4"/>
  <c r="B1879" i="106"/>
  <c r="D1879" i="106" s="1"/>
  <c r="H22" i="37"/>
  <c r="H367" i="29"/>
  <c r="B3660" i="106" s="1"/>
  <c r="D3660" i="106" s="1"/>
  <c r="B3670" i="106"/>
  <c r="D3670" i="106" s="1"/>
  <c r="K352" i="29"/>
  <c r="H275" i="5"/>
  <c r="F274" i="5"/>
  <c r="N23" i="3"/>
  <c r="B284" i="106" s="1"/>
  <c r="D284" i="106" s="1"/>
  <c r="D44" i="36"/>
  <c r="D19" i="7"/>
  <c r="B1775" i="106" s="1"/>
  <c r="D1775" i="106" s="1"/>
  <c r="B6024" i="106"/>
  <c r="D6024" i="106" s="1"/>
  <c r="G4" i="4"/>
  <c r="B2603" i="106" s="1"/>
  <c r="D2603" i="106" s="1"/>
  <c r="L114" i="29"/>
  <c r="C114" i="29"/>
  <c r="B757" i="106" s="1"/>
  <c r="D757" i="106" s="1"/>
  <c r="C6" i="4"/>
  <c r="B2553" i="106" s="1"/>
  <c r="D2553" i="106" s="1"/>
  <c r="C4" i="4"/>
  <c r="B2551" i="106" s="1"/>
  <c r="D2551" i="106" s="1"/>
  <c r="K342" i="29"/>
  <c r="F13" i="34"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G22" i="108"/>
  <c r="B1119" i="106"/>
  <c r="D1119" i="106" s="1"/>
  <c r="E22" i="108"/>
  <c r="G12" i="145"/>
  <c r="G19" i="145" s="1"/>
  <c r="J20" i="145" s="1"/>
  <c r="E19" i="145"/>
  <c r="B5915" i="106"/>
  <c r="D5915" i="106" s="1"/>
  <c r="B6222" i="106"/>
  <c r="D6222" i="106" s="1"/>
  <c r="J8" i="4"/>
  <c r="D7" i="4"/>
  <c r="D275" i="5"/>
  <c r="B5507" i="106"/>
  <c r="D5507" i="106" s="1"/>
  <c r="B7298" i="106"/>
  <c r="B7299" i="106"/>
  <c r="F275" i="5" l="1"/>
  <c r="B5720" i="106" s="1"/>
  <c r="D5720" i="106" s="1"/>
  <c r="F6" i="4"/>
  <c r="B2593" i="106" s="1"/>
  <c r="D2593" i="106" s="1"/>
  <c r="B5653" i="106"/>
  <c r="D5653" i="106" s="1"/>
  <c r="K367" i="29"/>
  <c r="K13" i="4"/>
  <c r="B3572" i="106" s="1"/>
  <c r="D3572" i="106" s="1"/>
  <c r="B3672" i="106"/>
  <c r="D3672" i="106" s="1"/>
  <c r="F24" i="37"/>
  <c r="B2656" i="106"/>
  <c r="D2656" i="106" s="1"/>
  <c r="H8" i="4"/>
  <c r="F7" i="4"/>
  <c r="B2594" i="106" s="1"/>
  <c r="D2594" i="106" s="1"/>
  <c r="B1145" i="106"/>
  <c r="D1145" i="106" s="1"/>
  <c r="G41" i="108"/>
  <c r="G44" i="108" s="1"/>
  <c r="G45" i="108" s="1"/>
  <c r="E41" i="108"/>
  <c r="E44" i="108" s="1"/>
  <c r="E45" i="108" s="1"/>
  <c r="J17"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B6227" i="106" l="1"/>
  <c r="D6227" i="106" s="1"/>
  <c r="J19" i="4"/>
  <c r="B6229" i="106" s="1"/>
  <c r="D6229" i="106" s="1"/>
  <c r="F8" i="4"/>
  <c r="B2658" i="106"/>
  <c r="D2658" i="106" s="1"/>
  <c r="H10" i="4"/>
  <c r="B4127" i="106" s="1"/>
  <c r="D4127" i="106" s="1"/>
  <c r="D8" i="4"/>
  <c r="D10" i="4" s="1"/>
  <c r="B4123" i="106" s="1"/>
  <c r="D4123"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B2568" i="106"/>
  <c r="D2568" i="106" s="1"/>
  <c r="B2595" i="106" l="1"/>
  <c r="D2595" i="106" s="1"/>
  <c r="D8" i="146"/>
  <c r="F10" i="4"/>
  <c r="B4125" i="106" s="1"/>
  <c r="D4125"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D10" i="146" l="1"/>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<sst xmlns="http://schemas.openxmlformats.org/spreadsheetml/2006/main" count="5034" uniqueCount="2110">
  <si>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</si>
  <si>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</si>
  <si>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</si>
  <si>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</si>
  <si>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</si>
  <si>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</si>
  <si>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</si>
  <si>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</si>
  <si>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</si>
  <si>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</si>
  <si>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</si>
  <si>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</si>
  <si>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</si>
  <si>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</si>
  <si>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</si>
  <si>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</si>
  <si>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</si>
  <si>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</si>
  <si>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</si>
  <si>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</si>
  <si>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</si>
  <si>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</si>
  <si>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</si>
  <si>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</si>
  <si>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</si>
  <si>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</si>
  <si>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</si>
  <si>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</si>
  <si>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</si>
  <si>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</si>
  <si>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</si>
  <si>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</si>
  <si>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</si>
  <si>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</si>
  <si>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</si>
  <si>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</si>
  <si>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</si>
  <si>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</si>
  <si>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</si>
  <si>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</si>
  <si>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</si>
  <si>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</si>
  <si>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</si>
  <si>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</si>
  <si>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</si>
  <si>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</si>
  <si>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</si>
  <si>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</si>
  <si>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</si>
  <si>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</si>
  <si>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</si>
  <si>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</si>
  <si>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</si>
  <si>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</si>
  <si>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</si>
  <si>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</si>
  <si>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</si>
  <si>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</si>
  <si>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</si>
  <si>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</si>
  <si>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</si>
  <si>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</si>
  <si>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</si>
  <si>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</si>
  <si>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</si>
  <si>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</si>
  <si>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</si>
  <si>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</si>
  <si>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</si>
  <si>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</si>
  <si>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</si>
  <si>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</si>
  <si>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</si>
  <si>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</si>
  <si>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</si>
  <si>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</si>
  <si>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</si>
  <si>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</si>
  <si>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</si>
  <si>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</si>
  <si>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</si>
  <si>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</si>
  <si>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</si>
  <si>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</si>
  <si>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</si>
  <si>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</si>
  <si>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</si>
  <si>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</si>
  <si>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</si>
  <si>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</si>
  <si>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</si>
  <si>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</si>
  <si>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</si>
  <si>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</si>
  <si>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</si>
  <si>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</si>
  <si>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</si>
  <si>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</si>
  <si>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</si>
  <si>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</si>
  <si>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</si>
  <si>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</si>
  <si>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</si>
  <si>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</si>
  <si>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</si>
  <si>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</si>
  <si>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</si>
  <si>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</si>
  <si>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</si>
  <si>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</si>
  <si>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</si>
  <si>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</si>
  <si>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</si>
  <si>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</si>
  <si>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</si>
  <si>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</si>
  <si>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</si>
  <si>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</si>
  <si>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</si>
  <si>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</si>
  <si>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</si>
  <si>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</si>
  <si>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</si>
  <si>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</si>
  <si>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</si>
  <si>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</si>
  <si>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</si>
  <si>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</si>
  <si>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</si>
  <si>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</si>
  <si>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</si>
  <si>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</si>
  <si>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</si>
  <si>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</si>
  <si>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</si>
  <si>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</si>
  <si>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</si>
  <si>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</si>
  <si>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</si>
  <si>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</si>
  <si>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</si>
  <si>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</si>
  <si>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</si>
  <si>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</si>
  <si>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</si>
  <si>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</si>
  <si>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</si>
  <si>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</si>
  <si>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</si>
  <si>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</si>
  <si>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</si>
  <si>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</si>
  <si>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</si>
  <si>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</si>
  <si>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</si>
  <si>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</si>
  <si>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</si>
  <si>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</si>
  <si>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</si>
  <si>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</si>
  <si>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</si>
  <si>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</si>
  <si>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</si>
  <si>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</si>
  <si>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</si>
  <si>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</si>
  <si>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</si>
  <si>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</si>
  <si>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</si>
  <si>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</si>
  <si>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</si>
  <si>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</si>
  <si>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</si>
  <si>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</si>
  <si>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</si>
  <si>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</si>
  <si>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</si>
  <si>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</si>
  <si>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</si>
  <si>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</si>
  <si>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</si>
  <si>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</si>
  <si>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</si>
  <si>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</si>
  <si>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</si>
  <si>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</si>
  <si>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</si>
  <si>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</si>
  <si>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</si>
  <si>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</si>
  <si>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</si>
  <si>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</si>
  <si>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</si>
  <si>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</si>
  <si>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</si>
  <si>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</si>
  <si>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</si>
  <si>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</si>
  <si>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</si>
  <si>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</si>
  <si>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</si>
  <si>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</si>
  <si>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</si>
  <si>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</si>
  <si>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</si>
  <si>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</si>
  <si>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</si>
  <si>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</si>
  <si>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</si>
  <si>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</si>
  <si>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</si>
  <si>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</si>
  <si>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</si>
  <si>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</si>
  <si>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</si>
  <si>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</si>
  <si>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</si>
  <si>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</si>
  <si>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</si>
  <si>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</si>
  <si>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</si>
  <si>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</si>
  <si>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</si>
  <si>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</si>
  <si>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</si>
  <si>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</si>
  <si>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</si>
  <si>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</si>
  <si>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</si>
  <si>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</si>
  <si>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</si>
  <si>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</si>
  <si>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</si>
  <si>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</si>
  <si>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</si>
  <si>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</si>
  <si>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</si>
  <si>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</si>
  <si>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</si>
  <si>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</si>
  <si>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</si>
  <si>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</si>
  <si>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</si>
  <si>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</si>
  <si>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</si>
  <si>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</si>
  <si>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</si>
  <si>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</si>
  <si>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</si>
  <si>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</si>
  <si>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</si>
  <si>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</si>
  <si>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</si>
  <si>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</si>
  <si>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</si>
  <si>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</si>
  <si>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</si>
  <si>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</si>
  <si>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</si>
  <si>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</si>
  <si>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</si>
  <si>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</si>
  <si>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</si>
  <si>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</si>
  <si>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</si>
  <si>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</si>
  <si>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</si>
  <si>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</si>
  <si>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</si>
  <si>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</si>
  <si>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</si>
  <si>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</si>
  <si>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</si>
  <si>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</si>
  <si>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</si>
  <si>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</si>
  <si>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</si>
  <si>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</si>
  <si>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</si>
  <si>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</si>
  <si>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</si>
  <si>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</si>
  <si>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</si>
  <si>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</si>
  <si>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</si>
  <si>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</si>
  <si>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</si>
  <si>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</si>
  <si>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</si>
  <si>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</si>
  <si>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</si>
  <si>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</si>
  <si>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</si>
  <si>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</si>
  <si>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</si>
  <si>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</si>
  <si>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</si>
  <si>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</si>
  <si>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</si>
  <si>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</si>
  <si>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</si>
  <si>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</si>
  <si>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</si>
  <si>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</si>
  <si>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</si>
  <si>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</si>
  <si>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</si>
  <si>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</si>
  <si>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</si>
  <si>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</si>
  <si>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</si>
  <si>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</si>
  <si>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</si>
  <si>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</si>
  <si>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</si>
  <si>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</si>
  <si>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</si>
  <si>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</si>
  <si>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</si>
  <si>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</si>
  <si>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</si>
  <si>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</si>
  <si>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</si>
  <si>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</si>
  <si>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</si>
  <si>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</si>
  <si>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</si>
  <si>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</si>
  <si>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</si>
  <si>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</si>
  <si>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</si>
  <si>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</si>
  <si>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</si>
  <si>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</si>
  <si>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</si>
  <si>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</si>
  <si>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</si>
  <si>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</si>
  <si>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</si>
  <si>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</si>
  <si>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</si>
  <si>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</si>
  <si>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</si>
  <si>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</si>
  <si>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</si>
  <si>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</si>
  <si>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</si>
  <si>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</si>
  <si>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</si>
  <si>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</si>
  <si>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</si>
  <si>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</si>
  <si>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</si>
  <si>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</si>
  <si>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</si>
  <si>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</si>
  <si>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</si>
  <si>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</si>
  <si>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</si>
  <si>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</si>
  <si>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</si>
  <si>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</si>
  <si>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</si>
  <si>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</si>
  <si>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</si>
  <si>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</si>
  <si>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</si>
  <si>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</si>
  <si>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</si>
  <si>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</si>
  <si>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</si>
  <si>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</si>
  <si>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</si>
  <si>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</si>
  <si>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</si>
  <si>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</si>
  <si>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</si>
  <si>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</si>
  <si>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</si>
  <si>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</si>
  <si>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</si>
  <si>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</si>
  <si>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</si>
  <si>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</si>
  <si>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</si>
  <si>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</si>
  <si>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</si>
  <si>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</si>
  <si>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</si>
  <si>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</si>
  <si>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</si>
  <si>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</si>
  <si>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</si>
  <si>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</si>
  <si>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</si>
  <si>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</si>
  <si>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</si>
  <si>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</si>
  <si>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</si>
  <si>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</si>
  <si>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</si>
  <si>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</si>
  <si>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</si>
  <si>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</si>
  <si>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</si>
  <si>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</si>
  <si>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</si>
  <si>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</si>
  <si>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</si>
  <si>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</si>
  <si>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</si>
  <si>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</si>
  <si>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</si>
  <si>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</si>
  <si>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</si>
  <si>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</si>
  <si>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</si>
  <si>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</si>
  <si>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</si>
  <si>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</si>
  <si>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</si>
  <si>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</si>
  <si>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</si>
  <si>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</si>
  <si>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</si>
  <si>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</si>
  <si>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</si>
  <si>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</si>
  <si>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</si>
  <si>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</si>
  <si>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</si>
  <si>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</si>
  <si>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</si>
  <si>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</si>
  <si>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</si>
  <si>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</si>
  <si>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</si>
  <si>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</si>
  <si>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</si>
  <si>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</si>
  <si>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</si>
  <si>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</si>
  <si>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</si>
  <si>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</si>
  <si>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</si>
  <si>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</si>
  <si>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</si>
  <si>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</si>
  <si>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</si>
  <si>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</si>
  <si>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</si>
  <si>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</si>
  <si>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</si>
  <si>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</si>
  <si>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</si>
  <si>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</si>
  <si>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</si>
  <si>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</si>
  <si>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</si>
  <si>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</si>
  <si>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</si>
  <si>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</si>
  <si>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</si>
  <si>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</si>
  <si>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</si>
  <si>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</si>
  <si>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</si>
  <si>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</si>
  <si>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</si>
  <si>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</si>
  <si>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</si>
  <si>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</si>
  <si>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</si>
  <si>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</si>
  <si>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</si>
  <si>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</si>
  <si>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</si>
  <si>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</si>
  <si>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</si>
  <si>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</si>
  <si>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</si>
  <si>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</si>
  <si>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</si>
  <si>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</si>
  <si>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</si>
  <si>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</si>
  <si>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</si>
  <si>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</si>
  <si>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</si>
  <si>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</si>
  <si>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</si>
  <si>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</si>
  <si>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</si>
  <si>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</si>
  <si>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</si>
  <si>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</si>
  <si>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</si>
  <si>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</si>
  <si>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</si>
  <si>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</si>
  <si>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</si>
  <si>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</si>
  <si>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</si>
  <si>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</si>
  <si>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</si>
  <si>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</si>
  <si>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</si>
  <si>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</si>
  <si>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</si>
  <si>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</si>
  <si>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</si>
  <si>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</si>
  <si>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</si>
  <si>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</si>
  <si>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</si>
  <si>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</si>
  <si>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</si>
  <si>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</si>
  <si>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</si>
  <si>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</si>
  <si>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</si>
  <si>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</si>
  <si>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</si>
  <si>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</si>
  <si>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</si>
  <si>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</si>
  <si>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</si>
  <si>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</si>
  <si>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</si>
  <si>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</si>
  <si>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</si>
  <si>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</si>
  <si>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</si>
  <si>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</si>
  <si>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</si>
  <si>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</si>
  <si>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</si>
  <si>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</si>
  <si>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</si>
  <si>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</si>
  <si>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</si>
  <si>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</si>
  <si>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</si>
  <si>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</si>
  <si>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</si>
  <si>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</si>
  <si>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</si>
  <si>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</si>
  <si>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</si>
  <si>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</si>
  <si>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</si>
  <si>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</si>
  <si>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</si>
  <si>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</si>
  <si>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</si>
  <si>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</si>
  <si>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</si>
  <si>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</si>
  <si>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</si>
  <si>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</si>
  <si>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</si>
  <si>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</si>
  <si>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</si>
  <si>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</si>
  <si>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</si>
  <si>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</si>
  <si>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</si>
  <si>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</si>
  <si>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</si>
  <si>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</si>
  <si>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</si>
  <si>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</si>
  <si>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</si>
  <si>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</si>
  <si>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</si>
  <si>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</si>
  <si>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</si>
  <si>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</si>
  <si>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</si>
  <si>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</si>
  <si>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</si>
  <si>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</si>
  <si>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</si>
  <si>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</si>
  <si>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</si>
  <si>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</si>
  <si>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</si>
  <si>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</si>
  <si>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</si>
  <si>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</si>
  <si>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</si>
  <si>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</si>
  <si>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</si>
  <si>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</si>
  <si>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</si>
  <si>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</si>
  <si>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</si>
  <si>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</si>
  <si>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</si>
  <si>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</si>
  <si>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</si>
  <si>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</si>
  <si>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</si>
  <si>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</si>
  <si>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</si>
  <si>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</si>
  <si>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</si>
  <si>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</si>
  <si>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</si>
  <si>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</si>
  <si>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</si>
  <si>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</si>
  <si>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</si>
  <si>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</si>
  <si>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</si>
  <si>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</si>
  <si>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</si>
  <si>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</si>
  <si>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</si>
  <si>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</si>
  <si>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</si>
  <si>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</si>
  <si>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</si>
  <si>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</si>
  <si>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</si>
  <si>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</si>
  <si>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</si>
  <si>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</si>
  <si>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</si>
  <si>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</si>
  <si>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</si>
  <si>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</si>
  <si>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</si>
  <si>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</si>
  <si>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</si>
  <si>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</si>
  <si>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</si>
  <si>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</si>
  <si>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</si>
  <si>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</si>
  <si>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</si>
  <si>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</si>
  <si>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</si>
  <si>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</si>
  <si>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</si>
  <si>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</si>
  <si>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</si>
  <si>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</si>
  <si>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</si>
  <si>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</si>
  <si>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</si>
  <si>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</si>
  <si>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</si>
  <si>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</si>
  <si>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</si>
  <si>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</si>
  <si>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</si>
  <si>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</si>
  <si>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</si>
  <si>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</si>
  <si>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</si>
  <si>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</si>
  <si>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</si>
  <si>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</si>
  <si>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</si>
  <si>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</si>
  <si>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</si>
  <si>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</si>
  <si>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</si>
  <si>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</si>
  <si>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</si>
  <si>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</si>
  <si>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</si>
  <si>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</si>
  <si>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</si>
  <si>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</si>
  <si>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</si>
  <si>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</si>
  <si>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</si>
  <si>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</si>
  <si>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</si>
  <si>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</si>
  <si>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</si>
  <si>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</si>
  <si>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</si>
  <si>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</si>
  <si>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</si>
  <si>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</si>
  <si>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</si>
  <si>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</si>
  <si>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</si>
  <si>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</si>
  <si>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</si>
  <si>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</si>
  <si>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</si>
  <si>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</si>
  <si>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</si>
  <si>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</si>
  <si>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</si>
  <si>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</si>
  <si>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</si>
  <si>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</si>
  <si>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</si>
  <si>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</si>
  <si>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</si>
  <si>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</si>
  <si>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</si>
  <si>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</si>
  <si>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</si>
  <si>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</si>
  <si>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</si>
  <si>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</si>
  <si>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</si>
  <si>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</si>
  <si>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</si>
  <si>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</si>
  <si>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</si>
  <si>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</si>
  <si>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</si>
  <si>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</si>
  <si>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</si>
  <si>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</si>
  <si>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</si>
  <si>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</si>
  <si>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</si>
  <si>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</si>
  <si>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</si>
  <si>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</si>
  <si>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</si>
  <si>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</si>
  <si>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</si>
  <si>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</si>
  <si>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</si>
  <si>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</si>
  <si>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</si>
  <si>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</si>
  <si>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</si>
  <si>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</si>
  <si>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</si>
  <si>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</si>
  <si>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</si>
  <si>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</si>
  <si>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</si>
  <si>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</si>
  <si>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</si>
  <si>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</si>
  <si>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</si>
  <si>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</si>
  <si>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</si>
  <si>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</si>
  <si>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</si>
  <si>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</si>
  <si>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</si>
  <si>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</si>
  <si>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</si>
  <si>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</si>
  <si>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</si>
  <si>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</si>
  <si>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</si>
  <si>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</si>
  <si>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</si>
  <si>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</si>
  <si>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</si>
  <si>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</si>
  <si>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</si>
  <si>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</si>
  <si>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</si>
  <si>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</si>
  <si>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</si>
  <si>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</si>
  <si>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</si>
  <si>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</si>
  <si>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</si>
  <si>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</si>
  <si>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</si>
  <si>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</si>
  <si>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</si>
  <si>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</si>
  <si>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</si>
  <si>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</si>
  <si>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</si>
  <si>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</si>
  <si>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</si>
  <si>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</si>
  <si>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</si>
  <si>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</si>
  <si>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</si>
  <si>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</si>
  <si>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</si>
  <si>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</si>
  <si>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</si>
  <si>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</si>
  <si>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</si>
  <si>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</si>
  <si>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</si>
  <si>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</si>
  <si>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</si>
  <si>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</si>
  <si>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</si>
  <si>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</si>
  <si>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</si>
  <si>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</si>
  <si>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</si>
  <si>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</si>
  <si>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</si>
  <si>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</si>
  <si>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</si>
  <si>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</si>
  <si>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</si>
  <si>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</si>
  <si>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</si>
  <si>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</si>
  <si>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</si>
  <si>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</si>
  <si>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</si>
  <si>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</si>
  <si>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</si>
  <si>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</si>
  <si>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</si>
  <si>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</si>
  <si>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</si>
  <si>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</si>
  <si>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</si>
  <si>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</si>
  <si>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</si>
  <si>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</si>
  <si>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</si>
  <si>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</si>
  <si>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</si>
  <si>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</si>
  <si>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</si>
  <si>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</si>
  <si>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</si>
  <si>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</si>
  <si>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</si>
  <si>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</si>
  <si>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</si>
  <si>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</si>
  <si>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</si>
  <si>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</si>
  <si>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</si>
  <si>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</si>
  <si>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</si>
  <si>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</si>
  <si>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</si>
  <si>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</si>
  <si>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</si>
  <si>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</si>
  <si>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</si>
  <si>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</si>
  <si>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</si>
  <si>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</si>
  <si>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</si>
  <si>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</si>
  <si>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</si>
  <si>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</si>
  <si>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</si>
  <si>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</si>
  <si>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</si>
  <si>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</si>
  <si>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</si>
  <si>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</si>
  <si>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</si>
  <si>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</si>
  <si>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</si>
  <si>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</si>
  <si>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</si>
  <si>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</si>
  <si>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</si>
  <si>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</si>
  <si>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</si>
  <si>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</si>
  <si>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</si>
  <si>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</si>
  <si>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</si>
  <si>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</si>
  <si>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</si>
  <si>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</si>
  <si>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</si>
  <si>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</si>
  <si>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</si>
  <si>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</si>
  <si>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</si>
  <si>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</si>
  <si>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</si>
  <si>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</si>
  <si>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</si>
  <si>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</si>
  <si>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</si>
  <si>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</si>
  <si>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</si>
  <si>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</si>
  <si>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</si>
  <si>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</si>
  <si>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</si>
  <si>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</si>
  <si>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</si>
  <si>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</si>
  <si>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</si>
  <si>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</si>
  <si>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</si>
  <si>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</si>
  <si>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</si>
  <si>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</si>
  <si>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</si>
  <si>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</si>
  <si>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</si>
  <si>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</si>
  <si>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</si>
  <si>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</si>
  <si>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</si>
  <si>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</si>
  <si>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</si>
  <si>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</si>
  <si>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</si>
  <si>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</si>
  <si>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</si>
  <si>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</si>
  <si>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</si>
  <si>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</si>
  <si>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</si>
  <si>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</si>
  <si>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</si>
  <si>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</si>
  <si>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</si>
  <si>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</si>
  <si>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</si>
  <si>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</si>
  <si>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</si>
  <si>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</si>
  <si>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</si>
  <si>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</si>
  <si>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</si>
  <si>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</si>
  <si>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</si>
  <si>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</si>
  <si>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</si>
  <si>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</si>
  <si>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</si>
  <si>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</si>
  <si>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</si>
  <si>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</si>
  <si>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</si>
  <si>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</si>
  <si>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</si>
  <si>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</si>
  <si>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</si>
  <si>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</si>
  <si>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</si>
  <si>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</si>
  <si>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</si>
  <si>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</si>
  <si>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</si>
  <si>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</si>
  <si>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</si>
  <si>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</si>
  <si>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</si>
  <si>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</si>
  <si>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</si>
  <si>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</si>
  <si>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</si>
  <si>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</si>
  <si>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</si>
  <si>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</si>
  <si>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</si>
  <si>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</si>
  <si>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</si>
  <si>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</si>
  <si>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</si>
  <si>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</si>
  <si>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</si>
  <si>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</si>
  <si>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</si>
  <si>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</si>
  <si>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</si>
  <si>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</si>
  <si>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</si>
  <si>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</si>
  <si>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</si>
  <si>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</si>
  <si>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</si>
  <si>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</si>
  <si>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</si>
  <si>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</si>
  <si>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</si>
  <si>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</si>
  <si>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</si>
  <si>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</si>
  <si>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</si>
  <si>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</si>
  <si>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</si>
  <si>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</si>
  <si>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</si>
  <si>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</si>
  <si>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</si>
  <si>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</si>
  <si>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</si>
  <si>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</si>
  <si>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</si>
  <si>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</si>
  <si>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</si>
  <si>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</si>
  <si>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</si>
  <si>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</si>
  <si>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</si>
  <si>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</si>
  <si>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</si>
  <si>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</si>
  <si>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</si>
  <si>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</si>
  <si>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</si>
  <si>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</si>
  <si>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</si>
  <si>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</si>
  <si>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</si>
  <si>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</si>
  <si>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</si>
  <si>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</si>
  <si>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</si>
  <si>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</si>
  <si>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</si>
  <si>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</si>
  <si>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</si>
  <si>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</si>
  <si>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</si>
  <si>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</si>
  <si>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</si>
  <si>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</si>
  <si>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</si>
  <si>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</si>
  <si>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</si>
  <si>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</si>
  <si>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</si>
  <si>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</si>
  <si>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</si>
  <si>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</si>
  <si>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</si>
  <si>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</si>
  <si>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</si>
  <si>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</si>
  <si>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</si>
  <si>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</si>
  <si>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</si>
  <si>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</si>
  <si>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</si>
  <si>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</si>
  <si>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</si>
  <si>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</si>
  <si>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</si>
  <si>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</si>
  <si>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</si>
  <si>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</si>
  <si>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</si>
  <si>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</si>
  <si>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</si>
  <si>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</si>
  <si>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</si>
  <si>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</si>
  <si>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</si>
  <si>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</si>
  <si>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</si>
  <si>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</si>
  <si>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</si>
  <si>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</si>
  <si>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</si>
  <si>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</si>
  <si>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</si>
  <si>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</si>
  <si>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</si>
  <si>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</si>
  <si>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</si>
  <si>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</si>
  <si>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</si>
  <si>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</si>
  <si>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</si>
  <si>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</si>
  <si>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</si>
  <si>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</si>
  <si>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</si>
  <si>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</si>
  <si>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</si>
  <si>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</si>
  <si>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</si>
  <si>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</si>
  <si>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</si>
  <si>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</si>
  <si>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</si>
  <si>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</si>
  <si>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</si>
  <si>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</si>
  <si>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</si>
  <si>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</si>
  <si>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</si>
  <si>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</si>
  <si>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</si>
  <si>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</si>
  <si>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</si>
  <si>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</si>
  <si>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</si>
  <si>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</si>
  <si>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</si>
  <si>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</si>
  <si>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</si>
  <si>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</si>
  <si>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</si>
  <si>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</si>
  <si>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</si>
  <si>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</si>
  <si>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</si>
  <si>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</si>
  <si>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</si>
  <si>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</si>
  <si>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</si>
  <si>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</si>
  <si>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</si>
  <si>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</si>
  <si>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</si>
  <si>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</si>
  <si>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</si>
  <si>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</si>
  <si>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</si>
  <si>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</si>
  <si>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</si>
  <si>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</si>
  <si>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</si>
  <si>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</si>
  <si>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</si>
  <si>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</si>
  <si>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</si>
  <si>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</si>
  <si>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</si>
  <si>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</si>
  <si>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</si>
  <si>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</si>
  <si>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</si>
  <si>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</si>
  <si>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</si>
  <si>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</si>
  <si>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</si>
  <si>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</si>
  <si>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</si>
  <si>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</si>
  <si>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</si>
  <si>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</si>
  <si>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</si>
  <si>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</si>
  <si>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</si>
  <si>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</si>
  <si>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</si>
  <si>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</si>
  <si>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</si>
  <si>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</si>
  <si>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</si>
  <si>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</si>
  <si>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</si>
  <si>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</si>
  <si>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</si>
  <si>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</si>
  <si>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</si>
  <si>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</si>
  <si>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</si>
  <si>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</si>
  <si>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</si>
  <si>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</si>
  <si>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</si>
  <si>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</si>
  <si>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</si>
  <si>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</si>
  <si>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</si>
  <si>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</si>
  <si>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</si>
  <si>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</si>
  <si>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</si>
  <si>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</si>
  <si>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</si>
  <si>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</si>
  <si>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</si>
  <si>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</si>
  <si>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</si>
  <si>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</si>
  <si>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</si>
  <si>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</si>
  <si>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</si>
  <si>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</si>
  <si>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</si>
  <si>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</si>
  <si>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</si>
  <si>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</si>
  <si>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</si>
  <si>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</si>
  <si>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</si>
  <si>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</si>
  <si>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</si>
  <si>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</si>
  <si>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</si>
  <si>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</si>
  <si>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</si>
  <si>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</si>
  <si>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</si>
  <si>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</si>
  <si>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</si>
  <si>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</si>
  <si>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</si>
  <si>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</si>
  <si>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</si>
  <si>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</si>
  <si>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</si>
  <si>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</si>
  <si>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</si>
  <si>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</si>
  <si>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</si>
  <si>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</si>
  <si>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</si>
  <si>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</si>
  <si>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</si>
  <si>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</si>
  <si>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</si>
  <si>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</si>
  <si>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</si>
  <si>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</si>
  <si>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</si>
  <si>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</si>
  <si>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</si>
  <si>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</si>
  <si>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</si>
  <si>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</si>
  <si>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</si>
  <si>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</si>
  <si>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</si>
  <si>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</si>
  <si>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</si>
  <si>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</si>
  <si>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</si>
  <si>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</si>
  <si>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</si>
  <si>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</si>
  <si>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</si>
  <si>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</si>
  <si>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</si>
  <si>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</si>
  <si>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</si>
  <si>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</si>
  <si>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</si>
  <si>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</si>
  <si>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</si>
  <si>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</si>
  <si>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</si>
  <si>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</si>
  <si>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</si>
  <si>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</si>
  <si>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</si>
  <si>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</si>
  <si>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</si>
  <si>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</si>
  <si>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</si>
  <si>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</si>
  <si>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</si>
  <si>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</si>
  <si>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</si>
  <si>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</si>
  <si>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</si>
  <si>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</si>
  <si>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</si>
  <si>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</si>
  <si>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</si>
  <si>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</si>
  <si>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</si>
  <si>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</si>
  <si>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</si>
  <si>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</si>
  <si>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</si>
  <si>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</si>
  <si>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</si>
  <si>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</si>
  <si>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</si>
  <si>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</si>
  <si>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</si>
  <si>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</si>
  <si>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</si>
  <si>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</si>
  <si>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</si>
  <si>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</si>
  <si>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</si>
  <si>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</si>
  <si>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</si>
  <si>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</si>
  <si>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</si>
  <si>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</si>
  <si>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</si>
  <si>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</si>
  <si>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</si>
  <si>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</si>
  <si>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</si>
  <si>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</si>
  <si>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</si>
  <si>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</si>
  <si>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</si>
  <si>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</si>
  <si>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</si>
  <si>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</si>
  <si>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</si>
  <si>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</si>
  <si>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</si>
  <si>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</si>
  <si>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</si>
  <si>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</si>
  <si>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</si>
  <si>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</si>
  <si>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</si>
  <si>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</si>
  <si>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</si>
  <si>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</si>
  <si>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</si>
  <si>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</si>
  <si>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</si>
  <si>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</si>
  <si>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</si>
  <si>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</si>
  <si>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</si>
  <si>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</si>
  <si>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</si>
  <si>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</si>
  <si>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</si>
  <si>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</si>
  <si>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</si>
  <si>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</si>
  <si>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</si>
  <si>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</si>
  <si>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</si>
  <si>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</si>
  <si>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</si>
  <si>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</si>
  <si>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</si>
  <si>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</si>
  <si>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</si>
  <si>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</si>
  <si>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</si>
  <si>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</si>
  <si>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</si>
  <si>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</si>
  <si>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</si>
  <si>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</si>
  <si>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</si>
  <si>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</si>
  <si>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</si>
  <si>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</si>
  <si>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</si>
  <si>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</si>
  <si>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</si>
  <si>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</si>
  <si>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</si>
  <si>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</si>
  <si>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</si>
  <si>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</si>
  <si>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</si>
  <si>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</si>
  <si>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</si>
  <si>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</si>
  <si>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</si>
  <si>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</si>
  <si>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</si>
  <si>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</si>
  <si>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</si>
  <si>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</si>
  <si>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</si>
  <si>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</si>
  <si>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</si>
  <si>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</si>
  <si>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</si>
  <si>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</si>
  <si>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</si>
  <si>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</si>
  <si>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</si>
  <si>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</si>
  <si>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</si>
  <si>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</si>
  <si>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</si>
  <si>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</si>
  <si>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</si>
  <si>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</si>
  <si>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</si>
  <si>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</si>
  <si>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</si>
  <si>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</si>
  <si>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</si>
  <si>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</si>
  <si>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</si>
  <si>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</si>
  <si>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</si>
  <si>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</si>
  <si>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</si>
  <si>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</si>
  <si>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</si>
  <si>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</si>
  <si>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</si>
  <si>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</si>
  <si>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</si>
  <si>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</si>
  <si>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</si>
  <si>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</si>
  <si>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</si>
  <si>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</si>
  <si>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</si>
  <si>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</si>
  <si>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</si>
  <si>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</si>
  <si>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</si>
  <si>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</si>
  <si>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</si>
  <si>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</si>
  <si>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</si>
  <si>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</si>
  <si>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</si>
  <si>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</si>
  <si>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</si>
  <si>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</si>
  <si>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</si>
  <si>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</si>
  <si>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</si>
  <si>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</si>
  <si>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</si>
  <si>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</si>
  <si>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</si>
  <si>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</si>
  <si>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</si>
  <si>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</si>
  <si>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</si>
  <si>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</si>
  <si>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</si>
  <si>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</si>
  <si>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</si>
  <si>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</si>
  <si>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</si>
  <si>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</si>
  <si>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</si>
  <si>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</si>
  <si>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</si>
  <si>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</si>
  <si>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</si>
  <si>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</si>
  <si>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</si>
  <si>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</si>
  <si>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</si>
  <si>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</si>
  <si>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</si>
  <si>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</si>
  <si>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</si>
  <si>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</si>
  <si>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</si>
  <si>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</si>
  <si>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</si>
  <si>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</si>
  <si>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</si>
  <si>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</si>
  <si>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</si>
  <si>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</si>
  <si>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</si>
  <si>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</si>
  <si>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</si>
  <si>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</si>
  <si>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</si>
  <si>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</si>
  <si>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</si>
  <si>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</si>
  <si>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</si>
  <si>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</si>
  <si>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</si>
  <si>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</si>
  <si>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</si>
  <si>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</si>
  <si>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</si>
  <si>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</si>
  <si>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</si>
  <si>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</si>
  <si>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</si>
  <si>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</si>
  <si>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</si>
  <si>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</si>
  <si>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</si>
  <si>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</si>
  <si>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</si>
  <si>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</si>
  <si>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</si>
  <si>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</si>
  <si>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</si>
  <si>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</si>
  <si>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</si>
  <si>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</si>
  <si>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</si>
  <si>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</si>
  <si>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</si>
  <si>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</si>
  <si>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</si>
  <si>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</si>
  <si>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</si>
  <si>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</si>
  <si>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</si>
  <si>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</si>
  <si>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</si>
  <si>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</si>
  <si>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</si>
  <si>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</si>
  <si>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</si>
  <si>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</si>
  <si>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</si>
  <si>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</si>
  <si>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</si>
  <si>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</si>
  <si>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</si>
  <si>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</si>
  <si>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</si>
  <si>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</si>
  <si>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</si>
  <si>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</si>
  <si>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</si>
  <si>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</si>
  <si>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</si>
  <si>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</si>
  <si>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</si>
  <si>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</si>
  <si>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</si>
  <si>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</si>
  <si>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</si>
  <si>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</si>
  <si>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</si>
  <si>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</si>
  <si>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</si>
  <si>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</si>
  <si>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</si>
  <si>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</si>
  <si>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</si>
  <si>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</si>
  <si>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</si>
  <si>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</si>
  <si>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</si>
  <si>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</si>
  <si>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</si>
  <si>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</si>
  <si>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</si>
  <si>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</si>
  <si>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</si>
  <si>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</si>
  <si>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</si>
  <si>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</si>
  <si>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</si>
  <si>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</si>
  <si>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</si>
  <si>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</si>
  <si>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</si>
  <si>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</si>
  <si>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</si>
  <si>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</si>
  <si>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</si>
  <si>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</si>
  <si>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</si>
  <si>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</si>
  <si>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</si>
  <si>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</si>
  <si>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</si>
  <si>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</si>
  <si>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</si>
  <si>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</si>
  <si>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</si>
  <si>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</si>
  <si>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</si>
  <si>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</si>
  <si>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</si>
  <si>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</si>
  <si>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</si>
  <si>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</si>
  <si>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</si>
  <si>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</si>
  <si>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</si>
  <si>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</si>
  <si>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</si>
  <si>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</si>
  <si>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</si>
  <si>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</si>
  <si>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</si>
  <si>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</si>
  <si>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</si>
  <si>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</si>
  <si>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</si>
  <si>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</si>
  <si>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</si>
  <si>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</si>
  <si>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</si>
  <si>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</si>
  <si>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</si>
  <si>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</si>
  <si>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</si>
  <si>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</si>
  <si>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</si>
  <si>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</si>
  <si>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</si>
  <si>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</si>
  <si>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</si>
  <si>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</si>
  <si>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</si>
  <si>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</si>
  <si>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</si>
  <si>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</si>
  <si>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</si>
  <si>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</si>
  <si>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</si>
  <si>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</si>
  <si>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</si>
  <si>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</si>
  <si>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</si>
  <si>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</si>
  <si>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</si>
  <si>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</si>
  <si>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</si>
  <si>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</si>
  <si>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</si>
  <si>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</si>
  <si>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</si>
  <si>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</si>
  <si>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</si>
  <si>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</si>
  <si>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</si>
  <si>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</si>
  <si>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</si>
  <si>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</si>
  <si>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</si>
  <si>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</si>
  <si>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</si>
  <si>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</si>
  <si>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</si>
  <si>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</si>
  <si>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</si>
  <si>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</si>
  <si>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</si>
  <si>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</si>
  <si>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</si>
  <si>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</si>
  <si>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</si>
  <si>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</si>
  <si>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</si>
  <si>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</si>
  <si>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</si>
  <si>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</si>
  <si>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</si>
  <si>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</si>
  <si>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</si>
  <si>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</si>
  <si>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</si>
  <si>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</si>
  <si>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</si>
  <si>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</si>
  <si>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</si>
  <si>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</si>
  <si>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</si>
  <si>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</si>
  <si>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</si>
  <si>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</si>
  <si>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</si>
  <si>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</si>
  <si>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</si>
  <si>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</si>
  <si>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</si>
  <si>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</si>
  <si>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</si>
  <si>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</si>
  <si>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</si>
  <si>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</si>
  <si>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</si>
  <si>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</si>
  <si>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</si>
  <si>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</si>
  <si>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</si>
  <si>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</si>
  <si>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</si>
  <si>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</si>
  <si>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</si>
  <si>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</si>
  <si>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</si>
  <si>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</si>
  <si>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</si>
  <si>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</si>
  <si>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</si>
  <si>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</si>
  <si>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</si>
  <si>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</si>
  <si>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</si>
  <si>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</si>
  <si>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</si>
  <si>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</si>
  <si>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</si>
  <si>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</si>
  <si>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</si>
  <si>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</si>
  <si>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</si>
  <si>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</si>
  <si>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</si>
  <si>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</si>
  <si>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</si>
  <si>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</si>
  <si>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</si>
  <si>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</si>
  <si>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</si>
  <si>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</si>
  <si>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</si>
  <si>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</si>
  <si>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</si>
  <si>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</si>
  <si>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</si>
  <si>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</si>
  <si>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</si>
  <si>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</si>
  <si>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</si>
  <si>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</si>
  <si>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</si>
  <si>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</si>
  <si>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</si>
  <si>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</si>
  <si>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</si>
  <si>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</si>
  <si>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</si>
  <si>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</si>
  <si>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</si>
  <si>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</si>
  <si>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</si>
  <si>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</si>
  <si>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</si>
  <si>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</si>
  <si>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</si>
  <si>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</si>
  <si>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</si>
  <si>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</si>
  <si>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</si>
  <si>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</si>
  <si>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</si>
  <si>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</si>
  <si>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</si>
  <si>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</si>
  <si>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</si>
  <si>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</si>
  <si>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</si>
  <si>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</si>
  <si>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</si>
  <si>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</si>
  <si>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</si>
  <si>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</si>
  <si>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</si>
  <si>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</si>
  <si>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</si>
  <si>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</si>
  <si>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</si>
  <si>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</si>
  <si>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</si>
  <si>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</si>
  <si>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</si>
  <si>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</si>
  <si>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</si>
  <si>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</si>
  <si>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</si>
  <si>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</si>
  <si>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</si>
  <si>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</si>
  <si>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</si>
  <si>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</si>
  <si>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</si>
  <si>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</si>
  <si>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</si>
  <si>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</si>
  <si>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</si>
  <si>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</si>
  <si>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</si>
  <si>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</si>
  <si>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</si>
  <si>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</si>
  <si>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</si>
  <si>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</si>
  <si>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</si>
  <si>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</si>
  <si>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</si>
  <si>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</si>
  <si>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</si>
  <si>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</si>
  <si>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</si>
  <si>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</si>
  <si>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</si>
  <si>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</si>
  <si>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</si>
  <si>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</si>
  <si>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</si>
  <si>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</si>
  <si>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</si>
  <si>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</si>
  <si>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</si>
  <si>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</si>
  <si>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</si>
  <si>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</si>
  <si>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</si>
  <si>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</si>
  <si>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</si>
  <si>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</si>
  <si>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</si>
  <si>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</si>
  <si>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</si>
  <si>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</si>
  <si>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</si>
  <si>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</si>
  <si>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</si>
  <si>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</si>
  <si>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</si>
  <si>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</si>
  <si>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</si>
  <si>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</si>
  <si>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</si>
  <si>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</si>
  <si>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</si>
  <si>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</si>
  <si>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</si>
  <si>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</si>
  <si>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</si>
  <si>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</si>
  <si>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</si>
  <si>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</si>
  <si>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</si>
  <si>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</si>
  <si>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</si>
  <si>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</si>
  <si>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</si>
  <si>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</si>
  <si>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</si>
  <si>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</si>
  <si>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</si>
  <si>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</si>
  <si>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</si>
  <si>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</si>
  <si>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</si>
  <si>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</si>
  <si>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</si>
  <si>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</si>
  <si>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</si>
  <si>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</si>
  <si>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</si>
  <si>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</si>
  <si>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</si>
  <si>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</si>
  <si>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</si>
  <si>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</si>
  <si>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</si>
  <si>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</si>
  <si>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</si>
  <si>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</si>
  <si>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</si>
  <si>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</si>
  <si>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</si>
  <si>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</si>
  <si>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</si>
  <si>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</si>
  <si>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</si>
  <si>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</si>
  <si>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</si>
  <si>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</si>
  <si>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</si>
  <si>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</si>
  <si>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</si>
  <si>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</si>
  <si>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</si>
  <si>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</si>
  <si>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</si>
  <si>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</si>
  <si>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</si>
  <si>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</si>
  <si>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</si>
  <si>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</si>
  <si>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</si>
  <si>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</si>
  <si>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</si>
  <si>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</si>
  <si>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</si>
  <si>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</si>
  <si>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</si>
  <si>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</si>
  <si>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</si>
  <si>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</si>
  <si>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</si>
  <si>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</si>
  <si>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</si>
  <si>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</si>
  <si>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</si>
  <si>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</si>
  <si>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</si>
  <si>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</si>
  <si>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</si>
  <si>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</si>
  <si>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</si>
  <si>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</si>
  <si>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</si>
  <si>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</si>
  <si>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</si>
  <si>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</si>
  <si>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</si>
  <si>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</si>
  <si>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</si>
  <si>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</si>
  <si>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</si>
  <si>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</si>
  <si>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</si>
  <si>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</si>
  <si>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</si>
  <si>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</si>
  <si>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</si>
  <si>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</si>
  <si>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</si>
  <si>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</si>
  <si>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</si>
  <si>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</si>
  <si>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</si>
  <si>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</si>
  <si>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</si>
  <si>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</si>
  <si>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</si>
  <si>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</si>
  <si>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</si>
  <si>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</si>
  <si>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</si>
  <si>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</si>
  <si>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</si>
  <si>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</si>
  <si>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</si>
  <si>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</si>
  <si>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</si>
  <si>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</si>
  <si>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</si>
  <si>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</si>
  <si>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</si>
  <si>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</si>
  <si>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</si>
  <si>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</si>
  <si>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</si>
  <si>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</si>
  <si>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</si>
  <si>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</si>
  <si>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</si>
  <si>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</si>
  <si>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</si>
  <si>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</si>
  <si>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</si>
  <si>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</si>
  <si>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</si>
  <si>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</si>
  <si>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</si>
  <si>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</si>
  <si>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</si>
  <si>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</si>
  <si>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</si>
  <si>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</si>
  <si>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</si>
  <si>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</si>
  <si>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</si>
  <si>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</si>
  <si>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</si>
  <si>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</si>
  <si>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</si>
  <si>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</si>
  <si>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</si>
  <si>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</si>
  <si>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</si>
  <si>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</si>
  <si>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</si>
  <si>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</si>
  <si>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</si>
  <si>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</si>
  <si>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</si>
  <si>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</si>
  <si>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</si>
  <si>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</si>
  <si>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</si>
  <si>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</si>
  <si>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</si>
  <si>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</si>
  <si>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</si>
  <si>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</si>
  <si>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</si>
  <si>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</si>
  <si>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</si>
  <si>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</si>
  <si>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</si>
  <si>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</si>
  <si>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</si>
  <si>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</si>
  <si>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</si>
  <si>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</si>
  <si>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</si>
  <si>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</si>
  <si>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</si>
  <si>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</si>
  <si>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</si>
  <si>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</si>
  <si>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</si>
  <si>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</si>
  <si>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</si>
  <si>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</si>
  <si>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</si>
  <si>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</si>
  <si>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</si>
  <si>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</si>
  <si>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</si>
  <si>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</si>
  <si>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</si>
  <si>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</si>
  <si>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</si>
  <si>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</si>
  <si>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</si>
  <si>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</si>
  <si>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</si>
  <si>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</si>
  <si>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</si>
  <si>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</si>
  <si>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</si>
  <si>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</si>
  <si>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</si>
  <si>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</si>
  <si>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</si>
  <si>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</si>
  <si>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</si>
  <si>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</si>
  <si>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</si>
  <si>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</si>
  <si>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</si>
  <si>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</si>
  <si>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</si>
  <si>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</si>
  <si>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</si>
  <si>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</si>
  <si>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</si>
  <si>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</si>
  <si>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</si>
  <si>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</si>
  <si>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</si>
  <si>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</si>
  <si>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</si>
  <si>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</si>
  <si>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</si>
  <si>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</si>
  <si>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</si>
  <si>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</si>
  <si>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</si>
  <si>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</si>
  <si>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</si>
  <si>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</si>
  <si>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</si>
  <si>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</si>
  <si>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</si>
  <si>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</si>
  <si>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</si>
  <si>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</si>
  <si>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</si>
  <si>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</si>
  <si>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</si>
  <si>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</si>
  <si>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</si>
  <si>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</si>
  <si>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</si>
  <si>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</si>
  <si>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</si>
  <si>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</si>
  <si>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</si>
  <si>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</si>
  <si>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</si>
  <si>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</si>
  <si>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</si>
  <si>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</si>
  <si>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</si>
  <si>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</si>
  <si>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</si>
  <si>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</si>
  <si>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</si>
  <si>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</si>
  <si>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</si>
  <si>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</si>
  <si>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 xml:space="preserve">   ISBE Form SD50-35/JA50-60 (05/18-version2)</t>
  </si>
  <si>
    <t>x</t>
  </si>
  <si>
    <t>Cook County</t>
  </si>
  <si>
    <t>6200 Lake Street</t>
  </si>
  <si>
    <t>Morton Grove</t>
  </si>
  <si>
    <t>bvoehringer@mgsd70.org</t>
  </si>
  <si>
    <t>Brad Voehringer</t>
  </si>
  <si>
    <t>847-965-6200</t>
  </si>
  <si>
    <t>847-965-6234</t>
  </si>
  <si>
    <t>X</t>
  </si>
  <si>
    <t>CliftonLarsonAllen LLP</t>
  </si>
  <si>
    <t>1301 W. 22nd Street, Suite 1100</t>
  </si>
  <si>
    <t>Oak Brook</t>
  </si>
  <si>
    <t>IL</t>
  </si>
  <si>
    <t>630-573-8600</t>
  </si>
  <si>
    <t>630-573-0798</t>
  </si>
  <si>
    <t>chuck.kozlik@CLAconnect.com</t>
  </si>
  <si>
    <t>065.041976</t>
  </si>
  <si>
    <t>Part C #20 - See findings in separately issued letter, Schedule of Findings and Responses.</t>
  </si>
  <si>
    <t>Tax School Bonds, Series 2016</t>
  </si>
  <si>
    <t>Niles Township Treasurer</t>
  </si>
  <si>
    <t>IL 60053</t>
  </si>
  <si>
    <t>Revenues line 107:  Education Fund - Other Local Sources - $202,665; Operations and Maintenance Fund - Other Local Sources - $56,568.</t>
  </si>
  <si>
    <t>Revenues line 130: Education Fund - Restricted State Grant - $750.</t>
  </si>
  <si>
    <t>Expenditures line 41:  Education Fund - Other Support Services - Pupils - Graduation and Science Olympiad costs - $ 10,573 (Purchased Services, Supplies, and Other objects.)</t>
  </si>
  <si>
    <t>Expenditures line 73: Education Fund -  Other Support Services - Purchased services - Residency - $6,530.</t>
  </si>
  <si>
    <t>OM-Support-Purchase</t>
  </si>
  <si>
    <t>ECO Clean Maintenance, Inc</t>
  </si>
  <si>
    <t>20-2540-300</t>
  </si>
  <si>
    <t>40-2550-300</t>
  </si>
  <si>
    <t>TR-Support-Purchase</t>
  </si>
  <si>
    <t>First Student</t>
  </si>
  <si>
    <t>Charles S. Kozlik, CPA</t>
  </si>
  <si>
    <t>Morton Grove SD 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</si>
</sst>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6">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quotePrefix="1"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7</xdr:row>
          <xdr:rowOff>161925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1096241</xdr:colOff>
          <xdr:row>4</xdr:row>
          <xdr:rowOff>13854</xdr:rowOff>
        </xdr:from>
        <xdr:to>
          <xdr:col>1</xdr:col>
          <xdr:colOff>2010641</xdr:colOff>
          <xdr:row>8</xdr:row>
          <xdr:rowOff>4329</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L31" sqref="L31"/>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2085</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5016070002</v>
      </c>
      <c r="B13" s="2037"/>
      <c r="C13" s="2037"/>
      <c r="D13" s="2037"/>
      <c r="E13" s="2037"/>
      <c r="F13" s="2037"/>
      <c r="G13" s="2037"/>
      <c r="H13" s="2038"/>
      <c r="I13" s="31"/>
      <c r="J13" s="30"/>
      <c r="K13" s="28"/>
      <c r="L13" s="30"/>
      <c r="M13" s="30"/>
      <c r="N13" s="30"/>
      <c r="O13" s="30"/>
      <c r="P13" s="30"/>
      <c r="Q13" s="30"/>
      <c r="R13" s="30"/>
      <c r="S13" s="30"/>
      <c r="T13" s="2041" t="s">
        <v>2086</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2078</v>
      </c>
      <c r="B15" s="2039"/>
      <c r="C15" s="2039"/>
      <c r="D15" s="2039"/>
      <c r="E15" s="2039"/>
      <c r="F15" s="2039"/>
      <c r="G15" s="2039"/>
      <c r="H15" s="2040"/>
      <c r="T15" s="2045" t="s">
        <v>2108</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2109</v>
      </c>
      <c r="B17" s="1996"/>
      <c r="C17" s="1996"/>
      <c r="D17" s="1996"/>
      <c r="E17" s="1996"/>
      <c r="F17" s="1996"/>
      <c r="G17" s="1996"/>
      <c r="H17" s="2021"/>
      <c r="T17" s="2052" t="s">
        <v>2087</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2079</v>
      </c>
      <c r="B19" s="1981"/>
      <c r="C19" s="1981"/>
      <c r="D19" s="1981"/>
      <c r="E19" s="1981"/>
      <c r="F19" s="1981"/>
      <c r="G19" s="1981"/>
      <c r="H19" s="1961"/>
      <c r="I19" s="30"/>
      <c r="J19" s="99"/>
      <c r="K19" s="40"/>
      <c r="L19" s="38"/>
      <c r="M19" s="112" t="s">
        <v>333</v>
      </c>
      <c r="P19" s="27"/>
      <c r="Q19" s="27"/>
      <c r="R19" s="27"/>
      <c r="S19" s="31"/>
      <c r="T19" s="2035" t="s">
        <v>2088</v>
      </c>
      <c r="U19" s="1960"/>
      <c r="V19" s="1960"/>
      <c r="W19" s="1961"/>
      <c r="X19" s="2050" t="s">
        <v>2089</v>
      </c>
      <c r="Y19" s="2051"/>
      <c r="Z19" s="2048">
        <v>60523</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2080</v>
      </c>
      <c r="B21" s="1960"/>
      <c r="C21" s="1960"/>
      <c r="D21" s="1960"/>
      <c r="E21" s="1960"/>
      <c r="F21" s="1960"/>
      <c r="G21" s="1960"/>
      <c r="H21" s="1961"/>
      <c r="I21" s="2015" t="s">
        <v>699</v>
      </c>
      <c r="J21" s="2010"/>
      <c r="K21" s="2010"/>
      <c r="L21" s="2010"/>
      <c r="M21" s="2010"/>
      <c r="N21" s="2010"/>
      <c r="O21" s="2010"/>
      <c r="P21" s="2010"/>
      <c r="Q21" s="2010"/>
      <c r="R21" s="2010"/>
      <c r="S21" s="2016"/>
      <c r="T21" s="2060" t="s">
        <v>2090</v>
      </c>
      <c r="U21" s="2061"/>
      <c r="V21" s="2061"/>
      <c r="W21" s="2061"/>
      <c r="X21" s="2066" t="s">
        <v>2091</v>
      </c>
      <c r="Y21" s="2067"/>
      <c r="Z21" s="2067"/>
      <c r="AA21" s="2068"/>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2081</v>
      </c>
      <c r="B23" s="2013"/>
      <c r="C23" s="2013"/>
      <c r="D23" s="2013"/>
      <c r="E23" s="2013"/>
      <c r="F23" s="2013"/>
      <c r="G23" s="2013"/>
      <c r="H23" s="2014"/>
      <c r="T23" s="2058" t="s">
        <v>2093</v>
      </c>
      <c r="U23" s="2059"/>
      <c r="V23" s="2059"/>
      <c r="W23" s="2059"/>
      <c r="X23" s="2063">
        <v>44469</v>
      </c>
      <c r="Y23" s="2064"/>
      <c r="Z23" s="2064"/>
      <c r="AA23" s="2065"/>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t="s">
        <v>2097</v>
      </c>
      <c r="B25" s="1960"/>
      <c r="C25" s="1960"/>
      <c r="D25" s="1960"/>
      <c r="E25" s="1960"/>
      <c r="F25" s="1960"/>
      <c r="G25" s="1960"/>
      <c r="H25" s="1961"/>
      <c r="I25" s="113"/>
      <c r="J25" s="1984"/>
      <c r="K25" s="1984"/>
      <c r="L25" s="1984"/>
      <c r="M25" s="1984"/>
      <c r="N25" s="1984"/>
      <c r="O25" s="1984"/>
      <c r="P25" s="1984"/>
      <c r="Q25" s="1984"/>
      <c r="R25" s="1984"/>
      <c r="S25" s="1985"/>
      <c r="T25" s="2055" t="s">
        <v>2092</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2085</v>
      </c>
      <c r="F29" s="141" t="s">
        <v>1383</v>
      </c>
      <c r="G29" s="114"/>
      <c r="I29" s="54"/>
      <c r="J29" s="102"/>
      <c r="K29" s="28" t="s">
        <v>597</v>
      </c>
      <c r="L29" s="148" t="s">
        <v>2085</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2085</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2085</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2082</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2081</v>
      </c>
      <c r="B40" s="1974"/>
      <c r="C40" s="1975"/>
      <c r="D40" s="1975"/>
      <c r="E40" s="1975"/>
      <c r="F40" s="1976"/>
      <c r="G40" s="1976"/>
      <c r="H40" s="1977"/>
      <c r="I40" s="1998"/>
      <c r="J40" s="1999"/>
      <c r="K40" s="1999"/>
      <c r="L40" s="1999"/>
      <c r="M40" s="1999"/>
      <c r="N40" s="1999"/>
      <c r="O40" s="1999"/>
      <c r="P40" s="1999"/>
      <c r="Q40" s="1999"/>
      <c r="R40" s="1999"/>
      <c r="S40" s="2000"/>
      <c r="T40" s="1998"/>
      <c r="U40" s="2062"/>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2083</v>
      </c>
      <c r="B42" s="1979"/>
      <c r="C42" s="1980"/>
      <c r="D42" s="1978" t="s">
        <v>2084</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2076</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ZS4D1D9hhDQ9lNodN0tB4uUecM57Uj4Rlg9NX1VbuKbji0gc3go0+49sqxJbWrb6v+uulu2DzZrlU6mrezz89g==" saltValue="g6elH7grUsNg9fsz5JkB1g=="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7" sqref="C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1904</v>
      </c>
      <c r="B2" s="1550" t="s">
        <v>2034</v>
      </c>
      <c r="C2" s="715" t="s">
        <v>1909</v>
      </c>
      <c r="D2" s="715" t="s">
        <v>1910</v>
      </c>
      <c r="E2" s="715" t="s">
        <v>1911</v>
      </c>
      <c r="F2" s="715" t="s">
        <v>1912</v>
      </c>
    </row>
    <row r="3" spans="1:6" ht="12" customHeight="1" x14ac:dyDescent="0.2">
      <c r="A3" s="2203"/>
      <c r="B3" s="1547"/>
      <c r="C3" s="1548"/>
      <c r="D3" s="1549" t="s">
        <v>274</v>
      </c>
      <c r="E3" s="1548"/>
      <c r="F3" s="1549" t="s">
        <v>275</v>
      </c>
    </row>
    <row r="4" spans="1:6" ht="13.7" customHeight="1" x14ac:dyDescent="0.2">
      <c r="A4" s="716" t="s">
        <v>1217</v>
      </c>
      <c r="B4" s="1771">
        <f>'Revenues 9-14'!C5</f>
        <v>8366414</v>
      </c>
      <c r="C4" s="1546">
        <v>4507865.53</v>
      </c>
      <c r="D4" s="1774">
        <f>B4-C4</f>
        <v>3858548.4699999997</v>
      </c>
      <c r="E4" s="1546">
        <v>8571154</v>
      </c>
      <c r="F4" s="1774">
        <f>E4-C4</f>
        <v>4063288.4699999997</v>
      </c>
    </row>
    <row r="5" spans="1:6" ht="13.7" customHeight="1" x14ac:dyDescent="0.2">
      <c r="A5" s="716" t="s">
        <v>925</v>
      </c>
      <c r="B5" s="1772">
        <f>'Revenues 9-14'!D5</f>
        <v>1076823</v>
      </c>
      <c r="C5" s="585">
        <v>580204.01</v>
      </c>
      <c r="D5" s="1775">
        <f t="shared" ref="D5:D18" si="0">B5-C5</f>
        <v>496618.99</v>
      </c>
      <c r="E5" s="585">
        <v>1103186</v>
      </c>
      <c r="F5" s="1775">
        <f>E5-C5</f>
        <v>522981.99</v>
      </c>
    </row>
    <row r="6" spans="1:6" ht="13.7" customHeight="1" x14ac:dyDescent="0.2">
      <c r="A6" s="716" t="s">
        <v>431</v>
      </c>
      <c r="B6" s="1772">
        <f>'Revenues 9-14'!E5</f>
        <v>366462</v>
      </c>
      <c r="C6" s="585">
        <v>190765.53</v>
      </c>
      <c r="D6" s="1775">
        <f t="shared" si="0"/>
        <v>175696.47</v>
      </c>
      <c r="E6" s="585">
        <v>362670</v>
      </c>
      <c r="F6" s="1775">
        <f t="shared" ref="F6:F18" si="1">E6-C6</f>
        <v>171904.47</v>
      </c>
    </row>
    <row r="7" spans="1:6" ht="13.7" customHeight="1" x14ac:dyDescent="0.2">
      <c r="A7" s="716" t="s">
        <v>157</v>
      </c>
      <c r="B7" s="1772">
        <f>'Revenues 9-14'!F5</f>
        <v>531388</v>
      </c>
      <c r="C7" s="585">
        <v>342982.6</v>
      </c>
      <c r="D7" s="1775">
        <f t="shared" si="0"/>
        <v>188405.40000000002</v>
      </c>
      <c r="E7" s="585">
        <v>652139</v>
      </c>
      <c r="F7" s="1775">
        <f t="shared" si="1"/>
        <v>309156.40000000002</v>
      </c>
    </row>
    <row r="8" spans="1:6" ht="13.7" customHeight="1" x14ac:dyDescent="0.2">
      <c r="A8" s="716" t="s">
        <v>1241</v>
      </c>
      <c r="B8" s="1772">
        <f>'Revenues 9-14'!G5</f>
        <v>276756</v>
      </c>
      <c r="C8" s="585">
        <v>51233.24</v>
      </c>
      <c r="D8" s="1775">
        <f t="shared" si="0"/>
        <v>225522.76</v>
      </c>
      <c r="E8" s="585">
        <v>97413</v>
      </c>
      <c r="F8" s="1775">
        <f t="shared" si="1"/>
        <v>46179.76</v>
      </c>
    </row>
    <row r="9" spans="1:6" ht="13.7" customHeight="1" x14ac:dyDescent="0.2">
      <c r="A9" s="716" t="s">
        <v>428</v>
      </c>
      <c r="B9" s="1772">
        <f>'Revenues 9-14'!H5</f>
        <v>0</v>
      </c>
      <c r="C9" s="585">
        <v>0</v>
      </c>
      <c r="D9" s="1775">
        <f t="shared" si="0"/>
        <v>0</v>
      </c>
      <c r="E9" s="585"/>
      <c r="F9" s="1775">
        <f t="shared" si="1"/>
        <v>0</v>
      </c>
    </row>
    <row r="10" spans="1:6" ht="13.7" customHeight="1" x14ac:dyDescent="0.2">
      <c r="A10" s="716" t="s">
        <v>427</v>
      </c>
      <c r="B10" s="1772">
        <f>'Revenues 9-14'!I5</f>
        <v>107923</v>
      </c>
      <c r="C10" s="585">
        <v>58152.2</v>
      </c>
      <c r="D10" s="1775">
        <f t="shared" si="0"/>
        <v>49770.8</v>
      </c>
      <c r="E10" s="585">
        <v>110569</v>
      </c>
      <c r="F10" s="1775">
        <f t="shared" si="1"/>
        <v>52416.800000000003</v>
      </c>
    </row>
    <row r="11" spans="1:6" x14ac:dyDescent="0.2">
      <c r="A11" s="716" t="s">
        <v>429</v>
      </c>
      <c r="B11" s="1772">
        <f>'Revenues 9-14'!J5</f>
        <v>60138</v>
      </c>
      <c r="C11" s="585">
        <v>23063.19</v>
      </c>
      <c r="D11" s="1775">
        <f t="shared" si="0"/>
        <v>37074.81</v>
      </c>
      <c r="E11" s="585">
        <v>43851</v>
      </c>
      <c r="F11" s="1775">
        <f t="shared" si="1"/>
        <v>20787.810000000001</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957351</v>
      </c>
      <c r="C13" s="585"/>
      <c r="D13" s="1775">
        <f t="shared" si="0"/>
        <v>957351</v>
      </c>
      <c r="E13" s="585"/>
      <c r="F13" s="1775">
        <f t="shared" si="1"/>
        <v>0</v>
      </c>
    </row>
    <row r="14" spans="1:6" ht="13.7" customHeight="1" x14ac:dyDescent="0.2">
      <c r="A14" s="716" t="s">
        <v>430</v>
      </c>
      <c r="B14" s="1772">
        <f>SUM('Revenues 9-14'!C7:D7,'Revenues 9-14'!F7:H7)</f>
        <v>0</v>
      </c>
      <c r="C14" s="585">
        <v>515791.81</v>
      </c>
      <c r="D14" s="1775">
        <f t="shared" si="0"/>
        <v>-515791.81</v>
      </c>
      <c r="E14" s="585">
        <v>980715</v>
      </c>
      <c r="F14" s="1775">
        <f t="shared" si="1"/>
        <v>464923.19</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v>51233.24</v>
      </c>
      <c r="D16" s="1775">
        <f t="shared" si="0"/>
        <v>-51233.24</v>
      </c>
      <c r="E16" s="585">
        <v>97413</v>
      </c>
      <c r="F16" s="1775">
        <f t="shared" si="1"/>
        <v>46179.76</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11743255</v>
      </c>
      <c r="C19" s="1773">
        <f>SUM(C4:C18)</f>
        <v>6321291.3500000006</v>
      </c>
      <c r="D19" s="1773">
        <f>SUM(D4:D18)</f>
        <v>5421963.6499999994</v>
      </c>
      <c r="E19" s="1773">
        <f>SUM(E4:E18)</f>
        <v>12019110</v>
      </c>
      <c r="F19" s="1773">
        <f>SUM(F4:F18)</f>
        <v>5697818.6499999994</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C28" colorId="8" zoomScale="110" zoomScaleNormal="110" workbookViewId="0">
      <selection activeCell="A34" sqref="A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2"/>
    </row>
    <row r="2" spans="1:7" ht="33.75" x14ac:dyDescent="0.2">
      <c r="A2" s="2229" t="s">
        <v>1904</v>
      </c>
      <c r="B2" s="2230"/>
      <c r="C2" s="1909" t="s">
        <v>2035</v>
      </c>
      <c r="D2" s="724" t="s">
        <v>2042</v>
      </c>
      <c r="E2" s="724" t="s">
        <v>2043</v>
      </c>
      <c r="F2" s="1909" t="s">
        <v>2036</v>
      </c>
    </row>
    <row r="3" spans="1:7" ht="15.75" customHeight="1" x14ac:dyDescent="0.2">
      <c r="A3" s="2231" t="s">
        <v>1176</v>
      </c>
      <c r="B3" s="2232"/>
      <c r="C3" s="2225"/>
      <c r="D3" s="2226"/>
      <c r="E3" s="2226"/>
      <c r="F3" s="2227"/>
    </row>
    <row r="4" spans="1:7" ht="12.75" customHeight="1" thickBot="1" x14ac:dyDescent="0.25">
      <c r="A4" s="2219" t="s">
        <v>651</v>
      </c>
      <c r="B4" s="2220"/>
      <c r="C4" s="581"/>
      <c r="D4" s="581"/>
      <c r="E4" s="581"/>
      <c r="F4" s="1777">
        <f>SUM(C4+D4)-E4</f>
        <v>0</v>
      </c>
    </row>
    <row r="5" spans="1:7" ht="15.75" customHeight="1" thickTop="1" x14ac:dyDescent="0.2">
      <c r="A5" s="2223" t="s">
        <v>1172</v>
      </c>
      <c r="B5" s="2218"/>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5" t="s">
        <v>652</v>
      </c>
      <c r="B15" s="2216"/>
      <c r="C15" s="1777">
        <f>SUM(C6:C14)</f>
        <v>0</v>
      </c>
      <c r="D15" s="1777">
        <f>SUM(D6:D14)</f>
        <v>0</v>
      </c>
      <c r="E15" s="1777">
        <f>SUM(E6:E14)</f>
        <v>0</v>
      </c>
      <c r="F15" s="1777">
        <f>SUM(F6:F14)</f>
        <v>0</v>
      </c>
      <c r="G15" s="552"/>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7"/>
      <c r="D17" s="585"/>
      <c r="E17" s="727"/>
      <c r="F17" s="1777">
        <f>SUM(C17+D17)-E17</f>
        <v>0</v>
      </c>
    </row>
    <row r="18" spans="1:11" ht="12.75" customHeight="1" thickTop="1" thickBot="1" x14ac:dyDescent="0.25">
      <c r="A18" s="2210" t="s">
        <v>6</v>
      </c>
      <c r="B18" s="2211"/>
      <c r="C18" s="727"/>
      <c r="D18" s="585"/>
      <c r="E18" s="727"/>
      <c r="F18" s="1777">
        <f>SUM(C18+D18)-E18</f>
        <v>0</v>
      </c>
    </row>
    <row r="19" spans="1:11" ht="12.75" customHeight="1" thickTop="1" thickBot="1" x14ac:dyDescent="0.25">
      <c r="A19" s="2210" t="s">
        <v>406</v>
      </c>
      <c r="B19" s="2211"/>
      <c r="C19" s="727"/>
      <c r="D19" s="585"/>
      <c r="E19" s="727"/>
      <c r="F19" s="1777">
        <f>SUM(C19+D19)-E19</f>
        <v>0</v>
      </c>
    </row>
    <row r="20" spans="1:11" ht="12.75" customHeight="1" thickTop="1" thickBot="1" x14ac:dyDescent="0.25">
      <c r="A20" s="2210" t="s">
        <v>468</v>
      </c>
      <c r="B20" s="2211"/>
      <c r="C20" s="727"/>
      <c r="D20" s="585"/>
      <c r="E20" s="727"/>
      <c r="F20" s="1777">
        <f>SUM(C20+D20)-E20</f>
        <v>0</v>
      </c>
    </row>
    <row r="21" spans="1:11" ht="14.25" thickTop="1" thickBot="1" x14ac:dyDescent="0.25">
      <c r="A21" s="2215" t="s">
        <v>653</v>
      </c>
      <c r="B21" s="2216"/>
      <c r="C21" s="1777">
        <f>SUM(C17:C20)</f>
        <v>0</v>
      </c>
      <c r="D21" s="1777">
        <f>SUM(D17:D20)</f>
        <v>0</v>
      </c>
      <c r="E21" s="1777">
        <f>SUM(E17:E20)</f>
        <v>0</v>
      </c>
      <c r="F21" s="1777">
        <f>SUM(F17:F20)</f>
        <v>0</v>
      </c>
      <c r="G21" s="552"/>
    </row>
    <row r="22" spans="1:11" ht="15.75" customHeight="1" thickTop="1" x14ac:dyDescent="0.2">
      <c r="A22" s="2217" t="s">
        <v>1174</v>
      </c>
      <c r="B22" s="2218"/>
      <c r="C22" s="2212"/>
      <c r="D22" s="2213"/>
      <c r="E22" s="2213"/>
      <c r="F22" s="2214"/>
    </row>
    <row r="23" spans="1:11" ht="13.5" thickBot="1" x14ac:dyDescent="0.25">
      <c r="A23" s="2219" t="s">
        <v>654</v>
      </c>
      <c r="B23" s="2220"/>
      <c r="C23" s="581"/>
      <c r="D23" s="581"/>
      <c r="E23" s="581"/>
      <c r="F23" s="1777">
        <f>SUM(C23+D23)-E23</f>
        <v>0</v>
      </c>
      <c r="G23" s="552"/>
    </row>
    <row r="24" spans="1:11" ht="15.75" customHeight="1" thickTop="1" x14ac:dyDescent="0.2">
      <c r="A24" s="2217" t="s">
        <v>1175</v>
      </c>
      <c r="B24" s="2218"/>
      <c r="C24" s="2212"/>
      <c r="D24" s="2213"/>
      <c r="E24" s="2213"/>
      <c r="F24" s="2214"/>
    </row>
    <row r="25" spans="1:11" ht="13.5" thickBot="1" x14ac:dyDescent="0.25">
      <c r="A25" s="2219" t="s">
        <v>655</v>
      </c>
      <c r="B25" s="2220"/>
      <c r="C25" s="581"/>
      <c r="D25" s="581"/>
      <c r="E25" s="581"/>
      <c r="F25" s="1777">
        <f>SUM(C25+D25)-E25</f>
        <v>0</v>
      </c>
      <c r="G25" s="552"/>
    </row>
    <row r="26" spans="1:11" ht="15.75" customHeight="1" thickTop="1" x14ac:dyDescent="0.2">
      <c r="A26" s="2223" t="s">
        <v>678</v>
      </c>
      <c r="B26" s="2218"/>
      <c r="C26" s="728"/>
      <c r="D26" s="728"/>
      <c r="E26" s="728"/>
      <c r="F26" s="729"/>
    </row>
    <row r="27" spans="1:11" ht="13.5" thickBot="1" x14ac:dyDescent="0.25">
      <c r="A27" s="2215" t="s">
        <v>1130</v>
      </c>
      <c r="B27" s="2216"/>
      <c r="C27" s="585"/>
      <c r="D27" s="585"/>
      <c r="E27" s="585"/>
      <c r="F27" s="1777">
        <f>SUM(C27+D27)-E27</f>
        <v>0</v>
      </c>
      <c r="G27" s="552"/>
    </row>
    <row r="28" spans="1:11" ht="7.5" customHeight="1" thickTop="1" x14ac:dyDescent="0.2">
      <c r="A28" s="594"/>
    </row>
    <row r="29" spans="1:11" ht="23.25" customHeight="1" x14ac:dyDescent="0.2">
      <c r="A29" s="2221" t="s">
        <v>603</v>
      </c>
      <c r="B29" s="2222"/>
      <c r="C29" s="730"/>
      <c r="D29" s="730"/>
      <c r="E29" s="730"/>
      <c r="F29" s="730"/>
      <c r="G29" s="730"/>
      <c r="H29" s="730"/>
      <c r="I29" s="730"/>
      <c r="J29" s="730"/>
    </row>
    <row r="30" spans="1:11" ht="33.75" x14ac:dyDescent="0.2">
      <c r="A30" s="1551" t="s">
        <v>1131</v>
      </c>
      <c r="B30" s="731" t="s">
        <v>1186</v>
      </c>
      <c r="C30" s="1910" t="s">
        <v>604</v>
      </c>
      <c r="D30" s="1910" t="s">
        <v>1771</v>
      </c>
      <c r="E30" s="1910" t="s">
        <v>2037</v>
      </c>
      <c r="F30" s="1910" t="s">
        <v>2038</v>
      </c>
      <c r="G30" s="1910" t="s">
        <v>2041</v>
      </c>
      <c r="H30" s="1910" t="s">
        <v>2039</v>
      </c>
      <c r="I30" s="1910" t="s">
        <v>2040</v>
      </c>
      <c r="J30" s="1911" t="s">
        <v>2</v>
      </c>
      <c r="K30" s="732"/>
    </row>
    <row r="31" spans="1:11" ht="12" customHeight="1" x14ac:dyDescent="0.2">
      <c r="A31" s="733" t="s">
        <v>2095</v>
      </c>
      <c r="B31" s="734">
        <v>42549</v>
      </c>
      <c r="C31" s="735">
        <v>2700000</v>
      </c>
      <c r="D31" s="736">
        <v>3</v>
      </c>
      <c r="E31" s="735">
        <v>2700000</v>
      </c>
      <c r="F31" s="735"/>
      <c r="G31" s="735"/>
      <c r="H31" s="735">
        <v>280000</v>
      </c>
      <c r="I31" s="1778">
        <f>((E31+F31)-H31)+G31</f>
        <v>2420000</v>
      </c>
      <c r="J31" s="735">
        <f>2420000-200569</f>
        <v>2219431</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2700000</v>
      </c>
      <c r="D49" s="746"/>
      <c r="E49" s="1778">
        <f t="shared" ref="E49:J49" si="2">SUM(E31:E48)</f>
        <v>2700000</v>
      </c>
      <c r="F49" s="1778">
        <f t="shared" si="2"/>
        <v>0</v>
      </c>
      <c r="G49" s="1778">
        <f t="shared" si="2"/>
        <v>0</v>
      </c>
      <c r="H49" s="1778">
        <f t="shared" si="2"/>
        <v>280000</v>
      </c>
      <c r="I49" s="1778">
        <f t="shared" si="2"/>
        <v>2420000</v>
      </c>
      <c r="J49" s="1778">
        <f t="shared" si="2"/>
        <v>2219431</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04" t="s">
        <v>605</v>
      </c>
      <c r="C52" s="2205"/>
      <c r="D52" s="2205"/>
      <c r="E52" s="750" t="s">
        <v>900</v>
      </c>
      <c r="F52" s="2206"/>
      <c r="G52" s="2207"/>
      <c r="H52" s="737"/>
      <c r="I52" s="737"/>
      <c r="J52" s="747"/>
    </row>
    <row r="53" spans="1:11" ht="11.25" customHeight="1" x14ac:dyDescent="0.2">
      <c r="A53" s="751" t="s">
        <v>969</v>
      </c>
      <c r="B53" s="752" t="s">
        <v>1008</v>
      </c>
      <c r="C53" s="747"/>
      <c r="D53" s="738"/>
      <c r="E53" s="750" t="s">
        <v>518</v>
      </c>
      <c r="F53" s="2208"/>
      <c r="G53" s="2209"/>
      <c r="H53" s="737"/>
      <c r="I53" s="737"/>
      <c r="J53" s="747"/>
    </row>
    <row r="54" spans="1:11" ht="11.25" customHeight="1" x14ac:dyDescent="0.2">
      <c r="A54" s="753" t="s">
        <v>970</v>
      </c>
      <c r="B54" s="748" t="s">
        <v>1009</v>
      </c>
      <c r="C54" s="747"/>
      <c r="D54" s="738"/>
      <c r="E54" s="750" t="s">
        <v>519</v>
      </c>
      <c r="F54" s="2208"/>
      <c r="G54" s="220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5" colorId="8" zoomScale="110" zoomScaleNormal="110" workbookViewId="0">
      <selection activeCell="H31" sqref="H31:K3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52"/>
      <c r="I1" s="761"/>
      <c r="J1" s="433"/>
    </row>
    <row r="2" spans="1:11" ht="26.25" x14ac:dyDescent="0.2">
      <c r="A2" s="2252" t="s">
        <v>1775</v>
      </c>
      <c r="B2" s="2253"/>
      <c r="C2" s="2253"/>
      <c r="D2" s="2253"/>
      <c r="E2" s="2254"/>
      <c r="F2" s="762" t="s">
        <v>960</v>
      </c>
      <c r="G2" s="763" t="s">
        <v>1772</v>
      </c>
      <c r="H2" s="763" t="s">
        <v>430</v>
      </c>
      <c r="I2" s="763" t="s">
        <v>1220</v>
      </c>
      <c r="J2" s="763" t="s">
        <v>1918</v>
      </c>
      <c r="K2" s="763" t="s">
        <v>140</v>
      </c>
    </row>
    <row r="3" spans="1:11" x14ac:dyDescent="0.2">
      <c r="A3" s="2255" t="s">
        <v>1697</v>
      </c>
      <c r="B3" s="2256"/>
      <c r="C3" s="2256"/>
      <c r="D3" s="2256"/>
      <c r="E3" s="2257"/>
      <c r="F3" s="764"/>
      <c r="G3" s="765"/>
      <c r="H3" s="765"/>
      <c r="I3" s="765"/>
      <c r="J3" s="766"/>
      <c r="K3" s="766"/>
    </row>
    <row r="4" spans="1:11" x14ac:dyDescent="0.2">
      <c r="A4" s="2258" t="s">
        <v>387</v>
      </c>
      <c r="B4" s="2259"/>
      <c r="C4" s="2259"/>
      <c r="D4" s="2259"/>
      <c r="E4" s="2205"/>
      <c r="F4" s="767"/>
      <c r="G4" s="768"/>
      <c r="H4" s="769"/>
      <c r="I4" s="768"/>
      <c r="J4" s="770"/>
      <c r="K4" s="770"/>
    </row>
    <row r="5" spans="1:11" x14ac:dyDescent="0.2">
      <c r="A5" s="2236" t="s">
        <v>1129</v>
      </c>
      <c r="B5" s="2237"/>
      <c r="C5" s="2237"/>
      <c r="D5" s="2237"/>
      <c r="E5" s="2238"/>
      <c r="F5" s="771" t="s">
        <v>903</v>
      </c>
      <c r="G5" s="772"/>
      <c r="H5" s="765">
        <f>515792+460589</f>
        <v>976381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6" t="s">
        <v>1919</v>
      </c>
      <c r="B10" s="2237"/>
      <c r="C10" s="2237"/>
      <c r="D10" s="2237"/>
      <c r="E10" s="2239"/>
      <c r="F10" s="784" t="s">
        <v>917</v>
      </c>
      <c r="G10" s="783"/>
      <c r="H10" s="785"/>
      <c r="I10" s="765"/>
      <c r="J10" s="766"/>
      <c r="K10" s="766"/>
    </row>
    <row r="11" spans="1:11" x14ac:dyDescent="0.2">
      <c r="A11" s="2236" t="s">
        <v>162</v>
      </c>
      <c r="B11" s="2237"/>
      <c r="C11" s="2237"/>
      <c r="D11" s="2237"/>
      <c r="E11" s="2238"/>
      <c r="F11" s="771" t="s">
        <v>907</v>
      </c>
      <c r="G11" s="772"/>
      <c r="H11" s="765"/>
      <c r="I11" s="765"/>
      <c r="J11" s="766"/>
      <c r="K11" s="774"/>
    </row>
    <row r="12" spans="1:11" ht="13.5" thickBot="1" x14ac:dyDescent="0.25">
      <c r="A12" s="2263" t="s">
        <v>961</v>
      </c>
      <c r="B12" s="2264"/>
      <c r="C12" s="2264"/>
      <c r="D12" s="2264"/>
      <c r="E12" s="2265"/>
      <c r="F12" s="1779"/>
      <c r="G12" s="1780">
        <f>SUM(G5:G11)</f>
        <v>0</v>
      </c>
      <c r="H12" s="1780">
        <f>SUM(H5:H11)</f>
        <v>976381</v>
      </c>
      <c r="I12" s="1780">
        <f>SUM(I5:I11)</f>
        <v>0</v>
      </c>
      <c r="J12" s="1780">
        <f>SUM(J5:J11)</f>
        <v>0</v>
      </c>
      <c r="K12" s="1780">
        <f>SUM(K5:K11)</f>
        <v>0</v>
      </c>
    </row>
    <row r="13" spans="1:11" ht="13.5" thickTop="1" x14ac:dyDescent="0.2">
      <c r="A13" s="2260" t="s">
        <v>388</v>
      </c>
      <c r="B13" s="2261"/>
      <c r="C13" s="2261"/>
      <c r="D13" s="2261"/>
      <c r="E13" s="2262"/>
      <c r="F13" s="786"/>
      <c r="G13" s="787"/>
      <c r="H13" s="788"/>
      <c r="I13" s="789"/>
      <c r="J13" s="789"/>
      <c r="K13" s="789"/>
    </row>
    <row r="14" spans="1:11" x14ac:dyDescent="0.2">
      <c r="A14" s="2243" t="s">
        <v>476</v>
      </c>
      <c r="B14" s="2243"/>
      <c r="C14" s="2243"/>
      <c r="D14" s="2243"/>
      <c r="E14" s="2244"/>
      <c r="F14" s="790" t="s">
        <v>909</v>
      </c>
      <c r="G14" s="783"/>
      <c r="H14" s="765">
        <v>976381</v>
      </c>
      <c r="I14" s="772"/>
      <c r="J14" s="774"/>
      <c r="K14" s="766"/>
    </row>
    <row r="15" spans="1:11" x14ac:dyDescent="0.2">
      <c r="A15" s="2237" t="s">
        <v>4</v>
      </c>
      <c r="B15" s="2237"/>
      <c r="C15" s="2237"/>
      <c r="D15" s="2237"/>
      <c r="E15" s="2238"/>
      <c r="F15" s="790" t="s">
        <v>910</v>
      </c>
      <c r="G15" s="772"/>
      <c r="H15" s="765"/>
      <c r="I15" s="765"/>
      <c r="J15" s="766"/>
      <c r="K15" s="766"/>
    </row>
    <row r="16" spans="1:11" x14ac:dyDescent="0.2">
      <c r="A16" s="2237" t="s">
        <v>316</v>
      </c>
      <c r="B16" s="2237"/>
      <c r="C16" s="2237"/>
      <c r="D16" s="2237"/>
      <c r="E16" s="2238"/>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45" t="s">
        <v>1915</v>
      </c>
      <c r="B19" s="2245"/>
      <c r="C19" s="2245"/>
      <c r="D19" s="2245"/>
      <c r="E19" s="2246"/>
      <c r="F19" s="790" t="s">
        <v>990</v>
      </c>
      <c r="G19" s="783"/>
      <c r="H19" s="783"/>
      <c r="I19" s="783"/>
      <c r="J19" s="766"/>
      <c r="K19" s="796"/>
    </row>
    <row r="20" spans="1:11" x14ac:dyDescent="0.2">
      <c r="A20" s="2247" t="s">
        <v>1920</v>
      </c>
      <c r="B20" s="2248"/>
      <c r="C20" s="2248"/>
      <c r="D20" s="2248"/>
      <c r="E20" s="2249"/>
      <c r="F20" s="790" t="s">
        <v>991</v>
      </c>
      <c r="G20" s="783"/>
      <c r="H20" s="783"/>
      <c r="I20" s="783"/>
      <c r="J20" s="766"/>
      <c r="K20" s="796"/>
    </row>
    <row r="21" spans="1:11" ht="13.5" thickBot="1" x14ac:dyDescent="0.25">
      <c r="A21" s="2266" t="s">
        <v>659</v>
      </c>
      <c r="B21" s="2266"/>
      <c r="C21" s="2266"/>
      <c r="D21" s="2266"/>
      <c r="E21" s="2266"/>
      <c r="F21" s="1781"/>
      <c r="G21" s="793"/>
      <c r="H21" s="797"/>
      <c r="I21" s="797"/>
      <c r="J21" s="1782">
        <f>SUM(J18:J20)</f>
        <v>0</v>
      </c>
      <c r="K21" s="794"/>
    </row>
    <row r="22" spans="1:11" ht="13.5" thickTop="1" x14ac:dyDescent="0.2">
      <c r="A22" s="2237" t="s">
        <v>1921</v>
      </c>
      <c r="B22" s="2237"/>
      <c r="C22" s="2237"/>
      <c r="D22" s="2237"/>
      <c r="E22" s="2238"/>
      <c r="F22" s="790" t="s">
        <v>917</v>
      </c>
      <c r="G22" s="783"/>
      <c r="H22" s="765"/>
      <c r="I22" s="765"/>
      <c r="J22" s="798"/>
      <c r="K22" s="766"/>
    </row>
    <row r="23" spans="1:11" ht="13.5" thickBot="1" x14ac:dyDescent="0.25">
      <c r="A23" s="2267" t="s">
        <v>962</v>
      </c>
      <c r="B23" s="2266"/>
      <c r="C23" s="2266"/>
      <c r="D23" s="2266"/>
      <c r="E23" s="2266"/>
      <c r="F23" s="1783"/>
      <c r="G23" s="1780">
        <f>SUM(G14:G16,G21,G22)</f>
        <v>0</v>
      </c>
      <c r="H23" s="1780">
        <f>SUM(H14:H16,H21,H22)</f>
        <v>976381</v>
      </c>
      <c r="I23" s="1780">
        <f>SUM(I14:I16,I21,I22)</f>
        <v>0</v>
      </c>
      <c r="J23" s="1780">
        <f>SUM(J14:J16,J21,J22)</f>
        <v>0</v>
      </c>
      <c r="K23" s="1780">
        <f>SUM(K14:K16,K21,K22)</f>
        <v>0</v>
      </c>
    </row>
    <row r="24" spans="1:11" ht="14.25" thickTop="1" thickBot="1" x14ac:dyDescent="0.25">
      <c r="A24" s="2267" t="s">
        <v>2023</v>
      </c>
      <c r="B24" s="2266"/>
      <c r="C24" s="2266"/>
      <c r="D24" s="2266"/>
      <c r="E24" s="2266"/>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0"/>
      <c r="I31" s="2241"/>
      <c r="J31" s="2241"/>
      <c r="K31" s="2241"/>
    </row>
    <row r="32" spans="1:11" x14ac:dyDescent="0.2">
      <c r="A32" s="810"/>
      <c r="B32" s="237"/>
      <c r="C32" s="237"/>
      <c r="D32" s="237"/>
      <c r="E32" s="806"/>
      <c r="F32" s="812" t="s">
        <v>561</v>
      </c>
      <c r="G32" s="765"/>
      <c r="H32" s="2242"/>
      <c r="I32" s="2241"/>
      <c r="J32" s="2241"/>
      <c r="K32" s="2241"/>
    </row>
    <row r="33" spans="1:11" ht="1.5" customHeight="1" x14ac:dyDescent="0.2">
      <c r="A33" s="813" t="s">
        <v>1231</v>
      </c>
      <c r="B33" s="364"/>
      <c r="C33" s="364"/>
      <c r="D33" s="364"/>
      <c r="E33" s="364"/>
      <c r="F33" s="364"/>
      <c r="G33" s="814"/>
      <c r="H33" s="2242"/>
      <c r="I33" s="2241"/>
      <c r="J33" s="2241"/>
      <c r="K33" s="2241"/>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8" sqref="F1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2032</v>
      </c>
      <c r="B1" s="2273"/>
      <c r="C1" s="2274"/>
      <c r="D1" s="827"/>
      <c r="E1" s="828"/>
      <c r="F1" s="828"/>
      <c r="G1" s="829"/>
      <c r="H1" s="830"/>
      <c r="I1" s="831"/>
      <c r="J1" s="2270"/>
      <c r="K1" s="2271"/>
      <c r="L1" s="2271"/>
    </row>
    <row r="2" spans="1:14" ht="69.75" customHeight="1" x14ac:dyDescent="0.2">
      <c r="A2" s="832" t="s">
        <v>1776</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185220</v>
      </c>
      <c r="D5" s="842"/>
      <c r="E5" s="842"/>
      <c r="F5" s="1782">
        <f>(C5+D5)-E5</f>
        <v>185220</v>
      </c>
      <c r="G5" s="838"/>
      <c r="H5" s="843"/>
      <c r="I5" s="843"/>
      <c r="J5" s="843"/>
      <c r="K5" s="794"/>
      <c r="L5" s="1791">
        <f>F5-K5</f>
        <v>185220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19215947</v>
      </c>
      <c r="D8" s="845">
        <v>6150</v>
      </c>
      <c r="E8" s="845"/>
      <c r="F8" s="1782">
        <f>(C8+D8)-E8</f>
        <v>19222097</v>
      </c>
      <c r="G8" s="844">
        <v>50</v>
      </c>
      <c r="H8" s="766">
        <v>6932989</v>
      </c>
      <c r="I8" s="766">
        <v>450439</v>
      </c>
      <c r="J8" s="766"/>
      <c r="K8" s="1791">
        <f>(H8+I8)-J8</f>
        <v>7383428</v>
      </c>
      <c r="L8" s="1791">
        <f>F8-K8</f>
        <v>11838669</v>
      </c>
    </row>
    <row r="9" spans="1:14" ht="14.25" thickTop="1" thickBot="1" x14ac:dyDescent="0.25">
      <c r="A9" s="779" t="s">
        <v>1181</v>
      </c>
      <c r="B9" s="841">
        <v>232</v>
      </c>
      <c r="C9" s="766"/>
      <c r="D9" s="766"/>
      <c r="E9" s="766"/>
      <c r="F9" s="1782">
        <f>(C9+D9)-E9</f>
        <v>0</v>
      </c>
      <c r="G9" s="844">
        <v>20</v>
      </c>
      <c r="H9" s="766">
        <v>0</v>
      </c>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v>0</v>
      </c>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1379210</v>
      </c>
      <c r="D12" s="845">
        <f>76440+39544</f>
        <v>115984</v>
      </c>
      <c r="E12" s="845"/>
      <c r="F12" s="1782">
        <f>(C12+D12)-E12</f>
        <v>1495194</v>
      </c>
      <c r="G12" s="844">
        <v>10</v>
      </c>
      <c r="H12" s="766">
        <v>899054</v>
      </c>
      <c r="I12" s="766">
        <f>56567+23180</f>
        <v>79747</v>
      </c>
      <c r="J12" s="766"/>
      <c r="K12" s="1791">
        <f>(H12+I12)-J12</f>
        <v>978801</v>
      </c>
      <c r="L12" s="1791">
        <f>F12-K12</f>
        <v>516393</v>
      </c>
    </row>
    <row r="13" spans="1:14" ht="14.25" thickTop="1" thickBot="1" x14ac:dyDescent="0.25">
      <c r="A13" s="849" t="s">
        <v>1184</v>
      </c>
      <c r="B13" s="841">
        <v>252</v>
      </c>
      <c r="C13" s="845">
        <v>2317279</v>
      </c>
      <c r="D13" s="845">
        <v>163076</v>
      </c>
      <c r="E13" s="845"/>
      <c r="F13" s="1782">
        <f>(C13+D13)-E13</f>
        <v>2480355</v>
      </c>
      <c r="G13" s="844">
        <v>5</v>
      </c>
      <c r="H13" s="766">
        <v>1767408</v>
      </c>
      <c r="I13" s="766">
        <f>218054+2782</f>
        <v>220836</v>
      </c>
      <c r="J13" s="766"/>
      <c r="K13" s="1791">
        <f>(H13+I13)-J13</f>
        <v>1988244</v>
      </c>
      <c r="L13" s="1791">
        <f>F13-K13</f>
        <v>492111</v>
      </c>
    </row>
    <row r="14" spans="1:14" ht="14.25" thickTop="1" thickBot="1" x14ac:dyDescent="0.25">
      <c r="A14" s="849" t="s">
        <v>1185</v>
      </c>
      <c r="B14" s="841">
        <v>253</v>
      </c>
      <c r="C14" s="766"/>
      <c r="D14" s="766"/>
      <c r="E14" s="766"/>
      <c r="F14" s="1782">
        <f>(C14+D14)-E14</f>
        <v>0</v>
      </c>
      <c r="G14" s="844">
        <v>3</v>
      </c>
      <c r="H14" s="766">
        <v>0</v>
      </c>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23097656</v>
      </c>
      <c r="D16" s="1782">
        <f>SUM(D3,D5:D6,D8:D10,D12:D15)</f>
        <v>285210</v>
      </c>
      <c r="E16" s="1782">
        <f>SUM(E3,E5:E6,E8:E10,E12:E15)</f>
        <v>0</v>
      </c>
      <c r="F16" s="1782">
        <f>SUM(F3,F5:F6,F8:F10,F12:F15)</f>
        <v>23382866</v>
      </c>
      <c r="G16" s="844"/>
      <c r="H16" s="1782">
        <f>SUM(H3,H6,H8:H10,H12:H14,)</f>
        <v>9599451</v>
      </c>
      <c r="I16" s="1782">
        <f>SUM(I3,I6,I8:I10,I12:I14,)</f>
        <v>751022</v>
      </c>
      <c r="J16" s="1782">
        <f>SUM(J3,J6,J8:J10,J12:J14,)</f>
        <v>0</v>
      </c>
      <c r="K16" s="1782">
        <f>(H16+I16)-J16</f>
        <v>10350473</v>
      </c>
      <c r="L16" s="1782">
        <f>F16-K16</f>
        <v>13032393</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751022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7" activePane="bottomLeft" state="frozen"/>
      <selection activeCell="A47" sqref="A47"/>
      <selection pane="bottomLeft" activeCell="D200" sqref="D20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1698</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11156520</v>
      </c>
      <c r="G8" s="866"/>
    </row>
    <row r="9" spans="1:7" x14ac:dyDescent="0.2">
      <c r="A9" s="870" t="s">
        <v>480</v>
      </c>
      <c r="B9" s="871" t="s">
        <v>1987</v>
      </c>
      <c r="C9" s="872"/>
      <c r="D9" s="870" t="s">
        <v>522</v>
      </c>
      <c r="E9" s="869"/>
      <c r="F9" s="1935">
        <f>'Expenditures 15-22'!K151</f>
        <v>843465</v>
      </c>
      <c r="G9" s="873"/>
    </row>
    <row r="10" spans="1:7" x14ac:dyDescent="0.2">
      <c r="A10" s="870" t="s">
        <v>520</v>
      </c>
      <c r="B10" s="871" t="s">
        <v>1988</v>
      </c>
      <c r="C10" s="872"/>
      <c r="D10" s="870" t="s">
        <v>522</v>
      </c>
      <c r="E10" s="869"/>
      <c r="F10" s="1935">
        <f>'Expenditures 15-22'!K174</f>
        <v>344851</v>
      </c>
      <c r="G10" s="873"/>
    </row>
    <row r="11" spans="1:7" x14ac:dyDescent="0.2">
      <c r="A11" s="870" t="s">
        <v>481</v>
      </c>
      <c r="B11" s="871" t="s">
        <v>1989</v>
      </c>
      <c r="C11" s="872"/>
      <c r="D11" s="870" t="s">
        <v>522</v>
      </c>
      <c r="E11" s="869"/>
      <c r="F11" s="1935">
        <f>'Expenditures 15-22'!K210</f>
        <v>917406</v>
      </c>
      <c r="G11" s="873"/>
    </row>
    <row r="12" spans="1:7" x14ac:dyDescent="0.2">
      <c r="A12" s="870" t="s">
        <v>482</v>
      </c>
      <c r="B12" s="871" t="s">
        <v>1990</v>
      </c>
      <c r="C12" s="872"/>
      <c r="D12" s="870" t="s">
        <v>522</v>
      </c>
      <c r="E12" s="869"/>
      <c r="F12" s="1935">
        <f>'Expenditures 15-22'!K295</f>
        <v>302269</v>
      </c>
      <c r="G12" s="873"/>
    </row>
    <row r="13" spans="1:7" x14ac:dyDescent="0.2">
      <c r="A13" s="870" t="s">
        <v>108</v>
      </c>
      <c r="B13" s="871" t="s">
        <v>1991</v>
      </c>
      <c r="C13" s="872"/>
      <c r="D13" s="870" t="s">
        <v>522</v>
      </c>
      <c r="E13" s="869"/>
      <c r="F13" s="1935">
        <f>'Expenditures 15-22'!K342</f>
        <v>51234</v>
      </c>
      <c r="G13" s="874"/>
    </row>
    <row r="14" spans="1:7" ht="12" customHeight="1" thickBot="1" x14ac:dyDescent="0.25">
      <c r="A14" s="1792"/>
      <c r="B14" s="1793"/>
      <c r="C14" s="1794"/>
      <c r="D14" s="1795" t="s">
        <v>522</v>
      </c>
      <c r="E14" s="1796" t="s">
        <v>1015</v>
      </c>
      <c r="F14" s="1797">
        <f>SUM(F8:F13)</f>
        <v>13615745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9-14'!D148,F148)</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62014</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4981</v>
      </c>
      <c r="G52" s="866"/>
    </row>
    <row r="53" spans="1:7" x14ac:dyDescent="0.2">
      <c r="A53" s="870" t="s">
        <v>479</v>
      </c>
      <c r="B53" s="870" t="s">
        <v>1551</v>
      </c>
      <c r="C53" s="890">
        <f>'Expenditures 15-22'!B102</f>
        <v>4000</v>
      </c>
      <c r="D53" s="889" t="str">
        <f>'Expenditures 15-22'!A102</f>
        <v>Total Payments to Other Govt Units</v>
      </c>
      <c r="E53" s="869"/>
      <c r="F53" s="1939">
        <f>'Expenditures 15-22'!K102</f>
        <v>1203855</v>
      </c>
      <c r="G53" s="866"/>
    </row>
    <row r="54" spans="1:7" x14ac:dyDescent="0.2">
      <c r="A54" s="870" t="s">
        <v>479</v>
      </c>
      <c r="B54" s="870" t="s">
        <v>1552</v>
      </c>
      <c r="C54" s="890" t="s">
        <v>1039</v>
      </c>
      <c r="D54" s="886" t="s">
        <v>1157</v>
      </c>
      <c r="E54" s="869"/>
      <c r="F54" s="1939">
        <f>'Expenditures 15-22'!G114</f>
        <v>149970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1992</v>
      </c>
      <c r="C57" s="890">
        <f>'Expenditures 15-22'!B139</f>
        <v>4000</v>
      </c>
      <c r="D57" s="888" t="str">
        <f>'Expenditures 15-22'!A139</f>
        <v>Total Payments to Other Govt Units</v>
      </c>
      <c r="E57" s="869"/>
      <c r="F57" s="1939">
        <f>'Expenditures 15-22'!K139</f>
        <v>0</v>
      </c>
      <c r="G57" s="866"/>
    </row>
    <row r="58" spans="1:7" x14ac:dyDescent="0.2">
      <c r="A58" s="870" t="s">
        <v>480</v>
      </c>
      <c r="B58" s="870" t="s">
        <v>1993</v>
      </c>
      <c r="C58" s="887" t="s">
        <v>1039</v>
      </c>
      <c r="D58" s="886" t="s">
        <v>1157</v>
      </c>
      <c r="E58" s="869"/>
      <c r="F58" s="1941">
        <f>'Expenditures 15-22'!G151</f>
        <v>84860</v>
      </c>
      <c r="G58" s="866"/>
    </row>
    <row r="59" spans="1:7" x14ac:dyDescent="0.2">
      <c r="A59" s="894" t="s">
        <v>480</v>
      </c>
      <c r="B59" s="857" t="s">
        <v>1994</v>
      </c>
      <c r="C59" s="895" t="s">
        <v>1039</v>
      </c>
      <c r="D59" s="857" t="s">
        <v>309</v>
      </c>
      <c r="F59" s="1942">
        <f>'Expenditures 15-22'!I151</f>
        <v>0</v>
      </c>
      <c r="G59" s="866"/>
    </row>
    <row r="60" spans="1:7" x14ac:dyDescent="0.2">
      <c r="A60" s="894" t="s">
        <v>520</v>
      </c>
      <c r="B60" s="857" t="s">
        <v>1995</v>
      </c>
      <c r="C60" s="895">
        <v>4000</v>
      </c>
      <c r="D60" s="857" t="s">
        <v>330</v>
      </c>
      <c r="F60" s="1940">
        <f>'Expenditures 15-22'!K160</f>
        <v>0</v>
      </c>
      <c r="G60" s="866"/>
    </row>
    <row r="61" spans="1:7" x14ac:dyDescent="0.2">
      <c r="A61" s="896" t="s">
        <v>520</v>
      </c>
      <c r="B61" s="896" t="s">
        <v>1996</v>
      </c>
      <c r="C61" s="897" t="str">
        <f>'Expenditures 15-22'!B170</f>
        <v>5300</v>
      </c>
      <c r="D61" s="898" t="s">
        <v>329</v>
      </c>
      <c r="E61" s="880"/>
      <c r="F61" s="1939">
        <f>'Expenditures 15-22'!K170</f>
        <v>280000</v>
      </c>
      <c r="G61" s="866"/>
    </row>
    <row r="62" spans="1:7" x14ac:dyDescent="0.2">
      <c r="A62" s="870" t="s">
        <v>481</v>
      </c>
      <c r="B62" s="870" t="s">
        <v>1997</v>
      </c>
      <c r="C62" s="887">
        <f>'Expenditures 15-22'!B185</f>
        <v>3000</v>
      </c>
      <c r="D62" s="877" t="s">
        <v>469</v>
      </c>
      <c r="E62" s="869"/>
      <c r="F62" s="1939">
        <f>'Expenditures 15-22'!K185-SUM('Expenditures 15-22'!G185,'Expenditures 15-22'!I185)</f>
        <v>0</v>
      </c>
      <c r="G62" s="866"/>
    </row>
    <row r="63" spans="1:7" x14ac:dyDescent="0.2">
      <c r="A63" s="870" t="s">
        <v>481</v>
      </c>
      <c r="B63" s="870" t="s">
        <v>1998</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1999</v>
      </c>
      <c r="C64" s="897" t="str">
        <f>'Expenditures 15-22'!B206</f>
        <v>5300</v>
      </c>
      <c r="D64" s="893" t="s">
        <v>329</v>
      </c>
      <c r="E64" s="869"/>
      <c r="F64" s="1939">
        <f>'Expenditures 15-22'!K206</f>
        <v>0</v>
      </c>
      <c r="G64" s="866"/>
    </row>
    <row r="65" spans="1:8" x14ac:dyDescent="0.2">
      <c r="A65" s="870" t="s">
        <v>481</v>
      </c>
      <c r="B65" s="870" t="s">
        <v>2000</v>
      </c>
      <c r="C65" s="887" t="s">
        <v>1039</v>
      </c>
      <c r="D65" s="886" t="s">
        <v>1157</v>
      </c>
      <c r="E65" s="869"/>
      <c r="F65" s="1939">
        <f>'Expenditures 15-22'!G210</f>
        <v>0</v>
      </c>
      <c r="G65" s="866"/>
    </row>
    <row r="66" spans="1:8" x14ac:dyDescent="0.2">
      <c r="A66" s="870" t="s">
        <v>481</v>
      </c>
      <c r="B66" s="870" t="s">
        <v>2001</v>
      </c>
      <c r="C66" s="887" t="s">
        <v>1039</v>
      </c>
      <c r="D66" s="886" t="s">
        <v>309</v>
      </c>
      <c r="E66" s="869"/>
      <c r="F66" s="1939">
        <f>'Expenditures 15-22'!I210</f>
        <v>0</v>
      </c>
      <c r="G66" s="866"/>
    </row>
    <row r="67" spans="1:8" x14ac:dyDescent="0.2">
      <c r="A67" s="870" t="s">
        <v>482</v>
      </c>
      <c r="B67" s="870" t="s">
        <v>2002</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2003</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2004</v>
      </c>
      <c r="C70" s="887">
        <f>'Expenditures 15-22'!B221</f>
        <v>1300</v>
      </c>
      <c r="D70" s="888" t="str">
        <f>'Expenditures 15-22'!A221</f>
        <v>Adult/Continuing Education Programs</v>
      </c>
      <c r="E70" s="869"/>
      <c r="F70" s="1939">
        <f>'Expenditures 15-22'!K221</f>
        <v>0</v>
      </c>
      <c r="G70" s="866"/>
    </row>
    <row r="71" spans="1:8" x14ac:dyDescent="0.2">
      <c r="A71" s="870" t="s">
        <v>482</v>
      </c>
      <c r="B71" s="870" t="s">
        <v>2005</v>
      </c>
      <c r="C71" s="887">
        <f>'Expenditures 15-22'!B224</f>
        <v>1600</v>
      </c>
      <c r="D71" s="888" t="str">
        <f>'Expenditures 15-22'!A224</f>
        <v>Summer School Programs</v>
      </c>
      <c r="E71" s="869"/>
      <c r="F71" s="1939">
        <f>'Expenditures 15-22'!K224</f>
        <v>1141</v>
      </c>
      <c r="G71" s="866"/>
    </row>
    <row r="72" spans="1:8" x14ac:dyDescent="0.2">
      <c r="A72" s="870" t="s">
        <v>482</v>
      </c>
      <c r="B72" s="870" t="s">
        <v>2006</v>
      </c>
      <c r="C72" s="887">
        <f>'Expenditures 15-22'!B280</f>
        <v>3000</v>
      </c>
      <c r="D72" s="877" t="s">
        <v>469</v>
      </c>
      <c r="E72" s="869"/>
      <c r="F72" s="1939">
        <f>'Expenditures 15-22'!K280</f>
        <v>32</v>
      </c>
      <c r="G72" s="866"/>
    </row>
    <row r="73" spans="1:8" x14ac:dyDescent="0.2">
      <c r="A73" s="870" t="s">
        <v>482</v>
      </c>
      <c r="B73" s="870" t="s">
        <v>2007</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2008</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2009</v>
      </c>
      <c r="E76" s="1796" t="s">
        <v>1015</v>
      </c>
      <c r="F76" s="1800">
        <f>SUM(F18:F74)</f>
        <v>1786853</v>
      </c>
      <c r="G76" s="866"/>
    </row>
    <row r="77" spans="1:8" s="894" customFormat="1" ht="12" customHeight="1" thickTop="1" thickBot="1" x14ac:dyDescent="0.25">
      <c r="A77" s="1801"/>
      <c r="B77" s="1798"/>
      <c r="C77" s="1794"/>
      <c r="D77" s="1799" t="s">
        <v>2010</v>
      </c>
      <c r="E77" s="1796"/>
      <c r="F77" s="1802">
        <f>(F14-F76)</f>
        <v>11828892</v>
      </c>
      <c r="G77" s="870"/>
    </row>
    <row r="78" spans="1:8" s="894" customFormat="1" ht="12" customHeight="1" thickTop="1" x14ac:dyDescent="0.2">
      <c r="A78" s="1803"/>
      <c r="B78" s="1798"/>
      <c r="C78" s="1794"/>
      <c r="D78" s="1799" t="s">
        <v>2056</v>
      </c>
      <c r="E78" s="1796"/>
      <c r="F78" s="899">
        <v>848.51</v>
      </c>
      <c r="G78" s="900"/>
      <c r="H78" s="870"/>
    </row>
    <row r="79" spans="1:8" s="894" customFormat="1" ht="12" customHeight="1" thickBot="1" x14ac:dyDescent="0.25">
      <c r="A79" s="1804"/>
      <c r="B79" s="1798"/>
      <c r="C79" s="1794"/>
      <c r="D79" s="1799" t="s">
        <v>2011</v>
      </c>
      <c r="E79" s="1796" t="s">
        <v>1015</v>
      </c>
      <c r="F79" s="1805">
        <f>IF(F78&gt;0,F77/F78," Complete Line 78")</f>
        <v>13940.780898280515</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111788</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155327</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158854</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47159</v>
      </c>
      <c r="G107" s="913"/>
    </row>
    <row r="108" spans="1:7" x14ac:dyDescent="0.2">
      <c r="A108" s="909" t="s">
        <v>479</v>
      </c>
      <c r="B108" s="909" t="s">
        <v>844</v>
      </c>
      <c r="C108" s="921">
        <f>'Revenues 9-14'!B145</f>
        <v>3360</v>
      </c>
      <c r="D108" s="912" t="str">
        <f>'Revenues 9-14'!A145</f>
        <v>State Free Lunch &amp; Breakfast</v>
      </c>
      <c r="E108" s="907"/>
      <c r="F108" s="1811">
        <f>'Revenues 9-14'!C145</f>
        <v>858</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561121</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85325</v>
      </c>
      <c r="G129" s="931"/>
    </row>
    <row r="130" spans="1:7" x14ac:dyDescent="0.2">
      <c r="A130" s="928" t="s">
        <v>689</v>
      </c>
      <c r="B130" s="928" t="s">
        <v>804</v>
      </c>
      <c r="C130" s="933">
        <v>4300</v>
      </c>
      <c r="D130" s="934" t="str">
        <f>'Revenues 9-14'!A211</f>
        <v>Total Title I</v>
      </c>
      <c r="E130" s="907"/>
      <c r="F130" s="1811">
        <f>SUM('Revenues 9-14'!C211,'Revenues 9-14'!D211,'Revenues 9-14'!F211,'Revenues 9-14'!G211)</f>
        <v>151578</v>
      </c>
      <c r="G130" s="931"/>
    </row>
    <row r="131" spans="1:7" x14ac:dyDescent="0.2">
      <c r="A131" s="928" t="s">
        <v>689</v>
      </c>
      <c r="B131" s="928" t="s">
        <v>805</v>
      </c>
      <c r="C131" s="933">
        <v>4400</v>
      </c>
      <c r="D131" s="934" t="str">
        <f>'Revenues 9-14'!A216</f>
        <v>Total Title IV</v>
      </c>
      <c r="E131" s="907"/>
      <c r="F131" s="1811">
        <f>SUM('Revenues 9-14'!C216,'Revenues 9-14'!D216,'Revenues 9-14'!F216,'Revenues 9-14'!G216)</f>
        <v>6006</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8717</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8717</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146</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17559</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15714</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c r="G175" s="928"/>
    </row>
    <row r="176" spans="1:7" x14ac:dyDescent="0.2">
      <c r="A176" s="1944" t="s">
        <v>685</v>
      </c>
      <c r="B176" s="1945" t="s">
        <v>2055</v>
      </c>
      <c r="C176" s="1946">
        <v>3300</v>
      </c>
      <c r="D176" s="1947" t="s">
        <v>2059</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2012</v>
      </c>
      <c r="E178" s="1809" t="s">
        <v>1015</v>
      </c>
      <c r="F178" s="1810">
        <f>SUM(F84:F136,F161:F176)</f>
        <v>1320152</v>
      </c>
    </row>
    <row r="179" spans="1:7" ht="12" customHeight="1" x14ac:dyDescent="0.2">
      <c r="A179" s="1792"/>
      <c r="B179" s="1806"/>
      <c r="C179" s="1807"/>
      <c r="D179" s="1808" t="s">
        <v>2013</v>
      </c>
      <c r="E179" s="1809"/>
      <c r="F179" s="1811">
        <f>'PCTC-OEPP 27-28'!F77-F178</f>
        <v>10508740</v>
      </c>
    </row>
    <row r="180" spans="1:7" ht="12" customHeight="1" x14ac:dyDescent="0.2">
      <c r="A180" s="1792"/>
      <c r="B180" s="1806"/>
      <c r="C180" s="1807"/>
      <c r="D180" s="1808" t="s">
        <v>1923</v>
      </c>
      <c r="E180" s="1809"/>
      <c r="F180" s="1811">
        <f>'Cap Outlay Deprec 26'!I18</f>
        <v>751022</v>
      </c>
    </row>
    <row r="181" spans="1:7" ht="12" customHeight="1" x14ac:dyDescent="0.2">
      <c r="A181" s="1792"/>
      <c r="B181" s="1806"/>
      <c r="C181" s="1807"/>
      <c r="D181" s="1808" t="s">
        <v>2014</v>
      </c>
      <c r="E181" s="1809"/>
      <c r="F181" s="1811">
        <f>F179+F180</f>
        <v>11259762</v>
      </c>
    </row>
    <row r="182" spans="1:7" ht="12" customHeight="1" x14ac:dyDescent="0.2">
      <c r="A182" s="1792"/>
      <c r="B182" s="1812"/>
      <c r="C182" s="1807"/>
      <c r="D182" s="1808" t="str">
        <f>D78</f>
        <v>9 Month ADA from District Average Daily Attendance/Prior General State Aid Inquiry 2017-2018</v>
      </c>
      <c r="E182" s="1809"/>
      <c r="F182" s="1813">
        <f>'PCTC-OEPP 27-28'!F78</f>
        <v>848.51</v>
      </c>
      <c r="G182" s="931"/>
    </row>
    <row r="183" spans="1:7" ht="12" customHeight="1" thickBot="1" x14ac:dyDescent="0.25">
      <c r="A183" s="1792"/>
      <c r="B183" s="1812"/>
      <c r="C183" s="1807"/>
      <c r="D183" s="1808" t="s">
        <v>2015</v>
      </c>
      <c r="E183" s="1809" t="s">
        <v>1626</v>
      </c>
      <c r="F183" s="1814">
        <f>F181/F182</f>
        <v>13270.040423801724</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6ahwpZtglzK9fA1XZSCMxOyvq2LDgdN6+8Q5V6Su4DeyiqmCQ1XL+iRlE2ywJBHCOt+/Cq2PHB1a5S+f48o7g==" saltValue="u9/GoMUnXYc28JyEO/5GTw=="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75" zoomScaleNormal="75" workbookViewId="0">
      <pane ySplit="16" topLeftCell="A17" activePane="bottomLeft" state="frozen"/>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1924</v>
      </c>
      <c r="B4" s="2290"/>
      <c r="C4" s="2290"/>
      <c r="D4" s="2290"/>
      <c r="E4" s="2290"/>
      <c r="F4" s="2290"/>
      <c r="G4" s="2291"/>
    </row>
    <row r="5" spans="1:7" x14ac:dyDescent="0.25">
      <c r="A5" s="2292"/>
      <c r="B5" s="2293"/>
      <c r="C5" s="2293"/>
      <c r="D5" s="2293"/>
      <c r="E5" s="2293"/>
      <c r="F5" s="2293"/>
      <c r="G5" s="2294"/>
    </row>
    <row r="6" spans="1:7" ht="18.75" x14ac:dyDescent="0.25">
      <c r="A6" s="1556" t="s">
        <v>1925</v>
      </c>
      <c r="B6" s="1557"/>
      <c r="C6" s="1557"/>
      <c r="D6" s="1557"/>
      <c r="E6" s="1557"/>
      <c r="F6" s="1557"/>
      <c r="G6" s="1558"/>
    </row>
    <row r="7" spans="1:7" ht="30.75" customHeight="1" x14ac:dyDescent="0.25">
      <c r="A7" s="2295" t="s">
        <v>2072</v>
      </c>
      <c r="B7" s="2296"/>
      <c r="C7" s="2296"/>
      <c r="D7" s="2296"/>
      <c r="E7" s="2296"/>
      <c r="F7" s="2296"/>
      <c r="G7" s="2297"/>
    </row>
    <row r="8" spans="1:7" ht="15.75" customHeight="1" x14ac:dyDescent="0.25">
      <c r="A8" s="2298" t="s">
        <v>2021</v>
      </c>
      <c r="B8" s="2299"/>
      <c r="C8" s="2299"/>
      <c r="D8" s="2299"/>
      <c r="E8" s="2299"/>
      <c r="F8" s="2299"/>
      <c r="G8" s="2300"/>
    </row>
    <row r="9" spans="1:7" ht="35.25" customHeight="1" x14ac:dyDescent="0.25">
      <c r="A9" s="2295" t="s">
        <v>2075</v>
      </c>
      <c r="B9" s="2296"/>
      <c r="C9" s="2296"/>
      <c r="D9" s="2296"/>
      <c r="E9" s="2296"/>
      <c r="F9" s="2296"/>
      <c r="G9" s="2297"/>
    </row>
    <row r="10" spans="1:7" ht="15" customHeight="1" x14ac:dyDescent="0.25">
      <c r="A10" s="1559" t="s">
        <v>1926</v>
      </c>
      <c r="B10" s="1560"/>
      <c r="C10" s="1560"/>
      <c r="D10" s="1560"/>
      <c r="E10" s="1560"/>
      <c r="F10" s="1560"/>
      <c r="G10" s="1561"/>
    </row>
    <row r="11" spans="1:7" ht="17.25" customHeight="1" x14ac:dyDescent="0.25">
      <c r="A11" s="2295" t="s">
        <v>2074</v>
      </c>
      <c r="B11" s="2296"/>
      <c r="C11" s="2296"/>
      <c r="D11" s="2296"/>
      <c r="E11" s="2296"/>
      <c r="F11" s="2296"/>
      <c r="G11" s="2297"/>
    </row>
    <row r="12" spans="1:7" ht="15" customHeight="1" x14ac:dyDescent="0.25">
      <c r="A12" s="1559" t="s">
        <v>1931</v>
      </c>
      <c r="B12" s="1560"/>
      <c r="C12" s="1560"/>
      <c r="D12" s="1560"/>
      <c r="E12" s="1560"/>
      <c r="F12" s="1560"/>
      <c r="G12" s="1561"/>
    </row>
    <row r="13" spans="1:7" ht="32.25" customHeight="1" x14ac:dyDescent="0.25">
      <c r="A13" s="2286" t="s">
        <v>1932</v>
      </c>
      <c r="B13" s="2287"/>
      <c r="C13" s="2287"/>
      <c r="D13" s="2287"/>
      <c r="E13" s="2287"/>
      <c r="F13" s="2287"/>
      <c r="G13" s="2288"/>
    </row>
    <row r="14" spans="1:7" x14ac:dyDescent="0.25">
      <c r="A14" s="1683" t="s">
        <v>1940</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1941</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c r="B17" s="1958"/>
      <c r="C17" s="1957"/>
      <c r="D17" s="1867"/>
      <c r="E17" s="1562">
        <f t="shared" ref="E17:E141" si="1">IF(D17&lt;=25000,D17,IF(D17&gt;25000,25000,0))</f>
        <v>0</v>
      </c>
      <c r="F17" s="1815">
        <f t="shared" si="0"/>
        <v>0</v>
      </c>
      <c r="G17" s="1816">
        <f>IF(F17=0,0,D17-F17)</f>
        <v>0</v>
      </c>
      <c r="H17" s="1669"/>
    </row>
    <row r="18" spans="1:8" x14ac:dyDescent="0.25">
      <c r="A18" s="1956"/>
      <c r="B18" s="1958"/>
      <c r="C18" s="1957"/>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956" t="s">
        <v>2102</v>
      </c>
      <c r="B19" s="1958" t="s">
        <v>2104</v>
      </c>
      <c r="C19" s="1957" t="s">
        <v>2103</v>
      </c>
      <c r="D19" s="1867">
        <v>94801.34</v>
      </c>
      <c r="E19" s="1562">
        <f t="shared" si="2"/>
        <v>25000</v>
      </c>
      <c r="F19" s="1815">
        <f t="shared" si="3"/>
        <v>25000</v>
      </c>
      <c r="G19" s="1816">
        <f t="shared" si="4"/>
        <v>69801.34</v>
      </c>
    </row>
    <row r="20" spans="1:8" x14ac:dyDescent="0.25">
      <c r="A20" s="1956" t="s">
        <v>2106</v>
      </c>
      <c r="B20" s="1958" t="s">
        <v>2105</v>
      </c>
      <c r="C20" s="1957" t="s">
        <v>2107</v>
      </c>
      <c r="D20" s="1867">
        <v>501226.41</v>
      </c>
      <c r="E20" s="1562">
        <f t="shared" si="2"/>
        <v>25000</v>
      </c>
      <c r="F20" s="1815">
        <f t="shared" si="3"/>
        <v>25000</v>
      </c>
      <c r="G20" s="1816">
        <f t="shared" si="4"/>
        <v>476226.41</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hidden="1" x14ac:dyDescent="0.25">
      <c r="A39" s="1675"/>
      <c r="B39" s="1689"/>
      <c r="C39" s="1676"/>
      <c r="D39" s="1867"/>
      <c r="E39" s="1562">
        <f t="shared" si="2"/>
        <v>0</v>
      </c>
      <c r="F39" s="1815">
        <f t="shared" si="3"/>
        <v>0</v>
      </c>
      <c r="G39" s="1816">
        <f t="shared" si="4"/>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hidden="1" x14ac:dyDescent="0.25">
      <c r="A133" s="1675"/>
      <c r="B133" s="1689"/>
      <c r="C133" s="1676"/>
      <c r="D133" s="1867"/>
      <c r="E133" s="1562">
        <f t="shared" si="23"/>
        <v>0</v>
      </c>
      <c r="F133" s="1815">
        <f t="shared" si="24"/>
        <v>0</v>
      </c>
      <c r="G133" s="1816">
        <f t="shared" si="25"/>
        <v>0</v>
      </c>
    </row>
    <row r="134" spans="1:7" hidden="1" x14ac:dyDescent="0.25">
      <c r="A134" s="1675"/>
      <c r="B134" s="1689"/>
      <c r="C134" s="1676"/>
      <c r="D134" s="1867"/>
      <c r="E134" s="1562">
        <f t="shared" si="23"/>
        <v>0</v>
      </c>
      <c r="F134" s="1815">
        <f t="shared" si="24"/>
        <v>0</v>
      </c>
      <c r="G134" s="1816">
        <f t="shared" si="25"/>
        <v>0</v>
      </c>
    </row>
    <row r="135" spans="1:7" hidden="1"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hidden="1" x14ac:dyDescent="0.25">
      <c r="A136" s="1675"/>
      <c r="B136" s="1689"/>
      <c r="C136" s="1676"/>
      <c r="D136" s="1867"/>
      <c r="E136" s="1562">
        <f t="shared" si="26"/>
        <v>0</v>
      </c>
      <c r="F136" s="1815">
        <f t="shared" si="27"/>
        <v>0</v>
      </c>
      <c r="G136" s="1816">
        <f t="shared" si="28"/>
        <v>0</v>
      </c>
    </row>
    <row r="137" spans="1:7" hidden="1" x14ac:dyDescent="0.25">
      <c r="A137" s="1675"/>
      <c r="B137" s="1689"/>
      <c r="C137" s="1676"/>
      <c r="D137" s="1867"/>
      <c r="E137" s="1562">
        <f t="shared" si="26"/>
        <v>0</v>
      </c>
      <c r="F137" s="1815">
        <f t="shared" si="27"/>
        <v>0</v>
      </c>
      <c r="G137" s="1816">
        <f t="shared" si="28"/>
        <v>0</v>
      </c>
    </row>
    <row r="138" spans="1:7" hidden="1" x14ac:dyDescent="0.25">
      <c r="A138" s="1675"/>
      <c r="B138" s="1689"/>
      <c r="C138" s="1676"/>
      <c r="D138" s="1867"/>
      <c r="E138" s="1562">
        <f t="shared" si="26"/>
        <v>0</v>
      </c>
      <c r="F138" s="1815">
        <f t="shared" si="27"/>
        <v>0</v>
      </c>
      <c r="G138" s="1816">
        <f t="shared" si="28"/>
        <v>0</v>
      </c>
    </row>
    <row r="139" spans="1:7" hidden="1" x14ac:dyDescent="0.25">
      <c r="A139" s="1675"/>
      <c r="B139" s="1689"/>
      <c r="C139" s="1676"/>
      <c r="D139" s="1867"/>
      <c r="E139" s="1562">
        <f t="shared" si="26"/>
        <v>0</v>
      </c>
      <c r="F139" s="1815">
        <f t="shared" si="27"/>
        <v>0</v>
      </c>
      <c r="G139" s="1816">
        <f t="shared" si="28"/>
        <v>0</v>
      </c>
    </row>
    <row r="140" spans="1:7" hidden="1"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596027.75</v>
      </c>
      <c r="E141" s="1563">
        <f t="shared" si="1"/>
        <v>25000</v>
      </c>
      <c r="F141" s="1817">
        <f>SUM(F17:F140)</f>
        <v>50000</v>
      </c>
      <c r="G141" s="1818">
        <f>SUM(G17:G140)</f>
        <v>546027.75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D40" sqref="D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1777</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f>+'Revenues 9-14'!C201</f>
        <v>85325</v>
      </c>
      <c r="F10" s="975"/>
      <c r="G10" s="976"/>
      <c r="H10" s="162"/>
      <c r="I10" s="162"/>
    </row>
    <row r="11" spans="1:9" s="669" customFormat="1" ht="22.5" customHeight="1" x14ac:dyDescent="0.2">
      <c r="A11" s="2306" t="s">
        <v>1943</v>
      </c>
      <c r="B11" s="2307"/>
      <c r="C11" s="2307"/>
      <c r="D11" s="2308"/>
      <c r="E11" s="978">
        <v>16249.38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7085060</v>
      </c>
      <c r="F19" s="1822"/>
      <c r="G19" s="1824">
        <f>'Expenditures 15-22'!K33-SUM('Expenditures 15-22'!G33,'Expenditures 15-22'!I33)+'Expenditures 15-22'!D229</f>
        <v>7085060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621181</v>
      </c>
      <c r="F21" s="1825"/>
      <c r="G21" s="1828">
        <f>'Expenditures 15-22'!K42-SUM('Expenditures 15-22'!G42,'Expenditures 15-22'!I42)+'Expenditures 15-22'!K120-SUM('Expenditures 15-22'!G120,'Expenditures 15-22'!I120)+'Expenditures 15-22'!K180-SUM('Expenditures 15-22'!G180,'Expenditures 15-22'!I180)+'Expenditures 15-22'!D238</f>
        <v>621181</v>
      </c>
      <c r="H21" s="988"/>
      <c r="I21" s="162"/>
    </row>
    <row r="22" spans="1:9" s="669" customFormat="1" ht="12" customHeight="1" x14ac:dyDescent="0.2">
      <c r="A22" s="995" t="s">
        <v>585</v>
      </c>
      <c r="B22" s="996"/>
      <c r="C22" s="994">
        <v>2200</v>
      </c>
      <c r="D22" s="1825"/>
      <c r="E22" s="1827">
        <f>'Expenditures 15-22'!K47-SUM('Expenditures 15-22'!G47,'Expenditures 15-22'!I47)+'Expenditures 15-22'!D243</f>
        <v>569425</v>
      </c>
      <c r="F22" s="1825"/>
      <c r="G22" s="1828">
        <f>'Expenditures 15-22'!K47-SUM('Expenditures 15-22'!G47,'Expenditures 15-22'!I47)+'Expenditures 15-22'!D243</f>
        <v>569425</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487978</v>
      </c>
      <c r="F23" s="1825"/>
      <c r="G23" s="1827">
        <f>'Expenditures 15-22'!K53-SUM('Expenditures 15-22'!G53,'Expenditures 15-22'!I53)+'Expenditures 15-22'!D257+'Expenditures 15-22'!K330-SUM('Expenditures 15-22'!G330,'Expenditures 15-22'!I330)</f>
        <v>487978</v>
      </c>
      <c r="H23" s="988"/>
      <c r="I23" s="162"/>
    </row>
    <row r="24" spans="1:9" s="669" customFormat="1" ht="12" customHeight="1" x14ac:dyDescent="0.2">
      <c r="A24" s="995" t="s">
        <v>587</v>
      </c>
      <c r="B24" s="996"/>
      <c r="C24" s="994">
        <v>2400</v>
      </c>
      <c r="D24" s="1825"/>
      <c r="E24" s="1827">
        <f>'Expenditures 15-22'!K57-SUM('Expenditures 15-22'!G57,'Expenditures 15-22'!I57)+'Expenditures 15-22'!D261</f>
        <v>759149</v>
      </c>
      <c r="F24" s="1825"/>
      <c r="G24" s="1828">
        <f>'Expenditures 15-22'!K57-SUM('Expenditures 15-22'!G57,'Expenditures 15-22'!I57)+'Expenditures 15-22'!D261</f>
        <v>759149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24473</v>
      </c>
      <c r="E26" s="1827">
        <f>'Expenditures 15-22'!K122-SUM('Expenditures 15-22'!G122,'Expenditures 15-22'!I122)+E7</f>
        <v>0</v>
      </c>
      <c r="F26" s="1827">
        <f>'Expenditures 15-22'!K59-SUM('Expenditures 15-22'!G59,'Expenditures 15-22'!I59)+'Expenditures 15-22'!D263-E7</f>
        <v>24473</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118347</v>
      </c>
      <c r="E27" s="1827">
        <f>E8</f>
        <v>0</v>
      </c>
      <c r="F27" s="1827">
        <f>'Expenditures 15-22'!K60-SUM('Expenditures 15-22'!G60,'Expenditures 15-22'!I60)+'Expenditures 15-22'!D264-E8</f>
        <v>118347</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851232</v>
      </c>
      <c r="F28" s="1829">
        <f>'Expenditures 15-22'!K61-SUM('Expenditures 15-22'!G61,'Expenditures 15-22'!I61)+'Expenditures 15-22'!K124-SUM('Expenditures 15-22'!G124,'Expenditures 15-22'!I124)+'Expenditures 15-22'!D266-E9</f>
        <v>851232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918255</v>
      </c>
      <c r="F29" s="1825"/>
      <c r="G29" s="1828">
        <f>'Expenditures 15-22'!K62-SUM('Expenditures 15-22'!G62,'Expenditures 15-22'!I62)+'Expenditures 15-22'!K125-SUM('Expenditures 15-22'!G125,'Expenditures 15-22'!I125)+'Expenditures 15-22'!K182-SUM('Expenditures 15-22'!G182,'Expenditures 15-22'!I182)+'Expenditures 15-22'!D267</f>
        <v>918255</v>
      </c>
      <c r="H29" s="986"/>
    </row>
    <row r="30" spans="1:9" ht="12" customHeight="1" x14ac:dyDescent="0.2">
      <c r="A30" s="995" t="s">
        <v>102</v>
      </c>
      <c r="B30" s="998"/>
      <c r="C30" s="994">
        <v>2560</v>
      </c>
      <c r="D30" s="1825"/>
      <c r="E30" s="1827">
        <f>'Expenditures 15-22'!K63-SUM('Expenditures 15-22'!G63,'Expenditures 15-22'!I63)+'Expenditures 15-22'!D268-E10</f>
        <v>209288</v>
      </c>
      <c r="F30" s="1825"/>
      <c r="G30" s="1827">
        <f>'Expenditures 15-22'!K63-SUM('Expenditures 15-22'!G63,'Expenditures 15-22'!I63)+'Expenditures 15-22'!D268-E10</f>
        <v>209288</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90953</v>
      </c>
      <c r="F35" s="1825"/>
      <c r="G35" s="1827">
        <f>'Expenditures 15-22'!K69-SUM('Expenditures 15-22'!G69,'Expenditures 15-22'!I69)+'Expenditures 15-22'!D274</f>
        <v>90953</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6530</v>
      </c>
      <c r="F38" s="1825"/>
      <c r="G38" s="1827">
        <f>'Expenditures 15-22'!K73-SUM('Expenditures 15-22'!G73,'Expenditures 15-22'!I73)+'Expenditures 15-22'!K128-SUM('Expenditures 15-22'!G128,'Expenditures 15-22'!I128)+'Expenditures 15-22'!K183-SUM('Expenditures 15-22'!G183,'Expenditures 15-22'!I183)+'Expenditures 15-22'!D278</f>
        <v>6530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5013</v>
      </c>
      <c r="F39" s="1825"/>
      <c r="G39" s="1827">
        <f>'Expenditures 15-22'!K75-SUM('Expenditures 15-22'!G75,'Expenditures 15-22'!I75)+'Expenditures 15-22'!K130-SUM('Expenditures 15-22'!G130,'Expenditures 15-22'!I130)+'Expenditures 15-22'!K185-SUM('Expenditures 15-22'!G185,'Expenditures 15-22'!I185)+'Expenditures 15-22'!D280</f>
        <v>5013</v>
      </c>
    </row>
    <row r="40" spans="1:7" ht="12" customHeight="1" x14ac:dyDescent="0.2">
      <c r="A40" s="991" t="s">
        <v>1929</v>
      </c>
      <c r="B40" s="992"/>
      <c r="C40" s="994"/>
      <c r="D40" s="1825"/>
      <c r="E40" s="1829">
        <f>-'Contracts Paid in CY 29'!G141</f>
        <v>-546027.75</v>
      </c>
      <c r="F40" s="1825"/>
      <c r="G40" s="1829">
        <f>-'Contracts Paid in CY 29'!G141</f>
        <v>-546027.75</v>
      </c>
    </row>
    <row r="41" spans="1:7" ht="12" customHeight="1" x14ac:dyDescent="0.2">
      <c r="A41" s="999" t="s">
        <v>158</v>
      </c>
      <c r="B41" s="1000"/>
      <c r="C41" s="1001"/>
      <c r="D41" s="1829">
        <f>SUM(D19:D39)</f>
        <v>142820</v>
      </c>
      <c r="E41" s="1829">
        <f>SUM(E19:E40)</f>
        <v>11058036.25</v>
      </c>
      <c r="F41" s="1829">
        <f>SUM(F19:F39)</f>
        <v>994052</v>
      </c>
      <c r="G41" s="1829">
        <f>SUM(G19:G40)</f>
        <v>10206804.25</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142820</v>
      </c>
      <c r="F43" s="1830" t="s">
        <v>495</v>
      </c>
      <c r="G43" s="1831">
        <f>F41</f>
        <v>994052</v>
      </c>
    </row>
    <row r="44" spans="1:7" ht="12" customHeight="1" x14ac:dyDescent="0.2">
      <c r="A44" s="988"/>
      <c r="B44" s="162"/>
      <c r="C44" s="1002"/>
      <c r="D44" s="1830" t="s">
        <v>494</v>
      </c>
      <c r="E44" s="1831">
        <f>E41</f>
        <v>11058036.25</v>
      </c>
      <c r="F44" s="1830" t="s">
        <v>494</v>
      </c>
      <c r="G44" s="1831">
        <f>G41</f>
        <v>10206804.25</v>
      </c>
    </row>
    <row r="45" spans="1:7" ht="12" customHeight="1" x14ac:dyDescent="0.2">
      <c r="A45" s="988"/>
      <c r="B45" s="162"/>
      <c r="C45" s="162"/>
      <c r="D45" s="1832" t="s">
        <v>1063</v>
      </c>
      <c r="E45" s="1833">
        <f>(E43/E44)</f>
        <v>1.291549392415855E-2</v>
      </c>
      <c r="F45" s="1832" t="s">
        <v>1063</v>
      </c>
      <c r="G45" s="1833">
        <f>(G43/G44)</f>
        <v>9.7391110444780007E-2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3" t="s">
        <v>1446</v>
      </c>
      <c r="B1" s="2323"/>
      <c r="C1" s="2323"/>
      <c r="D1" s="2323"/>
      <c r="E1" s="2323"/>
      <c r="F1" s="2323"/>
    </row>
    <row r="2" spans="1:10" x14ac:dyDescent="0.2">
      <c r="A2" s="1912" t="s">
        <v>2045</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24" t="s">
        <v>1627</v>
      </c>
      <c r="B5" s="2325"/>
      <c r="C5" s="2326"/>
      <c r="D5" s="2326"/>
      <c r="E5" s="2326"/>
      <c r="F5" s="2326"/>
    </row>
    <row r="6" spans="1:10" ht="12" customHeight="1" x14ac:dyDescent="0.25">
      <c r="A6" s="1875"/>
      <c r="B6" s="1876"/>
      <c r="C6" s="2327" t="str">
        <f>COVER!A17</f>
        <v>Morton Grove SD 70</v>
      </c>
      <c r="D6" s="2327"/>
      <c r="E6" s="2327"/>
      <c r="F6" s="1877"/>
    </row>
    <row r="7" spans="1:10" ht="11.25" customHeight="1" thickBot="1" x14ac:dyDescent="0.3">
      <c r="A7" s="1875"/>
      <c r="B7" s="1876"/>
      <c r="C7" s="2328">
        <f>COVER!A13</f>
        <v>5016070002</v>
      </c>
      <c r="D7" s="2328"/>
      <c r="E7" s="2328"/>
      <c r="F7" s="1877"/>
    </row>
    <row r="8" spans="1:10" ht="25.5" customHeight="1" thickBot="1" x14ac:dyDescent="0.25">
      <c r="A8" s="1918" t="s">
        <v>2022</v>
      </c>
      <c r="B8" s="1878"/>
      <c r="C8" s="1914" t="s">
        <v>1779</v>
      </c>
      <c r="D8" s="1913" t="s">
        <v>1780</v>
      </c>
      <c r="E8" s="1915" t="s">
        <v>1447</v>
      </c>
      <c r="F8" s="1913" t="s">
        <v>1781</v>
      </c>
      <c r="H8" s="1879" t="b">
        <v>0</v>
      </c>
    </row>
    <row r="9" spans="1:10" ht="15.75" customHeight="1" x14ac:dyDescent="0.2">
      <c r="A9" s="1880" t="s">
        <v>1623</v>
      </c>
      <c r="B9" s="1881"/>
      <c r="C9" s="1882"/>
      <c r="D9" s="1882"/>
      <c r="E9" s="1883"/>
      <c r="F9" s="1884"/>
    </row>
    <row r="10" spans="1:10" ht="27.75" customHeight="1" x14ac:dyDescent="0.2">
      <c r="A10" s="1885" t="s">
        <v>1778</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t="s">
        <v>2077</v>
      </c>
      <c r="D32" s="1890" t="s">
        <v>2077</v>
      </c>
      <c r="E32" s="1893"/>
      <c r="F32" s="1892" t="s">
        <v>2096</v>
      </c>
      <c r="H32" s="1903">
        <f t="shared" si="0"/>
        <v>5</v>
      </c>
      <c r="I32" s="1903">
        <f t="shared" si="1"/>
        <v>5</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0</v>
      </c>
      <c r="K34" s="1903">
        <f>SUM(H34:J34)</f>
        <v>10</v>
      </c>
    </row>
    <row r="35" spans="1:11" ht="12" customHeight="1" x14ac:dyDescent="0.2">
      <c r="A35" s="1896" t="s">
        <v>1459</v>
      </c>
      <c r="B35" s="1897"/>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8"/>
      <c r="B39" s="1898"/>
      <c r="C39" s="1898"/>
      <c r="D39" s="1898"/>
      <c r="E39" s="1898"/>
      <c r="F39" s="1898"/>
    </row>
    <row r="40" spans="1:11" s="1895" customFormat="1" ht="12" customHeight="1" x14ac:dyDescent="0.25">
      <c r="A40" s="1899" t="s">
        <v>1458</v>
      </c>
      <c r="B40" s="1900"/>
      <c r="C40" s="2318"/>
      <c r="D40" s="2318"/>
      <c r="E40" s="2318"/>
      <c r="F40" s="2319"/>
      <c r="H40" s="1904"/>
      <c r="I40" s="1904"/>
      <c r="J40" s="1904"/>
      <c r="K40" s="1904"/>
    </row>
    <row r="41" spans="1:11" s="1895" customFormat="1" ht="12" customHeight="1" x14ac:dyDescent="0.25">
      <c r="A41" s="2320"/>
      <c r="B41" s="2321"/>
      <c r="C41" s="2321"/>
      <c r="D41" s="2321"/>
      <c r="E41" s="2321"/>
      <c r="F41" s="2322"/>
      <c r="H41" s="1904"/>
      <c r="I41" s="1904"/>
      <c r="J41" s="1904"/>
      <c r="K41" s="1904"/>
    </row>
    <row r="42" spans="1:11" s="1895" customFormat="1" ht="12" customHeight="1" x14ac:dyDescent="0.25">
      <c r="A42" s="2320"/>
      <c r="B42" s="2321"/>
      <c r="C42" s="2321"/>
      <c r="D42" s="2321"/>
      <c r="E42" s="2321"/>
      <c r="F42" s="2322"/>
      <c r="H42" s="1904"/>
      <c r="I42" s="1904"/>
      <c r="J42" s="1904"/>
      <c r="K42" s="1904"/>
    </row>
    <row r="43" spans="1:11" s="1895" customFormat="1" ht="15" x14ac:dyDescent="0.25">
      <c r="A43" s="2309"/>
      <c r="B43" s="2310"/>
      <c r="C43" s="2310"/>
      <c r="D43" s="2310"/>
      <c r="E43" s="2310"/>
      <c r="F43" s="2311"/>
      <c r="H43" s="1904"/>
      <c r="I43" s="1904"/>
      <c r="J43" s="1904"/>
      <c r="K43" s="1904"/>
    </row>
    <row r="44" spans="1:11" s="1895" customFormat="1" ht="12" hidden="1" customHeight="1" x14ac:dyDescent="0.25">
      <c r="A44" s="2309"/>
      <c r="B44" s="2310"/>
      <c r="C44" s="2310"/>
      <c r="D44" s="2310"/>
      <c r="E44" s="2310"/>
      <c r="F44" s="231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26" sqref="I2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Morton Grove SD 70</v>
      </c>
      <c r="J6" s="2337"/>
      <c r="Q6" s="1686"/>
    </row>
    <row r="7" spans="1:17" x14ac:dyDescent="0.2">
      <c r="A7" s="2338" t="s">
        <v>924</v>
      </c>
      <c r="B7" s="2339"/>
      <c r="C7" s="2339"/>
      <c r="D7" s="2339"/>
      <c r="E7" s="2340"/>
      <c r="F7" s="1018"/>
      <c r="G7" s="1010"/>
      <c r="H7" s="1017" t="s">
        <v>390</v>
      </c>
      <c r="I7" s="2341">
        <f>COVER!A13</f>
        <v>5016070002</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274190</v>
      </c>
      <c r="F12" s="1040"/>
      <c r="G12" s="1834">
        <f t="shared" ref="G12:G18" si="0">SUM(E12:F12)</f>
        <v>274190</v>
      </c>
      <c r="H12" s="1041">
        <v>198224</v>
      </c>
      <c r="I12" s="1040"/>
      <c r="J12" s="1834">
        <f t="shared" ref="J12:J18" si="1">SUM(H12:I12)</f>
        <v>198224</v>
      </c>
    </row>
    <row r="13" spans="1:17" ht="15" customHeight="1" x14ac:dyDescent="0.2">
      <c r="A13" s="1036">
        <v>2</v>
      </c>
      <c r="B13" s="1037" t="s">
        <v>44</v>
      </c>
      <c r="C13" s="1038"/>
      <c r="D13" s="1039">
        <v>2330</v>
      </c>
      <c r="E13" s="1834">
        <f>'Expenditures 15-22'!K51</f>
        <v>30134</v>
      </c>
      <c r="F13" s="1040"/>
      <c r="G13" s="1834">
        <f t="shared" si="0"/>
        <v>30134</v>
      </c>
      <c r="H13" s="1041">
        <v>147978</v>
      </c>
      <c r="I13" s="1040"/>
      <c r="J13" s="1834">
        <f t="shared" si="1"/>
        <v>147978</v>
      </c>
    </row>
    <row r="14" spans="1:17" ht="15" customHeight="1" x14ac:dyDescent="0.2">
      <c r="A14" s="1036">
        <v>3</v>
      </c>
      <c r="B14" s="1037" t="s">
        <v>45</v>
      </c>
      <c r="C14" s="1038"/>
      <c r="D14" s="1042">
        <v>2490</v>
      </c>
      <c r="E14" s="1834">
        <f>'Expenditures 15-22'!K56</f>
        <v>0</v>
      </c>
      <c r="F14" s="1040"/>
      <c r="G14" s="1834">
        <f t="shared" si="0"/>
        <v>0</v>
      </c>
      <c r="H14" s="1041">
        <v>0</v>
      </c>
      <c r="I14" s="1040"/>
      <c r="J14" s="1834">
        <f t="shared" si="1"/>
        <v>0</v>
      </c>
    </row>
    <row r="15" spans="1:17" ht="15" customHeight="1" x14ac:dyDescent="0.2">
      <c r="A15" s="1036">
        <v>4</v>
      </c>
      <c r="B15" s="1037" t="s">
        <v>1128</v>
      </c>
      <c r="C15" s="1038"/>
      <c r="D15" s="1039">
        <v>2510</v>
      </c>
      <c r="E15" s="1834">
        <f>'Expenditures 15-22'!K59</f>
        <v>24473</v>
      </c>
      <c r="F15" s="1834">
        <f>'Expenditures 15-22'!K122</f>
        <v>0</v>
      </c>
      <c r="G15" s="1834">
        <f t="shared" si="0"/>
        <v>24473</v>
      </c>
      <c r="H15" s="1041">
        <v>22000</v>
      </c>
      <c r="I15" s="1041"/>
      <c r="J15" s="1834">
        <f t="shared" si="1"/>
        <v>22000</v>
      </c>
    </row>
    <row r="16" spans="1:17" ht="15" customHeight="1" x14ac:dyDescent="0.2">
      <c r="A16" s="1036">
        <v>5</v>
      </c>
      <c r="B16" s="1037" t="s">
        <v>103</v>
      </c>
      <c r="C16" s="1038"/>
      <c r="D16" s="1039">
        <v>2570</v>
      </c>
      <c r="E16" s="1834">
        <f>'Expenditures 15-22'!K64</f>
        <v>0</v>
      </c>
      <c r="F16" s="1040"/>
      <c r="G16" s="1834">
        <f t="shared" si="0"/>
        <v>0</v>
      </c>
      <c r="H16" s="1041">
        <v>0</v>
      </c>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v>0</v>
      </c>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328797</v>
      </c>
      <c r="F19" s="1836">
        <f t="shared" si="2"/>
        <v>0</v>
      </c>
      <c r="G19" s="1836">
        <f t="shared" si="2"/>
        <v>328797</v>
      </c>
      <c r="H19" s="1836">
        <f t="shared" si="2"/>
        <v>368202</v>
      </c>
      <c r="I19" s="1836">
        <f t="shared" si="2"/>
        <v>0</v>
      </c>
      <c r="J19" s="1836">
        <f t="shared" si="2"/>
        <v>368202</v>
      </c>
    </row>
    <row r="20" spans="1:10" ht="13.5" thickTop="1" x14ac:dyDescent="0.2">
      <c r="A20" s="1036">
        <v>9</v>
      </c>
      <c r="B20" s="2348" t="s">
        <v>1702</v>
      </c>
      <c r="C20" s="2348"/>
      <c r="D20" s="2349"/>
      <c r="E20" s="1047"/>
      <c r="F20" s="1047"/>
      <c r="G20" s="1047"/>
      <c r="H20" s="1047"/>
      <c r="I20" s="1047"/>
      <c r="J20" s="1837">
        <f>IF(AND(G19&gt;0,J19&gt;0),(((J19-G19)/G19)),"Enter Budget Data")</f>
        <v>0.11984598399620434</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1942</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E27" sqref="E2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2098</v>
      </c>
    </row>
    <row r="6" spans="1:2" x14ac:dyDescent="0.2">
      <c r="A6" s="1069">
        <v>2</v>
      </c>
      <c r="B6" s="329" t="s">
        <v>2099</v>
      </c>
    </row>
    <row r="7" spans="1:2" x14ac:dyDescent="0.2">
      <c r="A7" s="1069">
        <v>3</v>
      </c>
      <c r="B7" s="329" t="s">
        <v>2100</v>
      </c>
    </row>
    <row r="8" spans="1:2" x14ac:dyDescent="0.2">
      <c r="A8" s="1069">
        <v>4</v>
      </c>
      <c r="B8" s="329" t="s">
        <v>2101</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Morton Grove SD 70</v>
      </c>
    </row>
    <row r="65" spans="2:2" x14ac:dyDescent="0.2">
      <c r="B65" s="1071">
        <f>COVER!A13</f>
        <v>5016070002</v>
      </c>
    </row>
  </sheetData>
  <phoneticPr fontId="12" type="noConversion"/>
  <pageMargins left="0.2" right="0.2" top="1.17" bottom="0.75" header="0.19" footer="0.16"/>
  <pageSetup scale="78"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6" zoomScale="110" zoomScaleNormal="110" workbookViewId="0">
      <selection activeCell="I49" sqref="I4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1707</v>
      </c>
    </row>
    <row r="22" spans="1:5" x14ac:dyDescent="0.2">
      <c r="A22" s="168"/>
      <c r="B22" s="162" t="s">
        <v>1966</v>
      </c>
      <c r="C22" s="162" t="s">
        <v>1231</v>
      </c>
      <c r="D22" s="167" t="s">
        <v>1968</v>
      </c>
      <c r="E22" s="1859" t="s">
        <v>1708</v>
      </c>
    </row>
    <row r="23" spans="1:5" x14ac:dyDescent="0.2">
      <c r="A23" s="168"/>
      <c r="B23" s="162" t="s">
        <v>1967</v>
      </c>
      <c r="D23" s="167" t="s">
        <v>658</v>
      </c>
      <c r="E23" s="1859" t="s">
        <v>1016</v>
      </c>
    </row>
    <row r="24" spans="1:5" x14ac:dyDescent="0.2">
      <c r="A24" s="168" t="s">
        <v>1706</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1705</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D9" sqref="D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1782</v>
      </c>
    </row>
    <row r="17" spans="1:2" ht="6" customHeight="1" x14ac:dyDescent="0.2"/>
    <row r="18" spans="1:2" ht="24.75" customHeight="1" x14ac:dyDescent="0.2">
      <c r="A18" s="2355" t="s">
        <v>1783</v>
      </c>
      <c r="B18" s="2355"/>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7" dvAspect="DVASPECT_ICON" shapeId="35841" r:id="rId4">
          <objectPr defaultSize="0" r:id="rId5">
            <anchor moveWithCells="1">
              <from>
                <xdr:col>1</xdr:col>
                <xdr:colOff>0</xdr:colOff>
                <xdr:row>4</xdr:row>
                <xdr:rowOff>0</xdr:rowOff>
              </from>
              <to>
                <xdr:col>1</xdr:col>
                <xdr:colOff>914400</xdr:colOff>
                <xdr:row>7</xdr:row>
                <xdr:rowOff>161925</xdr:rowOff>
              </to>
            </anchor>
          </objectPr>
        </oleObject>
      </mc:Choice>
      <mc:Fallback>
        <oleObject progId="Acrobat.Document.2017" dvAspect="DVASPECT_ICON" shapeId="35841" r:id="rId4"/>
      </mc:Fallback>
    </mc:AlternateContent>
    <mc:AlternateContent xmlns:mc="http://schemas.openxmlformats.org/markup-compatibility/2006">
      <mc:Choice Requires="x14">
        <oleObject progId="Acrobat Document" dvAspect="DVASPECT_ICON" shapeId="35843" r:id="rId6">
          <objectPr defaultSize="0" autoPict="0" r:id="rId7">
            <anchor moveWithCells="1">
              <from>
                <xdr:col>1</xdr:col>
                <xdr:colOff>1095375</xdr:colOff>
                <xdr:row>4</xdr:row>
                <xdr:rowOff>9525</xdr:rowOff>
              </from>
              <to>
                <xdr:col>1</xdr:col>
                <xdr:colOff>2009775</xdr:colOff>
                <xdr:row>8</xdr:row>
                <xdr:rowOff>0</xdr:rowOff>
              </to>
            </anchor>
          </objectPr>
        </oleObject>
      </mc:Choice>
      <mc:Fallback>
        <oleObject progId="Acrobat Document" dvAspect="DVASPECT_ICON" shapeId="35843"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4" zoomScale="110" zoomScaleNormal="110" workbookViewId="0">
      <selection activeCell="F30" sqref="F3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1789</v>
      </c>
      <c r="B1" s="2357"/>
      <c r="C1" s="2357"/>
      <c r="D1" s="2357"/>
      <c r="E1" s="2357"/>
      <c r="F1" s="2358"/>
    </row>
    <row r="2" spans="1:8" ht="45" customHeight="1" x14ac:dyDescent="0.2">
      <c r="A2" s="2366" t="s">
        <v>1790</v>
      </c>
      <c r="B2" s="2367"/>
      <c r="C2" s="2367"/>
      <c r="D2" s="2367"/>
      <c r="E2" s="2367"/>
      <c r="F2" s="2368"/>
      <c r="G2" s="1075"/>
      <c r="H2" s="1075"/>
    </row>
    <row r="3" spans="1:8" ht="57" customHeight="1" x14ac:dyDescent="0.2">
      <c r="A3" s="2369" t="s">
        <v>1785</v>
      </c>
      <c r="B3" s="2370"/>
      <c r="C3" s="2370"/>
      <c r="D3" s="2370"/>
      <c r="E3" s="2370"/>
      <c r="F3" s="2371"/>
      <c r="G3" s="1075"/>
      <c r="H3" s="1075"/>
    </row>
    <row r="4" spans="1:8" ht="14.25" customHeight="1" x14ac:dyDescent="0.2">
      <c r="A4" s="2375" t="s">
        <v>2053</v>
      </c>
      <c r="B4" s="2376"/>
      <c r="C4" s="2376"/>
      <c r="D4" s="2376"/>
      <c r="E4" s="2376"/>
      <c r="F4" s="2377"/>
      <c r="G4" s="1075"/>
      <c r="H4" s="1075"/>
    </row>
    <row r="5" spans="1:8" ht="14.25" customHeight="1" x14ac:dyDescent="0.2">
      <c r="A5" s="2378" t="s">
        <v>2054</v>
      </c>
      <c r="B5" s="2379"/>
      <c r="C5" s="2379"/>
      <c r="D5" s="2379"/>
      <c r="E5" s="2379"/>
      <c r="F5" s="2380"/>
      <c r="G5" s="1075"/>
      <c r="H5" s="1075"/>
    </row>
    <row r="6" spans="1:8" s="1076" customFormat="1" ht="41.25" customHeight="1" x14ac:dyDescent="0.2">
      <c r="A6" s="2372" t="s">
        <v>1791</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11432761</v>
      </c>
      <c r="C8" s="1838">
        <f>'Acct Summary 7-8'!D8</f>
        <v>1165238</v>
      </c>
      <c r="D8" s="1838">
        <f>'Acct Summary 7-8'!F8</f>
        <v>1466922</v>
      </c>
      <c r="E8" s="1838">
        <f>'Acct Summary 7-8'!I8</f>
        <v>129439</v>
      </c>
      <c r="F8" s="1838">
        <f>SUM(B8:E8)</f>
        <v>14194360</v>
      </c>
    </row>
    <row r="9" spans="1:8" s="1080" customFormat="1" ht="14.25" customHeight="1" thickBot="1" x14ac:dyDescent="0.25">
      <c r="A9" s="1079" t="s">
        <v>1436</v>
      </c>
      <c r="B9" s="1839">
        <f>'Acct Summary 7-8'!C17</f>
        <v>11156520</v>
      </c>
      <c r="C9" s="1839">
        <f>'Acct Summary 7-8'!D17</f>
        <v>843465</v>
      </c>
      <c r="D9" s="1839">
        <f>'Acct Summary 7-8'!F17</f>
        <v>917406</v>
      </c>
      <c r="E9" s="1838"/>
      <c r="F9" s="1838">
        <f>SUM(B9:E9)</f>
        <v>12917391</v>
      </c>
    </row>
    <row r="10" spans="1:8" s="1080" customFormat="1" ht="14.25" thickTop="1" thickBot="1" x14ac:dyDescent="0.25">
      <c r="A10" s="1081" t="s">
        <v>1437</v>
      </c>
      <c r="B10" s="1840">
        <f>(B8-B9)</f>
        <v>276241</v>
      </c>
      <c r="C10" s="1840">
        <f>(C8-C9)</f>
        <v>321773</v>
      </c>
      <c r="D10" s="1840">
        <f>(D8-D9)</f>
        <v>549516</v>
      </c>
      <c r="E10" s="1839">
        <f>(E8-E9)</f>
        <v>129439</v>
      </c>
      <c r="F10" s="1841">
        <f>SUM(F8-F9)</f>
        <v>1276969</v>
      </c>
    </row>
    <row r="11" spans="1:8" s="1080" customFormat="1" ht="14.25" thickTop="1" thickBot="1" x14ac:dyDescent="0.25">
      <c r="A11" s="1082" t="s">
        <v>1784</v>
      </c>
      <c r="B11" s="1842">
        <f>'Acct Summary 7-8'!C81</f>
        <v>12306453</v>
      </c>
      <c r="C11" s="1842">
        <f>'Acct Summary 7-8'!D81</f>
        <v>1597709</v>
      </c>
      <c r="D11" s="1842">
        <f>'Acct Summary 7-8'!F81</f>
        <v>620745</v>
      </c>
      <c r="E11" s="1842">
        <f>'Acct Summary 7-8'!I81</f>
        <v>2792489</v>
      </c>
      <c r="F11" s="1843">
        <f>SUM(B11:E11)</f>
        <v>17317396</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1786</v>
      </c>
      <c r="B16" s="2359"/>
      <c r="C16" s="2359"/>
      <c r="D16" s="2359"/>
      <c r="E16" s="2359"/>
      <c r="F16" s="310" t="s">
        <v>1438</v>
      </c>
    </row>
    <row r="17" spans="1:6" hidden="1" x14ac:dyDescent="0.2">
      <c r="A17" s="316" t="s">
        <v>1787</v>
      </c>
      <c r="F17" s="1087"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1792</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90" t="s">
        <v>1796</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5016070002</v>
      </c>
    </row>
    <row r="3" spans="1:2" x14ac:dyDescent="0.2">
      <c r="A3" t="s">
        <v>1013</v>
      </c>
      <c r="B3" s="138" t="str">
        <f>COVER!A15</f>
        <v>Cook County</v>
      </c>
    </row>
    <row r="4" spans="1:2" x14ac:dyDescent="0.2">
      <c r="A4" t="s">
        <v>1064</v>
      </c>
      <c r="B4" s="138" t="str">
        <f>COVER!A17</f>
        <v>Morton Grove SD 70</v>
      </c>
    </row>
    <row r="5" spans="1:2" x14ac:dyDescent="0.2">
      <c r="A5" t="s">
        <v>728</v>
      </c>
      <c r="B5" s="138" t="str">
        <f>COVER!A38</f>
        <v>Brad Voehringer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065.041976</v>
      </c>
    </row>
    <row r="16" spans="1:2" x14ac:dyDescent="0.2">
      <c r="A16" t="s">
        <v>442</v>
      </c>
      <c r="B16" s="138" t="str">
        <f>COVER!T13</f>
        <v>CliftonLarsonAllen LLP</v>
      </c>
    </row>
    <row r="17" spans="1:2" x14ac:dyDescent="0.2">
      <c r="A17" t="s">
        <v>939</v>
      </c>
      <c r="B17" s="138" t="str">
        <f>COVER!T15</f>
        <v>Charles S. Kozlik, CPA</v>
      </c>
    </row>
    <row r="18" spans="1:2" x14ac:dyDescent="0.2">
      <c r="A18" t="s">
        <v>1212</v>
      </c>
      <c r="B18" s="138" t="str">
        <f>COVER!T17</f>
        <v>1301 W. 22nd Street, Suite 1100</v>
      </c>
    </row>
    <row r="19" spans="1:2" x14ac:dyDescent="0.2">
      <c r="A19" t="s">
        <v>941</v>
      </c>
      <c r="B19" s="138" t="str">
        <f>COVER!T25</f>
        <v>chuck.kozlik@CLAconnect.com</v>
      </c>
    </row>
    <row r="20" spans="1:2" x14ac:dyDescent="0.2">
      <c r="A20" t="s">
        <v>942</v>
      </c>
      <c r="B20" s="138" t="str">
        <f>COVER!T19</f>
        <v>Oak Brook</v>
      </c>
    </row>
    <row r="21" spans="1:2" x14ac:dyDescent="0.2">
      <c r="A21" t="s">
        <v>500</v>
      </c>
      <c r="B21" s="138" t="str">
        <f>COVER!X19</f>
        <v>IL</v>
      </c>
    </row>
    <row r="22" spans="1:2" x14ac:dyDescent="0.2">
      <c r="A22" t="s">
        <v>943</v>
      </c>
      <c r="B22" s="138">
        <f>COVER!Z19</f>
        <v>60523</v>
      </c>
    </row>
    <row r="23" spans="1:2" x14ac:dyDescent="0.2">
      <c r="A23" t="s">
        <v>1214</v>
      </c>
      <c r="B23" s="138" t="str">
        <f>COVER!T21</f>
        <v>630-573-8600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-1698304</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12306453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12306453</v>
      </c>
      <c r="D92" s="2" t="str">
        <f t="shared" si="0"/>
        <v>Error?</v>
      </c>
    </row>
    <row r="93" spans="1:4" x14ac:dyDescent="0.2">
      <c r="A93" s="5">
        <v>32</v>
      </c>
      <c r="B93" s="138">
        <f>'Assets-Liab 5-6'!C41</f>
        <v>12306453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1597709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1597709</v>
      </c>
      <c r="D123" s="2" t="str">
        <f t="shared" si="0"/>
        <v>Error?</v>
      </c>
    </row>
    <row r="124" spans="1:4" x14ac:dyDescent="0.2">
      <c r="A124" s="5">
        <v>63</v>
      </c>
      <c r="B124" s="138">
        <f>'Assets-Liab 5-6'!D41</f>
        <v>1597709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200569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200569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620745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620745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614374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614374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183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183</v>
      </c>
      <c r="D212" s="2" t="str">
        <f t="shared" si="2"/>
        <v>Error?</v>
      </c>
    </row>
    <row r="213" spans="1:4" x14ac:dyDescent="0.2">
      <c r="A213" s="12">
        <v>152</v>
      </c>
      <c r="B213" s="138">
        <f>'Assets-Liab 5-6'!H41</f>
        <v>183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185220</v>
      </c>
      <c r="D273" s="2" t="str">
        <f t="shared" si="3"/>
        <v>Error?</v>
      </c>
    </row>
    <row r="274" spans="1:4" x14ac:dyDescent="0.2">
      <c r="A274" s="5">
        <v>213</v>
      </c>
      <c r="B274" s="138">
        <f>'Assets-Liab 5-6'!M17</f>
        <v>11838669</v>
      </c>
      <c r="D274" s="2" t="str">
        <f t="shared" si="3"/>
        <v>Error?</v>
      </c>
    </row>
    <row r="275" spans="1:4" x14ac:dyDescent="0.2">
      <c r="A275" s="5">
        <v>214</v>
      </c>
      <c r="B275" s="138">
        <f>'Assets-Liab 5-6'!M18</f>
        <v>0</v>
      </c>
      <c r="D275" s="2" t="str">
        <f t="shared" si="3"/>
        <v>Error?</v>
      </c>
    </row>
    <row r="276" spans="1:4" x14ac:dyDescent="0.2">
      <c r="A276" s="5">
        <v>215</v>
      </c>
      <c r="B276" s="138">
        <f>'Assets-Liab 5-6'!M19</f>
        <v>1008504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13032393</v>
      </c>
      <c r="C279" s="2" t="s">
        <v>594</v>
      </c>
      <c r="D279" s="2" t="str">
        <f t="shared" si="3"/>
        <v>Error?</v>
      </c>
    </row>
    <row r="280" spans="1:4" x14ac:dyDescent="0.2">
      <c r="A280" s="5">
        <v>219</v>
      </c>
      <c r="B280" s="138">
        <f>'Assets-Liab 5-6'!M40</f>
        <v>13032393</v>
      </c>
      <c r="D280" s="2" t="str">
        <f t="shared" si="3"/>
        <v>Error?</v>
      </c>
    </row>
    <row r="281" spans="1:4" x14ac:dyDescent="0.2">
      <c r="A281" s="5">
        <v>220</v>
      </c>
      <c r="B281" s="138">
        <f>'Assets-Liab 5-6'!M41</f>
        <v>13032393</v>
      </c>
      <c r="C281" s="2" t="s">
        <v>594</v>
      </c>
      <c r="D281" s="2" t="str">
        <f t="shared" si="3"/>
        <v>Error?</v>
      </c>
    </row>
    <row r="282" spans="1:4" x14ac:dyDescent="0.2">
      <c r="A282" s="5">
        <v>221</v>
      </c>
      <c r="B282" s="138">
        <f>'Assets-Liab 5-6'!N21</f>
        <v>200569</v>
      </c>
      <c r="D282" s="2" t="str">
        <f t="shared" si="3"/>
        <v>Error?</v>
      </c>
    </row>
    <row r="283" spans="1:4" x14ac:dyDescent="0.2">
      <c r="A283" s="5">
        <v>222</v>
      </c>
      <c r="B283" s="138">
        <f>'Assets-Liab 5-6'!N22</f>
        <v>2219431</v>
      </c>
      <c r="D283" s="2" t="str">
        <f t="shared" si="3"/>
        <v>Error?</v>
      </c>
    </row>
    <row r="284" spans="1:4" x14ac:dyDescent="0.2">
      <c r="A284" s="5">
        <v>223</v>
      </c>
      <c r="B284" s="138">
        <f>'Assets-Liab 5-6'!N23</f>
        <v>2420000</v>
      </c>
      <c r="C284" s="2" t="s">
        <v>594</v>
      </c>
      <c r="D284" s="2" t="str">
        <f t="shared" si="3"/>
        <v>Error?</v>
      </c>
    </row>
    <row r="285" spans="1:4" x14ac:dyDescent="0.2">
      <c r="A285" s="5">
        <v>224</v>
      </c>
      <c r="B285" s="138">
        <f>'Assets-Liab 5-6'!N36</f>
        <v>2420000</v>
      </c>
      <c r="D285" s="2" t="str">
        <f t="shared" si="3"/>
        <v>Error?</v>
      </c>
    </row>
    <row r="286" spans="1:4" x14ac:dyDescent="0.2">
      <c r="A286" s="10">
        <v>225</v>
      </c>
      <c r="D286" s="2" t="str">
        <f t="shared" si="3"/>
        <v>OK</v>
      </c>
    </row>
    <row r="287" spans="1:4" x14ac:dyDescent="0.2">
      <c r="A287" s="5">
        <v>226</v>
      </c>
      <c r="B287" s="138">
        <f>'Assets-Liab 5-6'!N37</f>
        <v>2420000</v>
      </c>
      <c r="C287" s="2" t="s">
        <v>594</v>
      </c>
      <c r="D287" s="2" t="str">
        <f t="shared" si="3"/>
        <v>Error?</v>
      </c>
    </row>
    <row r="288" spans="1:4" x14ac:dyDescent="0.2">
      <c r="A288" s="5">
        <v>227</v>
      </c>
      <c r="B288" s="138">
        <f>'Assets-Liab 5-6'!N41</f>
        <v>2420000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4329526</v>
      </c>
      <c r="D705" s="2" t="str">
        <f t="shared" si="10"/>
        <v>Error?</v>
      </c>
    </row>
    <row r="706" spans="1:4" x14ac:dyDescent="0.2">
      <c r="A706" s="5">
        <v>645</v>
      </c>
      <c r="B706" s="138">
        <f>'Expenditures 15-22'!C16</f>
        <v>108575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354111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43998</v>
      </c>
      <c r="D718" s="2" t="str">
        <f t="shared" si="10"/>
        <v>Error?</v>
      </c>
    </row>
    <row r="719" spans="1:4" x14ac:dyDescent="0.2">
      <c r="A719" s="5">
        <v>658</v>
      </c>
      <c r="B719" s="138">
        <f>'Expenditures 15-22'!C15</f>
        <v>58880</v>
      </c>
      <c r="D719" s="2" t="str">
        <f t="shared" si="10"/>
        <v>Error?</v>
      </c>
    </row>
    <row r="720" spans="1:4" x14ac:dyDescent="0.2">
      <c r="A720" s="5">
        <v>659</v>
      </c>
      <c r="B720" s="138">
        <f>'Expenditures 15-22'!C33</f>
        <v>5942450</v>
      </c>
      <c r="C720" s="2" t="s">
        <v>594</v>
      </c>
      <c r="D720" s="2" t="str">
        <f t="shared" si="10"/>
        <v>Error?</v>
      </c>
    </row>
    <row r="721" spans="1:4" x14ac:dyDescent="0.2">
      <c r="A721" s="5">
        <v>660</v>
      </c>
      <c r="B721" s="138">
        <f>'Expenditures 15-22'!C36</f>
        <v>128237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52801</v>
      </c>
      <c r="D723" s="2" t="str">
        <f t="shared" si="10"/>
        <v>Error?</v>
      </c>
    </row>
    <row r="724" spans="1:4" x14ac:dyDescent="0.2">
      <c r="A724" s="5">
        <v>663</v>
      </c>
      <c r="B724" s="138">
        <f>'Expenditures 15-22'!C39</f>
        <v>154075</v>
      </c>
      <c r="D724" s="2" t="str">
        <f t="shared" si="10"/>
        <v>Error?</v>
      </c>
    </row>
    <row r="725" spans="1:4" x14ac:dyDescent="0.2">
      <c r="A725" s="5">
        <v>664</v>
      </c>
      <c r="B725" s="138">
        <f>'Expenditures 15-22'!C40</f>
        <v>169999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505112</v>
      </c>
      <c r="C727" s="2" t="s">
        <v>594</v>
      </c>
      <c r="D727" s="2" t="str">
        <f t="shared" si="10"/>
        <v>Error?</v>
      </c>
    </row>
    <row r="728" spans="1:4" x14ac:dyDescent="0.2">
      <c r="A728" s="5">
        <v>667</v>
      </c>
      <c r="B728" s="138">
        <f>'Expenditures 15-22'!C44</f>
        <v>5790</v>
      </c>
      <c r="D728" s="2" t="str">
        <f t="shared" si="10"/>
        <v>Error?</v>
      </c>
    </row>
    <row r="729" spans="1:4" x14ac:dyDescent="0.2">
      <c r="A729" s="5">
        <v>668</v>
      </c>
      <c r="B729" s="138">
        <f>'Expenditures 15-22'!C45</f>
        <v>360791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366581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216667</v>
      </c>
      <c r="D733" s="2" t="str">
        <f t="shared" si="10"/>
        <v>Error?</v>
      </c>
    </row>
    <row r="734" spans="1:4" x14ac:dyDescent="0.2">
      <c r="A734" s="5">
        <v>673</v>
      </c>
      <c r="B734" s="138">
        <f>'Expenditures 15-22'!C53</f>
        <v>237912</v>
      </c>
      <c r="C734" s="2" t="s">
        <v>594</v>
      </c>
      <c r="D734" s="2" t="str">
        <f t="shared" si="10"/>
        <v>Error?</v>
      </c>
    </row>
    <row r="735" spans="1:4" x14ac:dyDescent="0.2">
      <c r="A735" s="5">
        <v>674</v>
      </c>
      <c r="B735" s="138">
        <f>'Expenditures 15-22'!C55</f>
        <v>531672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531672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48077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135056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183133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1824410</v>
      </c>
      <c r="C755" s="2" t="s">
        <v>594</v>
      </c>
      <c r="D755" s="2" t="str">
        <f t="shared" si="10"/>
        <v>Error?</v>
      </c>
    </row>
    <row r="756" spans="1:4" x14ac:dyDescent="0.2">
      <c r="A756" s="5">
        <v>695</v>
      </c>
      <c r="B756" s="138">
        <f>'Expenditures 15-22'!C75</f>
        <v>2221</v>
      </c>
      <c r="D756" s="2" t="str">
        <f t="shared" si="10"/>
        <v>Error?</v>
      </c>
    </row>
    <row r="757" spans="1:4" x14ac:dyDescent="0.2">
      <c r="A757" s="5">
        <v>696</v>
      </c>
      <c r="B757" s="138">
        <f>'Expenditures 15-22'!C114</f>
        <v>7769081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592822</v>
      </c>
      <c r="D763" s="2" t="str">
        <f t="shared" si="10"/>
        <v>Error?</v>
      </c>
    </row>
    <row r="764" spans="1:4" x14ac:dyDescent="0.2">
      <c r="A764" s="5">
        <v>703</v>
      </c>
      <c r="B764" s="138">
        <f>'Expenditures 15-22'!D16</f>
        <v>20884</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46197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499</v>
      </c>
      <c r="D776" s="2" t="str">
        <f t="shared" si="11"/>
        <v>Error?</v>
      </c>
    </row>
    <row r="777" spans="1:4" x14ac:dyDescent="0.2">
      <c r="A777" s="5">
        <v>716</v>
      </c>
      <c r="B777" s="138">
        <f>'Expenditures 15-22'!D15</f>
        <v>826</v>
      </c>
      <c r="D777" s="2" t="str">
        <f t="shared" si="11"/>
        <v>Error?</v>
      </c>
    </row>
    <row r="778" spans="1:4" x14ac:dyDescent="0.2">
      <c r="A778" s="5">
        <v>717</v>
      </c>
      <c r="B778" s="138">
        <f>'Expenditures 15-22'!D33</f>
        <v>814102</v>
      </c>
      <c r="C778" s="2" t="s">
        <v>594</v>
      </c>
      <c r="D778" s="2" t="str">
        <f t="shared" si="11"/>
        <v>Error?</v>
      </c>
    </row>
    <row r="779" spans="1:4" x14ac:dyDescent="0.2">
      <c r="A779" s="5">
        <v>718</v>
      </c>
      <c r="B779" s="138">
        <f>'Expenditures 15-22'!D36</f>
        <v>23244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21219</v>
      </c>
      <c r="D782" s="2" t="str">
        <f t="shared" si="11"/>
        <v>Error?</v>
      </c>
    </row>
    <row r="783" spans="1:4" x14ac:dyDescent="0.2">
      <c r="A783" s="5">
        <v>722</v>
      </c>
      <c r="B783" s="138">
        <f>'Expenditures 15-22'!D40</f>
        <v>37908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82371</v>
      </c>
      <c r="C785" s="2" t="s">
        <v>594</v>
      </c>
      <c r="D785" s="2" t="str">
        <f t="shared" si="11"/>
        <v>Error?</v>
      </c>
    </row>
    <row r="786" spans="1:4" x14ac:dyDescent="0.2">
      <c r="A786" s="5">
        <v>725</v>
      </c>
      <c r="B786" s="138">
        <f>'Expenditures 15-22'!D44</f>
        <v>11655</v>
      </c>
      <c r="D786" s="2" t="str">
        <f t="shared" si="11"/>
        <v>Error?</v>
      </c>
    </row>
    <row r="787" spans="1:4" x14ac:dyDescent="0.2">
      <c r="A787" s="5">
        <v>726</v>
      </c>
      <c r="B787" s="138">
        <f>'Expenditures 15-22'!D45</f>
        <v>53867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65522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28554</v>
      </c>
      <c r="D791" s="2" t="str">
        <f t="shared" si="11"/>
        <v>Error?</v>
      </c>
    </row>
    <row r="792" spans="1:4" x14ac:dyDescent="0.2">
      <c r="A792" s="5">
        <v>731</v>
      </c>
      <c r="B792" s="138">
        <f>'Expenditures 15-22'!D53</f>
        <v>37443</v>
      </c>
      <c r="C792" s="2" t="s">
        <v>594</v>
      </c>
      <c r="D792" s="2" t="str">
        <f t="shared" si="11"/>
        <v>Error?</v>
      </c>
    </row>
    <row r="793" spans="1:4" x14ac:dyDescent="0.2">
      <c r="A793" s="5">
        <v>732</v>
      </c>
      <c r="B793" s="138">
        <f>'Expenditures 15-22'!D55</f>
        <v>103677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103677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1401</v>
      </c>
      <c r="D797" s="2" t="str">
        <f t="shared" si="11"/>
        <v>Error?</v>
      </c>
    </row>
    <row r="798" spans="1:4" x14ac:dyDescent="0.2">
      <c r="A798" s="5">
        <v>737</v>
      </c>
      <c r="B798" s="138">
        <f>'Expenditures 15-22'!D61</f>
        <v>1102</v>
      </c>
      <c r="D798" s="2" t="str">
        <f t="shared" si="11"/>
        <v>Error?</v>
      </c>
    </row>
    <row r="799" spans="1:4" x14ac:dyDescent="0.2">
      <c r="A799" s="5">
        <v>738</v>
      </c>
      <c r="B799" s="138">
        <f>'Expenditures 15-22'!D62</f>
        <v>551</v>
      </c>
      <c r="D799" s="2" t="str">
        <f t="shared" si="11"/>
        <v>Error?</v>
      </c>
    </row>
    <row r="800" spans="1:4" x14ac:dyDescent="0.2">
      <c r="A800" s="5">
        <v>739</v>
      </c>
      <c r="B800" s="138">
        <f>'Expenditures 15-22'!D63</f>
        <v>10994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14048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303061</v>
      </c>
      <c r="C813" s="2" t="s">
        <v>594</v>
      </c>
      <c r="D813" s="2" t="str">
        <f t="shared" si="11"/>
        <v>Error?</v>
      </c>
    </row>
    <row r="814" spans="1:4" x14ac:dyDescent="0.2">
      <c r="A814" s="5">
        <v>753</v>
      </c>
      <c r="B814" s="138">
        <f>'Expenditures 15-22'!D75</f>
        <v>33</v>
      </c>
      <c r="D814" s="2" t="str">
        <f t="shared" si="11"/>
        <v>Error?</v>
      </c>
    </row>
    <row r="815" spans="1:4" x14ac:dyDescent="0.2">
      <c r="A815" s="5">
        <v>754</v>
      </c>
      <c r="B815" s="138">
        <f>'Expenditures 15-22'!D114</f>
        <v>1117196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12495</v>
      </c>
      <c r="D821" s="2" t="str">
        <f t="shared" si="11"/>
        <v>Error?</v>
      </c>
    </row>
    <row r="822" spans="1:4" x14ac:dyDescent="0.2">
      <c r="A822" s="5">
        <v>761</v>
      </c>
      <c r="B822" s="138">
        <f>'Expenditures 15-22'!E16</f>
        <v>900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35152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437</v>
      </c>
      <c r="D839" s="2" t="str">
        <f t="shared" si="12"/>
        <v>Error?</v>
      </c>
    </row>
    <row r="840" spans="1:4" x14ac:dyDescent="0.2">
      <c r="A840" s="5">
        <v>779</v>
      </c>
      <c r="B840" s="138">
        <f>'Expenditures 15-22'!E39</f>
        <v>1388</v>
      </c>
      <c r="D840" s="2" t="str">
        <f t="shared" si="12"/>
        <v>Error?</v>
      </c>
    </row>
    <row r="841" spans="1:4" x14ac:dyDescent="0.2">
      <c r="A841" s="5">
        <v>780</v>
      </c>
      <c r="B841" s="138">
        <f>'Expenditures 15-22'!E40</f>
        <v>0</v>
      </c>
      <c r="D841" s="2" t="str">
        <f t="shared" si="12"/>
        <v>Error?</v>
      </c>
    </row>
    <row r="842" spans="1:4" x14ac:dyDescent="0.2">
      <c r="A842" s="5">
        <v>781</v>
      </c>
      <c r="B842" s="138">
        <f>'Expenditures 15-22'!E41</f>
        <v>5026</v>
      </c>
      <c r="D842" s="2" t="str">
        <f t="shared" si="12"/>
        <v>Error?</v>
      </c>
    </row>
    <row r="843" spans="1:4" x14ac:dyDescent="0.2">
      <c r="A843" s="5">
        <v>782</v>
      </c>
      <c r="B843" s="138">
        <f>'Expenditures 15-22'!E42</f>
        <v>6851</v>
      </c>
      <c r="C843" s="2" t="s">
        <v>594</v>
      </c>
      <c r="D843" s="2" t="str">
        <f t="shared" si="12"/>
        <v>Error?</v>
      </c>
    </row>
    <row r="844" spans="1:4" x14ac:dyDescent="0.2">
      <c r="A844" s="5">
        <v>783</v>
      </c>
      <c r="B844" s="138">
        <f>'Expenditures 15-22'!E44</f>
        <v>61458</v>
      </c>
      <c r="D844" s="2" t="str">
        <f t="shared" si="12"/>
        <v>Error?</v>
      </c>
    </row>
    <row r="845" spans="1:4" x14ac:dyDescent="0.2">
      <c r="A845" s="5">
        <v>784</v>
      </c>
      <c r="B845" s="138">
        <f>'Expenditures 15-22'!E45</f>
        <v>22574</v>
      </c>
      <c r="D845" s="2" t="str">
        <f t="shared" si="12"/>
        <v>Error?</v>
      </c>
    </row>
    <row r="846" spans="1:4" x14ac:dyDescent="0.2">
      <c r="A846" s="5">
        <v>785</v>
      </c>
      <c r="B846" s="138">
        <f>'Expenditures 15-22'!E46</f>
        <v>12765</v>
      </c>
      <c r="D846" s="2" t="str">
        <f t="shared" si="12"/>
        <v>Error?</v>
      </c>
    </row>
    <row r="847" spans="1:4" x14ac:dyDescent="0.2">
      <c r="A847" s="5">
        <v>786</v>
      </c>
      <c r="B847" s="138">
        <f>'Expenditures 15-22'!E47</f>
        <v>96797</v>
      </c>
      <c r="C847" s="2" t="s">
        <v>594</v>
      </c>
      <c r="D847" s="2" t="str">
        <f t="shared" si="12"/>
        <v>Error?</v>
      </c>
    </row>
    <row r="848" spans="1:4" x14ac:dyDescent="0.2">
      <c r="A848" s="5">
        <v>787</v>
      </c>
      <c r="B848" s="138">
        <f>'Expenditures 15-22'!E49</f>
        <v>112838</v>
      </c>
      <c r="D848" s="2" t="str">
        <f t="shared" si="12"/>
        <v>Error?</v>
      </c>
    </row>
    <row r="849" spans="1:4" x14ac:dyDescent="0.2">
      <c r="A849" s="5">
        <v>788</v>
      </c>
      <c r="B849" s="138">
        <f>'Expenditures 15-22'!E50</f>
        <v>18277</v>
      </c>
      <c r="D849" s="2" t="str">
        <f t="shared" si="12"/>
        <v>Error?</v>
      </c>
    </row>
    <row r="850" spans="1:4" x14ac:dyDescent="0.2">
      <c r="A850" s="5">
        <v>789</v>
      </c>
      <c r="B850" s="138">
        <f>'Expenditures 15-22'!E53</f>
        <v>131115</v>
      </c>
      <c r="C850" s="2" t="s">
        <v>594</v>
      </c>
      <c r="D850" s="2" t="str">
        <f t="shared" si="12"/>
        <v>Error?</v>
      </c>
    </row>
    <row r="851" spans="1:4" x14ac:dyDescent="0.2">
      <c r="A851" s="5">
        <v>790</v>
      </c>
      <c r="B851" s="138">
        <f>'Expenditures 15-22'!E55</f>
        <v>86616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86616</v>
      </c>
      <c r="C853" s="2" t="s">
        <v>594</v>
      </c>
      <c r="D853" s="2" t="str">
        <f t="shared" si="12"/>
        <v>Error?</v>
      </c>
    </row>
    <row r="854" spans="1:4" x14ac:dyDescent="0.2">
      <c r="A854" s="5">
        <v>793</v>
      </c>
      <c r="B854" s="138">
        <f>'Expenditures 15-22'!E59</f>
        <v>24473</v>
      </c>
      <c r="D854" s="2" t="str">
        <f t="shared" si="12"/>
        <v>Error?</v>
      </c>
    </row>
    <row r="855" spans="1:4" x14ac:dyDescent="0.2">
      <c r="A855" s="5">
        <v>794</v>
      </c>
      <c r="B855" s="138">
        <f>'Expenditures 15-22'!E60</f>
        <v>58681</v>
      </c>
      <c r="D855" s="2" t="str">
        <f t="shared" si="12"/>
        <v>Error?</v>
      </c>
    </row>
    <row r="856" spans="1:4" x14ac:dyDescent="0.2">
      <c r="A856" s="5">
        <v>795</v>
      </c>
      <c r="B856" s="138">
        <f>'Expenditures 15-22'!E61</f>
        <v>57769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20842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161765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90953</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90953</v>
      </c>
      <c r="C869" s="2" t="s">
        <v>594</v>
      </c>
      <c r="D869" s="2" t="str">
        <f t="shared" si="12"/>
        <v>Error?</v>
      </c>
    </row>
    <row r="870" spans="1:4" x14ac:dyDescent="0.2">
      <c r="A870" s="5">
        <v>809</v>
      </c>
      <c r="B870" s="138">
        <f>'Expenditures 15-22'!E73</f>
        <v>6530</v>
      </c>
      <c r="D870" s="2" t="str">
        <f t="shared" si="12"/>
        <v>Error?</v>
      </c>
    </row>
    <row r="871" spans="1:4" x14ac:dyDescent="0.2">
      <c r="A871" s="5">
        <v>810</v>
      </c>
      <c r="B871" s="138">
        <f>'Expenditures 15-22'!E74</f>
        <v>580627</v>
      </c>
      <c r="C871" s="2" t="s">
        <v>594</v>
      </c>
      <c r="D871" s="2" t="str">
        <f t="shared" si="12"/>
        <v>Error?</v>
      </c>
    </row>
    <row r="872" spans="1:4" x14ac:dyDescent="0.2">
      <c r="A872" s="5">
        <v>811</v>
      </c>
      <c r="B872" s="138">
        <f>'Expenditures 15-22'!E75</f>
        <v>1400</v>
      </c>
      <c r="D872" s="2" t="str">
        <f t="shared" si="12"/>
        <v>Error?</v>
      </c>
    </row>
    <row r="873" spans="1:4" x14ac:dyDescent="0.2">
      <c r="A873" s="5">
        <v>812</v>
      </c>
      <c r="B873" s="138">
        <f>'Expenditures 15-22'!E114</f>
        <v>622734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126192</v>
      </c>
      <c r="D879" s="2" t="str">
        <f t="shared" si="12"/>
        <v>Error?</v>
      </c>
    </row>
    <row r="880" spans="1:4" x14ac:dyDescent="0.2">
      <c r="A880" s="5">
        <v>819</v>
      </c>
      <c r="B880" s="138">
        <f>'Expenditures 15-22'!F16</f>
        <v>222</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442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2308</v>
      </c>
      <c r="D893" s="2" t="str">
        <f t="shared" si="12"/>
        <v>Error?</v>
      </c>
    </row>
    <row r="894" spans="1:4" x14ac:dyDescent="0.2">
      <c r="A894" s="5">
        <v>833</v>
      </c>
      <c r="B894" s="138">
        <f>'Expenditures 15-22'!F33</f>
        <v>140838</v>
      </c>
      <c r="C894" s="2" t="s">
        <v>594</v>
      </c>
      <c r="D894" s="2" t="str">
        <f t="shared" si="12"/>
        <v>Error?</v>
      </c>
    </row>
    <row r="895" spans="1:4" x14ac:dyDescent="0.2">
      <c r="A895" s="5">
        <v>834</v>
      </c>
      <c r="B895" s="138">
        <f>'Expenditures 15-22'!F36</f>
        <v>360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1061</v>
      </c>
      <c r="D897" s="2" t="str">
        <f t="shared" si="13"/>
        <v>Error?</v>
      </c>
    </row>
    <row r="898" spans="1:4" x14ac:dyDescent="0.2">
      <c r="A898" s="5">
        <v>837</v>
      </c>
      <c r="B898" s="138">
        <f>'Expenditures 15-22'!F39</f>
        <v>1697</v>
      </c>
      <c r="D898" s="2" t="str">
        <f t="shared" si="13"/>
        <v>Error?</v>
      </c>
    </row>
    <row r="899" spans="1:4" x14ac:dyDescent="0.2">
      <c r="A899" s="5">
        <v>838</v>
      </c>
      <c r="B899" s="138">
        <f>'Expenditures 15-22'!F40</f>
        <v>596</v>
      </c>
      <c r="D899" s="2" t="str">
        <f t="shared" si="13"/>
        <v>Error?</v>
      </c>
    </row>
    <row r="900" spans="1:4" x14ac:dyDescent="0.2">
      <c r="A900" s="5">
        <v>839</v>
      </c>
      <c r="B900" s="138">
        <f>'Expenditures 15-22'!F41</f>
        <v>2895</v>
      </c>
      <c r="D900" s="2" t="str">
        <f t="shared" si="13"/>
        <v>Error?</v>
      </c>
    </row>
    <row r="901" spans="1:4" x14ac:dyDescent="0.2">
      <c r="A901" s="5">
        <v>840</v>
      </c>
      <c r="B901" s="138">
        <f>'Expenditures 15-22'!F42</f>
        <v>6609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5433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5433</v>
      </c>
      <c r="C905" s="2" t="s">
        <v>594</v>
      </c>
      <c r="D905" s="2" t="str">
        <f t="shared" si="13"/>
        <v>Error?</v>
      </c>
    </row>
    <row r="906" spans="1:4" x14ac:dyDescent="0.2">
      <c r="A906" s="5">
        <v>845</v>
      </c>
      <c r="B906" s="138">
        <f>'Expenditures 15-22'!F49</f>
        <v>1281</v>
      </c>
      <c r="D906" s="2" t="str">
        <f t="shared" si="13"/>
        <v>Error?</v>
      </c>
    </row>
    <row r="907" spans="1:4" x14ac:dyDescent="0.2">
      <c r="A907" s="5">
        <v>846</v>
      </c>
      <c r="B907" s="138">
        <f>'Expenditures 15-22'!F50</f>
        <v>2663</v>
      </c>
      <c r="D907" s="2" t="str">
        <f t="shared" si="13"/>
        <v>Error?</v>
      </c>
    </row>
    <row r="908" spans="1:4" x14ac:dyDescent="0.2">
      <c r="A908" s="5">
        <v>847</v>
      </c>
      <c r="B908" s="138">
        <f>'Expenditures 15-22'!F53</f>
        <v>3944</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105203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105203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121189</v>
      </c>
      <c r="C929" s="2" t="s">
        <v>594</v>
      </c>
      <c r="D929" s="2" t="str">
        <f t="shared" si="13"/>
        <v>Error?</v>
      </c>
    </row>
    <row r="930" spans="1:4" x14ac:dyDescent="0.2">
      <c r="A930" s="5">
        <v>869</v>
      </c>
      <c r="B930" s="138">
        <f>'Expenditures 15-22'!F75</f>
        <v>1327</v>
      </c>
      <c r="D930" s="2" t="str">
        <f t="shared" si="13"/>
        <v>Error?</v>
      </c>
    </row>
    <row r="931" spans="1:4" x14ac:dyDescent="0.2">
      <c r="A931" s="5">
        <v>870</v>
      </c>
      <c r="B931" s="138">
        <f>'Expenditures 15-22'!F114</f>
        <v>263354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3720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3720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30044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30044</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5066</v>
      </c>
      <c r="D965" s="2" t="str">
        <f t="shared" si="14"/>
        <v>Error?</v>
      </c>
    </row>
    <row r="966" spans="1:4" x14ac:dyDescent="0.2">
      <c r="A966" s="5">
        <v>905</v>
      </c>
      <c r="B966" s="138">
        <f>'Expenditures 15-22'!G53</f>
        <v>5066</v>
      </c>
      <c r="C966" s="2" t="s">
        <v>594</v>
      </c>
      <c r="D966" s="2" t="str">
        <f t="shared" si="14"/>
        <v>Error?</v>
      </c>
    </row>
    <row r="967" spans="1:4" x14ac:dyDescent="0.2">
      <c r="A967" s="5">
        <v>906</v>
      </c>
      <c r="B967" s="138">
        <f>'Expenditures 15-22'!G55</f>
        <v>685</v>
      </c>
      <c r="D967" s="2" t="str">
        <f t="shared" si="14"/>
        <v>Error?</v>
      </c>
    </row>
    <row r="968" spans="1:4" x14ac:dyDescent="0.2">
      <c r="A968" s="5">
        <v>907</v>
      </c>
      <c r="B968" s="138">
        <f>'Expenditures 15-22'!G56</f>
        <v>0</v>
      </c>
      <c r="D968" s="2" t="str">
        <f t="shared" si="14"/>
        <v>Error?</v>
      </c>
    </row>
    <row r="969" spans="1:4" x14ac:dyDescent="0.2">
      <c r="A969" s="5">
        <v>908</v>
      </c>
      <c r="B969" s="138">
        <f>'Expenditures 15-22'!G57</f>
        <v>685</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110455</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110455</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146250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149970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10276</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17281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2652</v>
      </c>
      <c r="D1016" s="2" t="str">
        <f t="shared" si="14"/>
        <v>Error?</v>
      </c>
    </row>
    <row r="1017" spans="1:4" x14ac:dyDescent="0.2">
      <c r="A1017" s="5">
        <v>956</v>
      </c>
      <c r="B1017" s="138">
        <f>'Expenditures 15-22'!H42</f>
        <v>2652</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5802</v>
      </c>
      <c r="D1022" s="2" t="str">
        <f t="shared" si="14"/>
        <v>Error?</v>
      </c>
    </row>
    <row r="1023" spans="1:4" x14ac:dyDescent="0.2">
      <c r="A1023" s="5">
        <v>962</v>
      </c>
      <c r="B1023" s="138">
        <f>'Expenditures 15-22'!H50</f>
        <v>2963</v>
      </c>
      <c r="D1023" s="2" t="str">
        <f t="shared" ref="D1023:D1086" si="15">IF(ISBLANK(B1023),"OK",IF(A1023-B1023=0,"OK","Error?"))</f>
        <v>Error?</v>
      </c>
    </row>
    <row r="1024" spans="1:4" x14ac:dyDescent="0.2">
      <c r="A1024" s="5">
        <v>963</v>
      </c>
      <c r="B1024" s="138">
        <f>'Expenditures 15-22'!H53</f>
        <v>8765</v>
      </c>
      <c r="C1024" s="2" t="s">
        <v>594</v>
      </c>
      <c r="D1024" s="2" t="str">
        <f t="shared" si="15"/>
        <v>Error?</v>
      </c>
    </row>
    <row r="1025" spans="1:4" x14ac:dyDescent="0.2">
      <c r="A1025" s="5">
        <v>964</v>
      </c>
      <c r="B1025" s="138">
        <f>'Expenditures 15-22'!H55</f>
        <v>7187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7187</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18604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1198300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1234185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5064755</v>
      </c>
      <c r="C1093" s="2" t="s">
        <v>594</v>
      </c>
      <c r="D1093" s="2" t="str">
        <f t="shared" si="16"/>
        <v>Error?</v>
      </c>
    </row>
    <row r="1094" spans="1:4" x14ac:dyDescent="0.2">
      <c r="A1094" s="5">
        <v>1033</v>
      </c>
      <c r="B1094" s="138">
        <f>'Expenditures 15-22'!K16</f>
        <v>130581</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411026</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44497</v>
      </c>
      <c r="C1106" s="2" t="s">
        <v>594</v>
      </c>
      <c r="D1106" s="2" t="str">
        <f t="shared" si="16"/>
        <v>Error?</v>
      </c>
    </row>
    <row r="1107" spans="1:4" x14ac:dyDescent="0.2">
      <c r="A1107" s="5">
        <v>1046</v>
      </c>
      <c r="B1107" s="138">
        <f>'Expenditures 15-22'!K15</f>
        <v>62014</v>
      </c>
      <c r="C1107" s="2" t="s">
        <v>594</v>
      </c>
      <c r="D1107" s="2" t="str">
        <f t="shared" si="16"/>
        <v>Error?</v>
      </c>
    </row>
    <row r="1108" spans="1:4" x14ac:dyDescent="0.2">
      <c r="A1108" s="5">
        <v>1047</v>
      </c>
      <c r="B1108" s="138">
        <f>'Expenditures 15-22'!K33</f>
        <v>6953543</v>
      </c>
      <c r="C1108" s="2" t="s">
        <v>594</v>
      </c>
      <c r="D1108" s="2" t="str">
        <f t="shared" si="16"/>
        <v>Error?</v>
      </c>
    </row>
    <row r="1109" spans="1:4" x14ac:dyDescent="0.2">
      <c r="A1109" s="5">
        <v>1048</v>
      </c>
      <c r="B1109" s="138">
        <f>'Expenditures 15-22'!K36</f>
        <v>151841</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54299</v>
      </c>
      <c r="C1111" s="2" t="s">
        <v>594</v>
      </c>
      <c r="D1111" s="2" t="str">
        <f t="shared" si="16"/>
        <v>Error?</v>
      </c>
    </row>
    <row r="1112" spans="1:4" x14ac:dyDescent="0.2">
      <c r="A1112" s="5">
        <v>1051</v>
      </c>
      <c r="B1112" s="138">
        <f>'Expenditures 15-22'!K39</f>
        <v>178379</v>
      </c>
      <c r="C1112" s="2" t="s">
        <v>594</v>
      </c>
      <c r="D1112" s="2" t="str">
        <f t="shared" si="16"/>
        <v>Error?</v>
      </c>
    </row>
    <row r="1113" spans="1:4" x14ac:dyDescent="0.2">
      <c r="A1113" s="5">
        <v>1052</v>
      </c>
      <c r="B1113" s="138">
        <f>'Expenditures 15-22'!K40</f>
        <v>208503</v>
      </c>
      <c r="C1113" s="2" t="s">
        <v>594</v>
      </c>
      <c r="D1113" s="2" t="str">
        <f t="shared" si="16"/>
        <v>Error?</v>
      </c>
    </row>
    <row r="1114" spans="1:4" x14ac:dyDescent="0.2">
      <c r="A1114" s="5">
        <v>1053</v>
      </c>
      <c r="B1114" s="138">
        <f>'Expenditures 15-22'!K41</f>
        <v>10573</v>
      </c>
      <c r="C1114" s="2" t="s">
        <v>594</v>
      </c>
      <c r="D1114" s="2" t="str">
        <f t="shared" si="16"/>
        <v>Error?</v>
      </c>
    </row>
    <row r="1115" spans="1:4" x14ac:dyDescent="0.2">
      <c r="A1115" s="5">
        <v>1054</v>
      </c>
      <c r="B1115" s="138">
        <f>'Expenditures 15-22'!K42</f>
        <v>603595</v>
      </c>
      <c r="C1115" s="2" t="s">
        <v>594</v>
      </c>
      <c r="D1115" s="2" t="str">
        <f t="shared" si="16"/>
        <v>Error?</v>
      </c>
    </row>
    <row r="1116" spans="1:4" x14ac:dyDescent="0.2">
      <c r="A1116" s="5">
        <v>1055</v>
      </c>
      <c r="B1116" s="138">
        <f>'Expenditures 15-22'!K44</f>
        <v>78903</v>
      </c>
      <c r="C1116" s="2" t="s">
        <v>594</v>
      </c>
      <c r="D1116" s="2" t="str">
        <f t="shared" si="16"/>
        <v>Error?</v>
      </c>
    </row>
    <row r="1117" spans="1:4" x14ac:dyDescent="0.2">
      <c r="A1117" s="5">
        <v>1056</v>
      </c>
      <c r="B1117" s="138">
        <f>'Expenditures 15-22'!K45</f>
        <v>472709</v>
      </c>
      <c r="C1117" s="2" t="s">
        <v>594</v>
      </c>
      <c r="D1117" s="2" t="str">
        <f t="shared" si="16"/>
        <v>Error?</v>
      </c>
    </row>
    <row r="1118" spans="1:4" x14ac:dyDescent="0.2">
      <c r="A1118" s="5">
        <v>1057</v>
      </c>
      <c r="B1118" s="138">
        <f>'Expenditures 15-22'!K46</f>
        <v>12765</v>
      </c>
      <c r="C1118" s="2" t="s">
        <v>594</v>
      </c>
      <c r="D1118" s="2" t="str">
        <f t="shared" si="16"/>
        <v>Error?</v>
      </c>
    </row>
    <row r="1119" spans="1:4" x14ac:dyDescent="0.2">
      <c r="A1119" s="5">
        <v>1058</v>
      </c>
      <c r="B1119" s="138">
        <f>'Expenditures 15-22'!K47</f>
        <v>564377</v>
      </c>
      <c r="C1119" s="2" t="s">
        <v>594</v>
      </c>
      <c r="D1119" s="2" t="str">
        <f t="shared" si="16"/>
        <v>Error?</v>
      </c>
    </row>
    <row r="1120" spans="1:4" x14ac:dyDescent="0.2">
      <c r="A1120" s="5">
        <v>1059</v>
      </c>
      <c r="B1120" s="138">
        <f>'Expenditures 15-22'!K49</f>
        <v>119921</v>
      </c>
      <c r="C1120" s="2" t="s">
        <v>594</v>
      </c>
      <c r="D1120" s="2" t="str">
        <f t="shared" si="16"/>
        <v>Error?</v>
      </c>
    </row>
    <row r="1121" spans="1:4" x14ac:dyDescent="0.2">
      <c r="A1121" s="5">
        <v>1060</v>
      </c>
      <c r="B1121" s="138">
        <f>'Expenditures 15-22'!K50</f>
        <v>274190</v>
      </c>
      <c r="C1121" s="2" t="s">
        <v>594</v>
      </c>
      <c r="D1121" s="2" t="str">
        <f t="shared" si="16"/>
        <v>Error?</v>
      </c>
    </row>
    <row r="1122" spans="1:4" x14ac:dyDescent="0.2">
      <c r="A1122" s="5">
        <v>1061</v>
      </c>
      <c r="B1122" s="138">
        <f>'Expenditures 15-22'!K53</f>
        <v>424245</v>
      </c>
      <c r="C1122" s="2" t="s">
        <v>594</v>
      </c>
      <c r="D1122" s="2" t="str">
        <f t="shared" si="16"/>
        <v>Error?</v>
      </c>
    </row>
    <row r="1123" spans="1:4" x14ac:dyDescent="0.2">
      <c r="A1123" s="5">
        <v>1062</v>
      </c>
      <c r="B1123" s="138">
        <f>'Expenditures 15-22'!K55</f>
        <v>729837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729837</v>
      </c>
      <c r="C1125" s="2" t="s">
        <v>594</v>
      </c>
      <c r="D1125" s="2" t="str">
        <f t="shared" si="16"/>
        <v>Error?</v>
      </c>
    </row>
    <row r="1126" spans="1:4" x14ac:dyDescent="0.2">
      <c r="A1126" s="5">
        <v>1065</v>
      </c>
      <c r="B1126" s="138">
        <f>'Expenditures 15-22'!K59</f>
        <v>24473</v>
      </c>
      <c r="C1126" s="2" t="s">
        <v>594</v>
      </c>
      <c r="D1126" s="2" t="str">
        <f t="shared" si="16"/>
        <v>Error?</v>
      </c>
    </row>
    <row r="1127" spans="1:4" x14ac:dyDescent="0.2">
      <c r="A1127" s="5">
        <v>1066</v>
      </c>
      <c r="B1127" s="138">
        <f>'Expenditures 15-22'!K60</f>
        <v>108159</v>
      </c>
      <c r="C1127" s="2" t="s">
        <v>594</v>
      </c>
      <c r="D1127" s="2" t="str">
        <f t="shared" si="16"/>
        <v>Error?</v>
      </c>
    </row>
    <row r="1128" spans="1:4" x14ac:dyDescent="0.2">
      <c r="A1128" s="5">
        <v>1067</v>
      </c>
      <c r="B1128" s="138">
        <f>'Expenditures 15-22'!K61</f>
        <v>58871</v>
      </c>
      <c r="C1128" s="2" t="s">
        <v>594</v>
      </c>
      <c r="D1128" s="2" t="str">
        <f t="shared" si="16"/>
        <v>Error?</v>
      </c>
    </row>
    <row r="1129" spans="1:4" x14ac:dyDescent="0.2">
      <c r="A1129" s="5">
        <v>1068</v>
      </c>
      <c r="B1129" s="138">
        <f>'Expenditures 15-22'!K62</f>
        <v>551</v>
      </c>
      <c r="C1129" s="2" t="s">
        <v>594</v>
      </c>
      <c r="D1129" s="2" t="str">
        <f t="shared" si="16"/>
        <v>Error?</v>
      </c>
    </row>
    <row r="1130" spans="1:4" x14ac:dyDescent="0.2">
      <c r="A1130" s="5">
        <v>1069</v>
      </c>
      <c r="B1130" s="138">
        <f>'Expenditures 15-22'!K63</f>
        <v>272095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464149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201408</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201408</v>
      </c>
      <c r="C1141" s="2" t="s">
        <v>594</v>
      </c>
      <c r="D1141" s="2" t="str">
        <f t="shared" si="16"/>
        <v>Error?</v>
      </c>
    </row>
    <row r="1142" spans="1:4" x14ac:dyDescent="0.2">
      <c r="A1142" s="5">
        <v>1081</v>
      </c>
      <c r="B1142" s="138">
        <f>'Expenditures 15-22'!K73</f>
        <v>6530</v>
      </c>
      <c r="C1142" s="2" t="s">
        <v>594</v>
      </c>
      <c r="D1142" s="2" t="str">
        <f t="shared" si="16"/>
        <v>Error?</v>
      </c>
    </row>
    <row r="1143" spans="1:4" x14ac:dyDescent="0.2">
      <c r="A1143" s="5">
        <v>1082</v>
      </c>
      <c r="B1143" s="138">
        <f>'Expenditures 15-22'!K74</f>
        <v>2994141</v>
      </c>
      <c r="C1143" s="2" t="s">
        <v>594</v>
      </c>
      <c r="D1143" s="2" t="str">
        <f t="shared" si="16"/>
        <v>Error?</v>
      </c>
    </row>
    <row r="1144" spans="1:4" x14ac:dyDescent="0.2">
      <c r="A1144" s="5">
        <v>1083</v>
      </c>
      <c r="B1144" s="138">
        <f>'Expenditures 15-22'!K75</f>
        <v>4981</v>
      </c>
      <c r="C1144" s="2" t="s">
        <v>594</v>
      </c>
      <c r="D1144" s="2" t="str">
        <f t="shared" si="16"/>
        <v>Error?</v>
      </c>
    </row>
    <row r="1145" spans="1:4" x14ac:dyDescent="0.2">
      <c r="A1145" s="5">
        <v>1084</v>
      </c>
      <c r="B1145" s="138">
        <f>'Expenditures 15-22'!K102</f>
        <v>1203855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11156520</v>
      </c>
      <c r="C1152" s="2" t="s">
        <v>594</v>
      </c>
      <c r="D1152" s="2" t="str">
        <f t="shared" si="17"/>
        <v>Error?</v>
      </c>
    </row>
    <row r="1153" spans="1:4" x14ac:dyDescent="0.2">
      <c r="A1153" s="5">
        <v>1092</v>
      </c>
      <c r="B1153" s="138">
        <f>'Expenditures 15-22'!K115</f>
        <v>276241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208833</v>
      </c>
      <c r="D1221" s="2" t="str">
        <f t="shared" si="18"/>
        <v>Error?</v>
      </c>
    </row>
    <row r="1222" spans="1:4" x14ac:dyDescent="0.2">
      <c r="A1222" s="10">
        <v>1161</v>
      </c>
      <c r="D1222" s="2" t="str">
        <f t="shared" si="18"/>
        <v>OK</v>
      </c>
    </row>
    <row r="1223" spans="1:4" x14ac:dyDescent="0.2">
      <c r="A1223" s="5">
        <v>1162</v>
      </c>
      <c r="B1223" s="138">
        <f>'Expenditures 15-22'!C127</f>
        <v>208833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208833</v>
      </c>
      <c r="C1225" s="2" t="s">
        <v>594</v>
      </c>
      <c r="D1225" s="2" t="str">
        <f t="shared" si="18"/>
        <v>Error?</v>
      </c>
    </row>
    <row r="1226" spans="1:4" x14ac:dyDescent="0.2">
      <c r="A1226" s="5">
        <v>1165</v>
      </c>
      <c r="B1226" s="138">
        <f>'Expenditures 15-22'!C151</f>
        <v>208833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71784</v>
      </c>
      <c r="D1229" s="2" t="str">
        <f t="shared" si="18"/>
        <v>Error?</v>
      </c>
    </row>
    <row r="1230" spans="1:4" x14ac:dyDescent="0.2">
      <c r="A1230" s="10">
        <v>1169</v>
      </c>
      <c r="D1230" s="2" t="str">
        <f t="shared" si="18"/>
        <v>OK</v>
      </c>
    </row>
    <row r="1231" spans="1:4" x14ac:dyDescent="0.2">
      <c r="A1231" s="5">
        <v>1170</v>
      </c>
      <c r="B1231" s="138">
        <f>'Expenditures 15-22'!D127</f>
        <v>71784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71784</v>
      </c>
      <c r="C1233" s="2" t="s">
        <v>594</v>
      </c>
      <c r="D1233" s="2" t="str">
        <f t="shared" si="18"/>
        <v>Error?</v>
      </c>
    </row>
    <row r="1234" spans="1:4" x14ac:dyDescent="0.2">
      <c r="A1234" s="5">
        <v>1173</v>
      </c>
      <c r="B1234" s="138">
        <f>'Expenditures 15-22'!D151</f>
        <v>71784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297179</v>
      </c>
      <c r="D1237" s="2" t="str">
        <f t="shared" si="18"/>
        <v>Error?</v>
      </c>
    </row>
    <row r="1238" spans="1:4" x14ac:dyDescent="0.2">
      <c r="A1238" s="10">
        <v>1177</v>
      </c>
      <c r="D1238" s="2" t="str">
        <f t="shared" si="18"/>
        <v>OK</v>
      </c>
    </row>
    <row r="1239" spans="1:4" x14ac:dyDescent="0.2">
      <c r="A1239" s="5">
        <v>1178</v>
      </c>
      <c r="B1239" s="138">
        <f>'Expenditures 15-22'!E127</f>
        <v>297179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297179</v>
      </c>
      <c r="C1241" s="2" t="s">
        <v>594</v>
      </c>
      <c r="D1241" s="2" t="str">
        <f t="shared" si="18"/>
        <v>Error?</v>
      </c>
    </row>
    <row r="1242" spans="1:4" x14ac:dyDescent="0.2">
      <c r="A1242" s="5">
        <v>1181</v>
      </c>
      <c r="B1242" s="138">
        <f>'Expenditures 15-22'!E151</f>
        <v>297179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180809</v>
      </c>
      <c r="D1245" s="2" t="str">
        <f t="shared" si="18"/>
        <v>Error?</v>
      </c>
    </row>
    <row r="1246" spans="1:4" x14ac:dyDescent="0.2">
      <c r="A1246" s="10">
        <v>1185</v>
      </c>
      <c r="D1246" s="2" t="str">
        <f t="shared" si="18"/>
        <v>OK</v>
      </c>
    </row>
    <row r="1247" spans="1:4" x14ac:dyDescent="0.2">
      <c r="A1247" s="5">
        <v>1186</v>
      </c>
      <c r="B1247" s="138">
        <f>'Expenditures 15-22'!F127</f>
        <v>180809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180809</v>
      </c>
      <c r="C1249" s="2" t="s">
        <v>594</v>
      </c>
      <c r="D1249" s="2" t="str">
        <f t="shared" si="18"/>
        <v>Error?</v>
      </c>
    </row>
    <row r="1250" spans="1:4" x14ac:dyDescent="0.2">
      <c r="A1250" s="5">
        <v>1189</v>
      </c>
      <c r="B1250" s="138">
        <f>'Expenditures 15-22'!F151</f>
        <v>180809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84860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84860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84860</v>
      </c>
      <c r="C1258" s="2" t="s">
        <v>594</v>
      </c>
      <c r="D1258" s="2" t="str">
        <f t="shared" si="18"/>
        <v>Error?</v>
      </c>
    </row>
    <row r="1259" spans="1:4" x14ac:dyDescent="0.2">
      <c r="A1259" s="5">
        <v>1198</v>
      </c>
      <c r="B1259" s="138">
        <f>'Expenditures 15-22'!G151</f>
        <v>84860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843465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843465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843465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843465</v>
      </c>
      <c r="C1288" s="2" t="s">
        <v>594</v>
      </c>
      <c r="D1288" s="2" t="str">
        <f t="shared" si="19"/>
        <v>Error?</v>
      </c>
    </row>
    <row r="1289" spans="1:4" x14ac:dyDescent="0.2">
      <c r="A1289" s="5">
        <v>1228</v>
      </c>
      <c r="B1289" s="138">
        <f>'Expenditures 15-22'!K152</f>
        <v>321773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64851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280000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344851</v>
      </c>
      <c r="C1317" s="2" t="s">
        <v>594</v>
      </c>
      <c r="D1317" s="2" t="str">
        <f t="shared" si="19"/>
        <v>Error?</v>
      </c>
    </row>
    <row r="1318" spans="1:4" x14ac:dyDescent="0.2">
      <c r="A1318" s="5">
        <v>1257</v>
      </c>
      <c r="B1318" s="138">
        <f>'Expenditures 15-22'!H174</f>
        <v>344851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64851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280000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344851</v>
      </c>
      <c r="C1331" s="2" t="s">
        <v>594</v>
      </c>
      <c r="D1331" s="2" t="str">
        <f t="shared" si="19"/>
        <v>Error?</v>
      </c>
    </row>
    <row r="1332" spans="1:4" x14ac:dyDescent="0.2">
      <c r="A1332" s="5">
        <v>1271</v>
      </c>
      <c r="B1332" s="138">
        <f>'Expenditures 15-22'!K174</f>
        <v>344851</v>
      </c>
      <c r="C1332" s="2" t="s">
        <v>594</v>
      </c>
      <c r="D1332" s="2" t="str">
        <f t="shared" si="19"/>
        <v>Error?</v>
      </c>
    </row>
    <row r="1333" spans="1:4" x14ac:dyDescent="0.2">
      <c r="A1333" s="5">
        <v>1272</v>
      </c>
      <c r="B1333" s="138">
        <f>'Expenditures 15-22'!K175</f>
        <v>26497</v>
      </c>
      <c r="C1333" s="2" t="s">
        <v>594</v>
      </c>
      <c r="D1333" s="2" t="str">
        <f t="shared" si="19"/>
        <v>Error?</v>
      </c>
    </row>
    <row r="1334" spans="1:4" x14ac:dyDescent="0.2">
      <c r="A1334" s="10">
        <v>1273</v>
      </c>
      <c r="D1334" s="2" t="str">
        <f t="shared" si="19"/>
        <v>OK</v>
      </c>
    </row>
    <row r="1335" spans="1:4" x14ac:dyDescent="0.2">
      <c r="A1335" s="5">
        <v>1274</v>
      </c>
      <c r="B1335" s="138">
        <f>'Expenditures 15-22'!C182</f>
        <v>23401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23401</v>
      </c>
      <c r="C1339" s="2" t="s">
        <v>594</v>
      </c>
      <c r="D1339" s="2" t="str">
        <f t="shared" si="19"/>
        <v>Error?</v>
      </c>
    </row>
    <row r="1340" spans="1:4" x14ac:dyDescent="0.2">
      <c r="A1340" s="5">
        <v>1279</v>
      </c>
      <c r="B1340" s="138">
        <f>'Expenditures 15-22'!C210</f>
        <v>23401</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894005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894005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894005</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917406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917406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917406</v>
      </c>
      <c r="C1388" s="2" t="s">
        <v>594</v>
      </c>
      <c r="D1388" s="2" t="str">
        <f t="shared" si="20"/>
        <v>Error?</v>
      </c>
    </row>
    <row r="1389" spans="1:4" x14ac:dyDescent="0.2">
      <c r="A1389" s="5">
        <v>1328</v>
      </c>
      <c r="B1389" s="138">
        <f>'Expenditures 15-22'!K211</f>
        <v>549516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1438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12566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1538</v>
      </c>
      <c r="D1408" s="2" t="str">
        <f t="shared" si="21"/>
        <v>Error?</v>
      </c>
    </row>
    <row r="1409" spans="1:4" x14ac:dyDescent="0.2">
      <c r="A1409" s="5">
        <v>1348</v>
      </c>
      <c r="B1409" s="138">
        <f>'Expenditures 15-22'!D224</f>
        <v>1141</v>
      </c>
      <c r="D1409" s="2" t="str">
        <f t="shared" si="21"/>
        <v>Error?</v>
      </c>
    </row>
    <row r="1410" spans="1:4" x14ac:dyDescent="0.2">
      <c r="A1410" s="5">
        <v>1349</v>
      </c>
      <c r="B1410" s="138">
        <f>'Expenditures 15-22'!D229</f>
        <v>135237</v>
      </c>
      <c r="C1410" s="2" t="s">
        <v>594</v>
      </c>
      <c r="D1410" s="2" t="str">
        <f t="shared" si="21"/>
        <v>Error?</v>
      </c>
    </row>
    <row r="1411" spans="1:4" x14ac:dyDescent="0.2">
      <c r="A1411" s="5">
        <v>1350</v>
      </c>
      <c r="B1411" s="138">
        <f>'Expenditures 15-22'!D232</f>
        <v>2034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11189</v>
      </c>
      <c r="D1413" s="2" t="str">
        <f t="shared" si="21"/>
        <v>Error?</v>
      </c>
    </row>
    <row r="1414" spans="1:4" x14ac:dyDescent="0.2">
      <c r="A1414" s="5">
        <v>1353</v>
      </c>
      <c r="B1414" s="138">
        <f>'Expenditures 15-22'!D235</f>
        <v>2080</v>
      </c>
      <c r="D1414" s="2" t="str">
        <f t="shared" si="21"/>
        <v>Error?</v>
      </c>
    </row>
    <row r="1415" spans="1:4" x14ac:dyDescent="0.2">
      <c r="A1415" s="5">
        <v>1354</v>
      </c>
      <c r="B1415" s="138">
        <f>'Expenditures 15-22'!D236</f>
        <v>2283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17586</v>
      </c>
      <c r="C1417" s="2" t="s">
        <v>594</v>
      </c>
      <c r="D1417" s="2" t="str">
        <f t="shared" si="21"/>
        <v>Error?</v>
      </c>
    </row>
    <row r="1418" spans="1:4" x14ac:dyDescent="0.2">
      <c r="A1418" s="5">
        <v>1357</v>
      </c>
      <c r="B1418" s="138">
        <f>'Expenditures 15-22'!D240</f>
        <v>131</v>
      </c>
      <c r="D1418" s="2" t="str">
        <f t="shared" si="21"/>
        <v>Error?</v>
      </c>
    </row>
    <row r="1419" spans="1:4" x14ac:dyDescent="0.2">
      <c r="A1419" s="5">
        <v>1358</v>
      </c>
      <c r="B1419" s="138">
        <f>'Expenditures 15-22'!D241</f>
        <v>34961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35092</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16949</v>
      </c>
      <c r="D1423" s="2" t="str">
        <f t="shared" si="21"/>
        <v>Error?</v>
      </c>
    </row>
    <row r="1424" spans="1:4" x14ac:dyDescent="0.2">
      <c r="A1424" s="5">
        <v>1363</v>
      </c>
      <c r="B1424" s="138">
        <f>'Expenditures 15-22'!D257</f>
        <v>17565</v>
      </c>
      <c r="C1424" s="2" t="s">
        <v>594</v>
      </c>
      <c r="D1424" s="2" t="str">
        <f t="shared" si="21"/>
        <v>Error?</v>
      </c>
    </row>
    <row r="1425" spans="1:4" x14ac:dyDescent="0.2">
      <c r="A1425" s="5">
        <v>1364</v>
      </c>
      <c r="B1425" s="138">
        <f>'Expenditures 15-22'!D259</f>
        <v>29997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29997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10188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33756</v>
      </c>
      <c r="D1431" s="2" t="str">
        <f t="shared" si="21"/>
        <v>Error?</v>
      </c>
    </row>
    <row r="1432" spans="1:4" x14ac:dyDescent="0.2">
      <c r="A1432" s="5">
        <v>1371</v>
      </c>
      <c r="B1432" s="138">
        <f>'Expenditures 15-22'!D267</f>
        <v>298</v>
      </c>
      <c r="D1432" s="2" t="str">
        <f t="shared" si="21"/>
        <v>Error?</v>
      </c>
    </row>
    <row r="1433" spans="1:4" x14ac:dyDescent="0.2">
      <c r="A1433" s="5">
        <v>1372</v>
      </c>
      <c r="B1433" s="138">
        <f>'Expenditures 15-22'!D268</f>
        <v>22518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66760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167000</v>
      </c>
      <c r="C1446" s="2" t="s">
        <v>594</v>
      </c>
      <c r="D1446" s="2" t="str">
        <f t="shared" si="21"/>
        <v>Error?</v>
      </c>
    </row>
    <row r="1447" spans="1:4" x14ac:dyDescent="0.2">
      <c r="A1447" s="5">
        <v>1386</v>
      </c>
      <c r="B1447" s="138">
        <f>'Expenditures 15-22'!D280</f>
        <v>32</v>
      </c>
      <c r="D1447" s="2" t="str">
        <f t="shared" si="21"/>
        <v>Error?</v>
      </c>
    </row>
    <row r="1448" spans="1:4" x14ac:dyDescent="0.2">
      <c r="A1448" s="5">
        <v>1387</v>
      </c>
      <c r="B1448" s="138">
        <f>'Expenditures 15-22'!D295</f>
        <v>302269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1438</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12566</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1538</v>
      </c>
      <c r="C1472" s="2" t="s">
        <v>594</v>
      </c>
      <c r="D1472" s="2" t="str">
        <f t="shared" si="22"/>
        <v>Error?</v>
      </c>
    </row>
    <row r="1473" spans="1:4" x14ac:dyDescent="0.2">
      <c r="A1473" s="5">
        <v>1412</v>
      </c>
      <c r="B1473" s="138">
        <f>'Expenditures 15-22'!K224</f>
        <v>1141</v>
      </c>
      <c r="C1473" s="2" t="s">
        <v>594</v>
      </c>
      <c r="D1473" s="2" t="str">
        <f t="shared" si="22"/>
        <v>Error?</v>
      </c>
    </row>
    <row r="1474" spans="1:4" x14ac:dyDescent="0.2">
      <c r="A1474" s="5">
        <v>1413</v>
      </c>
      <c r="B1474" s="138">
        <f>'Expenditures 15-22'!K229</f>
        <v>135237</v>
      </c>
      <c r="C1474" s="2" t="s">
        <v>594</v>
      </c>
      <c r="D1474" s="2" t="str">
        <f t="shared" si="22"/>
        <v>Error?</v>
      </c>
    </row>
    <row r="1475" spans="1:4" x14ac:dyDescent="0.2">
      <c r="A1475" s="5">
        <v>1414</v>
      </c>
      <c r="B1475" s="138">
        <f>'Expenditures 15-22'!K232</f>
        <v>2034</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11189</v>
      </c>
      <c r="C1477" s="2" t="s">
        <v>594</v>
      </c>
      <c r="D1477" s="2" t="str">
        <f t="shared" si="22"/>
        <v>Error?</v>
      </c>
    </row>
    <row r="1478" spans="1:4" x14ac:dyDescent="0.2">
      <c r="A1478" s="5">
        <v>1417</v>
      </c>
      <c r="B1478" s="138">
        <f>'Expenditures 15-22'!K235</f>
        <v>2080</v>
      </c>
      <c r="C1478" s="2" t="s">
        <v>594</v>
      </c>
      <c r="D1478" s="2" t="str">
        <f t="shared" si="22"/>
        <v>Error?</v>
      </c>
    </row>
    <row r="1479" spans="1:4" x14ac:dyDescent="0.2">
      <c r="A1479" s="5">
        <v>1418</v>
      </c>
      <c r="B1479" s="138">
        <f>'Expenditures 15-22'!K236</f>
        <v>2283</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17586</v>
      </c>
      <c r="C1481" s="2" t="s">
        <v>594</v>
      </c>
      <c r="D1481" s="2" t="str">
        <f t="shared" si="22"/>
        <v>Error?</v>
      </c>
    </row>
    <row r="1482" spans="1:4" x14ac:dyDescent="0.2">
      <c r="A1482" s="5">
        <v>1421</v>
      </c>
      <c r="B1482" s="138">
        <f>'Expenditures 15-22'!K240</f>
        <v>131</v>
      </c>
      <c r="C1482" s="2" t="s">
        <v>594</v>
      </c>
      <c r="D1482" s="2" t="str">
        <f t="shared" si="22"/>
        <v>Error?</v>
      </c>
    </row>
    <row r="1483" spans="1:4" x14ac:dyDescent="0.2">
      <c r="A1483" s="5">
        <v>1422</v>
      </c>
      <c r="B1483" s="138">
        <f>'Expenditures 15-22'!K241</f>
        <v>34961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35092</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16949</v>
      </c>
      <c r="C1487" s="2" t="s">
        <v>594</v>
      </c>
      <c r="D1487" s="2" t="str">
        <f t="shared" si="22"/>
        <v>Error?</v>
      </c>
    </row>
    <row r="1488" spans="1:4" x14ac:dyDescent="0.2">
      <c r="A1488" s="5">
        <v>1427</v>
      </c>
      <c r="B1488" s="138">
        <f>'Expenditures 15-22'!K257</f>
        <v>17565</v>
      </c>
      <c r="C1488" s="2" t="s">
        <v>594</v>
      </c>
      <c r="D1488" s="2" t="str">
        <f t="shared" si="22"/>
        <v>Error?</v>
      </c>
    </row>
    <row r="1489" spans="1:4" x14ac:dyDescent="0.2">
      <c r="A1489" s="5">
        <v>1428</v>
      </c>
      <c r="B1489" s="138">
        <f>'Expenditures 15-22'!K259</f>
        <v>29997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29997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10188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33756</v>
      </c>
      <c r="C1495" s="2" t="s">
        <v>594</v>
      </c>
      <c r="D1495" s="2" t="str">
        <f t="shared" si="22"/>
        <v>Error?</v>
      </c>
    </row>
    <row r="1496" spans="1:4" x14ac:dyDescent="0.2">
      <c r="A1496" s="5">
        <v>1435</v>
      </c>
      <c r="B1496" s="138">
        <f>'Expenditures 15-22'!K267</f>
        <v>298</v>
      </c>
      <c r="C1496" s="2" t="s">
        <v>594</v>
      </c>
      <c r="D1496" s="2" t="str">
        <f t="shared" si="22"/>
        <v>Error?</v>
      </c>
    </row>
    <row r="1497" spans="1:4" x14ac:dyDescent="0.2">
      <c r="A1497" s="5">
        <v>1436</v>
      </c>
      <c r="B1497" s="138">
        <f>'Expenditures 15-22'!K268</f>
        <v>22518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66760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167000</v>
      </c>
      <c r="C1510" s="2" t="s">
        <v>594</v>
      </c>
      <c r="D1510" s="2" t="str">
        <f t="shared" si="22"/>
        <v>Error?</v>
      </c>
    </row>
    <row r="1511" spans="1:4" x14ac:dyDescent="0.2">
      <c r="A1511" s="5">
        <v>1450</v>
      </c>
      <c r="B1511" s="138">
        <f>'Expenditures 15-22'!K280</f>
        <v>32</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302269</v>
      </c>
      <c r="C1517" s="2" t="s">
        <v>594</v>
      </c>
      <c r="D1517" s="2" t="str">
        <f t="shared" si="22"/>
        <v>Error?</v>
      </c>
    </row>
    <row r="1518" spans="1:4" x14ac:dyDescent="0.2">
      <c r="A1518" s="5">
        <v>1457</v>
      </c>
      <c r="B1518" s="138">
        <f>'Expenditures 15-22'!K296</f>
        <v>24510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12030212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12306453</v>
      </c>
      <c r="C1630" s="2" t="s">
        <v>594</v>
      </c>
      <c r="D1630" s="2" t="str">
        <f t="shared" si="24"/>
        <v>Error?</v>
      </c>
    </row>
    <row r="1631" spans="1:4" x14ac:dyDescent="0.2">
      <c r="A1631" s="5">
        <v>1570</v>
      </c>
      <c r="B1631" s="138">
        <f>'Acct Summary 7-8'!D79</f>
        <v>1275936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1597709</v>
      </c>
      <c r="C1644" s="2" t="s">
        <v>594</v>
      </c>
      <c r="D1644" s="2" t="str">
        <f t="shared" si="24"/>
        <v>Error?</v>
      </c>
    </row>
    <row r="1645" spans="1:4" x14ac:dyDescent="0.2">
      <c r="A1645" s="5">
        <v>1584</v>
      </c>
      <c r="B1645" s="138">
        <f>'Acct Summary 7-8'!E79</f>
        <v>174072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200569</v>
      </c>
      <c r="C1658" s="2" t="s">
        <v>594</v>
      </c>
      <c r="D1658" s="2" t="str">
        <f t="shared" si="24"/>
        <v>Error?</v>
      </c>
    </row>
    <row r="1659" spans="1:4" x14ac:dyDescent="0.2">
      <c r="A1659" s="5">
        <v>1598</v>
      </c>
      <c r="B1659" s="138">
        <f>'Acct Summary 7-8'!F79</f>
        <v>71229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620745</v>
      </c>
      <c r="C1672" s="2" t="s">
        <v>594</v>
      </c>
      <c r="D1672" s="2" t="str">
        <f t="shared" si="25"/>
        <v>Error?</v>
      </c>
    </row>
    <row r="1673" spans="1:4" x14ac:dyDescent="0.2">
      <c r="A1673" s="5">
        <v>1612</v>
      </c>
      <c r="B1673" s="138">
        <f>'Acct Summary 7-8'!G79</f>
        <v>589864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614374</v>
      </c>
      <c r="C1686" s="2" t="s">
        <v>594</v>
      </c>
      <c r="D1686" s="2" t="str">
        <f t="shared" si="25"/>
        <v>Error?</v>
      </c>
    </row>
    <row r="1687" spans="1:4" x14ac:dyDescent="0.2">
      <c r="A1687" s="5">
        <v>1626</v>
      </c>
      <c r="B1687" s="138">
        <f>'Acct Summary 7-8'!H79</f>
        <v>180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183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8366414</v>
      </c>
      <c r="C1744" s="2" t="s">
        <v>594</v>
      </c>
      <c r="D1744" s="2" t="str">
        <f t="shared" si="26"/>
        <v>Error?</v>
      </c>
    </row>
    <row r="1745" spans="1:5" x14ac:dyDescent="0.2">
      <c r="A1745" s="5">
        <v>1684</v>
      </c>
      <c r="B1745" s="138">
        <f>'Tax Sched 23'!B5</f>
        <v>1076823</v>
      </c>
      <c r="C1745" s="2" t="s">
        <v>594</v>
      </c>
      <c r="D1745" s="2" t="str">
        <f t="shared" si="26"/>
        <v>Error?</v>
      </c>
    </row>
    <row r="1746" spans="1:5" x14ac:dyDescent="0.2">
      <c r="A1746" s="5">
        <v>1685</v>
      </c>
      <c r="B1746" s="138">
        <f>'Tax Sched 23'!B6</f>
        <v>366462</v>
      </c>
      <c r="C1746" s="2" t="s">
        <v>594</v>
      </c>
      <c r="D1746" s="2" t="str">
        <f t="shared" si="26"/>
        <v>Error?</v>
      </c>
    </row>
    <row r="1747" spans="1:5" x14ac:dyDescent="0.2">
      <c r="A1747" s="5">
        <v>1686</v>
      </c>
      <c r="B1747" s="138">
        <f>'Tax Sched 23'!B7</f>
        <v>531388</v>
      </c>
      <c r="C1747" s="2" t="s">
        <v>594</v>
      </c>
      <c r="D1747" s="2" t="str">
        <f t="shared" si="26"/>
        <v>Error?</v>
      </c>
    </row>
    <row r="1748" spans="1:5" x14ac:dyDescent="0.2">
      <c r="A1748" s="5">
        <v>1687</v>
      </c>
      <c r="B1748" s="138">
        <f>'Tax Sched 23'!B8</f>
        <v>276756</v>
      </c>
      <c r="C1748" s="2" t="s">
        <v>594</v>
      </c>
      <c r="D1748" s="2" t="str">
        <f t="shared" si="26"/>
        <v>Error?</v>
      </c>
    </row>
    <row r="1749" spans="1:5" x14ac:dyDescent="0.2">
      <c r="A1749" s="5">
        <v>1688</v>
      </c>
      <c r="B1749" s="138">
        <f>'Tax Sched 23'!B10</f>
        <v>107923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60138</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11743255</v>
      </c>
      <c r="C1759" s="2" t="s">
        <v>594</v>
      </c>
      <c r="D1759" s="2" t="str">
        <f t="shared" si="26"/>
        <v>Error?</v>
      </c>
    </row>
    <row r="1760" spans="1:5" x14ac:dyDescent="0.2">
      <c r="A1760" s="5">
        <v>1699</v>
      </c>
      <c r="B1760" s="138">
        <f>'Tax Sched 23'!D4</f>
        <v>3858548.4699999997</v>
      </c>
      <c r="C1760" s="2" t="s">
        <v>594</v>
      </c>
      <c r="D1760" s="2" t="str">
        <f t="shared" si="26"/>
        <v>Error?</v>
      </c>
    </row>
    <row r="1761" spans="1:5" x14ac:dyDescent="0.2">
      <c r="A1761" s="5">
        <v>1700</v>
      </c>
      <c r="B1761" s="138">
        <f>'Tax Sched 23'!D5</f>
        <v>496618.99</v>
      </c>
      <c r="C1761" s="2" t="s">
        <v>594</v>
      </c>
      <c r="D1761" s="2" t="str">
        <f t="shared" si="26"/>
        <v>Error?</v>
      </c>
    </row>
    <row r="1762" spans="1:5" s="8" customFormat="1" x14ac:dyDescent="0.2">
      <c r="A1762" s="5">
        <v>1701</v>
      </c>
      <c r="B1762" s="138">
        <f>'Tax Sched 23'!D6</f>
        <v>175696.47</v>
      </c>
      <c r="C1762" s="2" t="s">
        <v>594</v>
      </c>
      <c r="D1762" s="2" t="str">
        <f t="shared" si="26"/>
        <v>Error?</v>
      </c>
      <c r="E1762" s="9"/>
    </row>
    <row r="1763" spans="1:5" x14ac:dyDescent="0.2">
      <c r="A1763" s="5">
        <v>1702</v>
      </c>
      <c r="B1763" s="138">
        <f>'Tax Sched 23'!D7</f>
        <v>188405.40000000002</v>
      </c>
      <c r="C1763" s="2" t="s">
        <v>594</v>
      </c>
      <c r="D1763" s="2" t="str">
        <f t="shared" si="26"/>
        <v>Error?</v>
      </c>
    </row>
    <row r="1764" spans="1:5" x14ac:dyDescent="0.2">
      <c r="A1764" s="5">
        <v>1703</v>
      </c>
      <c r="B1764" s="138">
        <f>'Tax Sched 23'!D8</f>
        <v>225522.76</v>
      </c>
      <c r="C1764" s="2" t="s">
        <v>594</v>
      </c>
      <c r="D1764" s="2" t="str">
        <f t="shared" si="26"/>
        <v>Error?</v>
      </c>
    </row>
    <row r="1765" spans="1:5" x14ac:dyDescent="0.2">
      <c r="A1765" s="5">
        <v>1704</v>
      </c>
      <c r="B1765" s="138">
        <f>'Tax Sched 23'!D10</f>
        <v>49770.8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37074.81</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-515791.81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5421963.6499999994</v>
      </c>
      <c r="C1775" s="2" t="s">
        <v>594</v>
      </c>
      <c r="D1775" s="2" t="str">
        <f t="shared" si="26"/>
        <v>Error?</v>
      </c>
    </row>
    <row r="1776" spans="1:5" x14ac:dyDescent="0.2">
      <c r="A1776" s="5">
        <v>1715</v>
      </c>
      <c r="B1776" s="138">
        <f>'Tax Sched 23'!C4</f>
        <v>4507865.53</v>
      </c>
      <c r="D1776" s="2" t="str">
        <f t="shared" si="26"/>
        <v>Error?</v>
      </c>
    </row>
    <row r="1777" spans="1:4" x14ac:dyDescent="0.2">
      <c r="A1777" s="5">
        <v>1716</v>
      </c>
      <c r="B1777" s="138">
        <f>'Tax Sched 23'!C5</f>
        <v>580204.01</v>
      </c>
      <c r="D1777" s="2" t="str">
        <f t="shared" si="26"/>
        <v>Error?</v>
      </c>
    </row>
    <row r="1778" spans="1:4" x14ac:dyDescent="0.2">
      <c r="A1778" s="5">
        <v>1717</v>
      </c>
      <c r="B1778" s="138">
        <f>'Tax Sched 23'!C6</f>
        <v>190765.53</v>
      </c>
      <c r="D1778" s="2" t="str">
        <f t="shared" si="26"/>
        <v>Error?</v>
      </c>
    </row>
    <row r="1779" spans="1:4" x14ac:dyDescent="0.2">
      <c r="A1779" s="5">
        <v>1718</v>
      </c>
      <c r="B1779" s="138">
        <f>'Tax Sched 23'!C7</f>
        <v>342982.6</v>
      </c>
      <c r="D1779" s="2" t="str">
        <f t="shared" si="26"/>
        <v>Error?</v>
      </c>
    </row>
    <row r="1780" spans="1:4" x14ac:dyDescent="0.2">
      <c r="A1780" s="5">
        <v>1719</v>
      </c>
      <c r="B1780" s="138">
        <f>'Tax Sched 23'!C8</f>
        <v>51233.24</v>
      </c>
      <c r="D1780" s="2" t="str">
        <f t="shared" si="26"/>
        <v>Error?</v>
      </c>
    </row>
    <row r="1781" spans="1:4" x14ac:dyDescent="0.2">
      <c r="A1781" s="5">
        <v>1720</v>
      </c>
      <c r="B1781" s="138">
        <f>'Tax Sched 23'!C10</f>
        <v>58152.2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23063.19</v>
      </c>
      <c r="D1784" s="2" t="str">
        <f t="shared" si="26"/>
        <v>Error?</v>
      </c>
    </row>
    <row r="1785" spans="1:4" x14ac:dyDescent="0.2">
      <c r="A1785" s="5">
        <v>1724</v>
      </c>
      <c r="B1785" s="138">
        <f>'Tax Sched 23'!C12</f>
        <v>0</v>
      </c>
      <c r="D1785" s="2" t="str">
        <f t="shared" si="26"/>
        <v>Error?</v>
      </c>
    </row>
    <row r="1786" spans="1:4" x14ac:dyDescent="0.2">
      <c r="A1786" s="5">
        <v>1725</v>
      </c>
      <c r="B1786" s="138">
        <f>'Tax Sched 23'!C14</f>
        <v>515791.81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6321291.3500000006</v>
      </c>
      <c r="C1791" s="2" t="s">
        <v>594</v>
      </c>
      <c r="D1791" s="2" t="str">
        <f t="shared" ref="D1791:D1854" si="27">IF(ISBLANK(B1791),"OK",IF(A1791-B1791=0,"OK","Error?"))</f>
        <v>Error?</v>
      </c>
    </row>
    <row r="1792" spans="1:4" x14ac:dyDescent="0.2">
      <c r="A1792" s="5">
        <v>1731</v>
      </c>
      <c r="B1792" s="138">
        <f>'Tax Sched 23'!F4</f>
        <v>4063288.4699999997</v>
      </c>
      <c r="C1792" s="2" t="s">
        <v>594</v>
      </c>
      <c r="D1792" s="2" t="str">
        <f t="shared" si="27"/>
        <v>Error?</v>
      </c>
    </row>
    <row r="1793" spans="1:4" x14ac:dyDescent="0.2">
      <c r="A1793" s="5">
        <v>1732</v>
      </c>
      <c r="B1793" s="138">
        <f>'Tax Sched 23'!F5</f>
        <v>522981.99</v>
      </c>
      <c r="C1793" s="2" t="s">
        <v>594</v>
      </c>
      <c r="D1793" s="2" t="str">
        <f t="shared" si="27"/>
        <v>Error?</v>
      </c>
    </row>
    <row r="1794" spans="1:4" x14ac:dyDescent="0.2">
      <c r="A1794" s="5">
        <v>1733</v>
      </c>
      <c r="B1794" s="138">
        <f>'Tax Sched 23'!F6</f>
        <v>171904.47</v>
      </c>
      <c r="C1794" s="2" t="s">
        <v>594</v>
      </c>
      <c r="D1794" s="2" t="str">
        <f t="shared" si="27"/>
        <v>Error?</v>
      </c>
    </row>
    <row r="1795" spans="1:4" x14ac:dyDescent="0.2">
      <c r="A1795" s="5">
        <v>1734</v>
      </c>
      <c r="B1795" s="138">
        <f>'Tax Sched 23'!F7</f>
        <v>309156.40000000002</v>
      </c>
      <c r="C1795" s="2" t="s">
        <v>594</v>
      </c>
      <c r="D1795" s="2" t="str">
        <f t="shared" si="27"/>
        <v>Error?</v>
      </c>
    </row>
    <row r="1796" spans="1:4" x14ac:dyDescent="0.2">
      <c r="A1796" s="5">
        <v>1735</v>
      </c>
      <c r="B1796" s="138">
        <f>'Tax Sched 23'!F8</f>
        <v>46179.76</v>
      </c>
      <c r="C1796" s="2" t="s">
        <v>594</v>
      </c>
      <c r="D1796" s="2" t="str">
        <f t="shared" si="27"/>
        <v>Error?</v>
      </c>
    </row>
    <row r="1797" spans="1:4" x14ac:dyDescent="0.2">
      <c r="A1797" s="5">
        <v>1736</v>
      </c>
      <c r="B1797" s="138">
        <f>'Tax Sched 23'!F10</f>
        <v>52416.800000000003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20787.810000000001</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464923.19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5697818.6499999994</v>
      </c>
      <c r="C1807" s="2" t="s">
        <v>594</v>
      </c>
      <c r="D1807" s="2" t="str">
        <f t="shared" si="27"/>
        <v>Error?</v>
      </c>
    </row>
    <row r="1808" spans="1:4" x14ac:dyDescent="0.2">
      <c r="A1808" s="5">
        <v>1747</v>
      </c>
      <c r="B1808" s="138">
        <f>'Tax Sched 23'!E4</f>
        <v>8571154</v>
      </c>
      <c r="D1808" s="2" t="str">
        <f t="shared" si="27"/>
        <v>Error?</v>
      </c>
    </row>
    <row r="1809" spans="1:4" x14ac:dyDescent="0.2">
      <c r="A1809" s="5">
        <v>1748</v>
      </c>
      <c r="B1809" s="138">
        <f>'Tax Sched 23'!E5</f>
        <v>1103186</v>
      </c>
      <c r="D1809" s="2" t="str">
        <f t="shared" si="27"/>
        <v>Error?</v>
      </c>
    </row>
    <row r="1810" spans="1:4" x14ac:dyDescent="0.2">
      <c r="A1810" s="5">
        <v>1749</v>
      </c>
      <c r="B1810" s="138">
        <f>'Tax Sched 23'!E6</f>
        <v>362670</v>
      </c>
      <c r="D1810" s="2" t="str">
        <f t="shared" si="27"/>
        <v>Error?</v>
      </c>
    </row>
    <row r="1811" spans="1:4" x14ac:dyDescent="0.2">
      <c r="A1811" s="5">
        <v>1750</v>
      </c>
      <c r="B1811" s="138">
        <f>'Tax Sched 23'!E7</f>
        <v>652139</v>
      </c>
      <c r="D1811" s="2" t="str">
        <f t="shared" si="27"/>
        <v>Error?</v>
      </c>
    </row>
    <row r="1812" spans="1:4" x14ac:dyDescent="0.2">
      <c r="A1812" s="5">
        <v>1751</v>
      </c>
      <c r="B1812" s="138">
        <f>'Tax Sched 23'!E8</f>
        <v>97413</v>
      </c>
      <c r="D1812" s="2" t="str">
        <f t="shared" si="27"/>
        <v>Error?</v>
      </c>
    </row>
    <row r="1813" spans="1:4" x14ac:dyDescent="0.2">
      <c r="A1813" s="5">
        <v>1752</v>
      </c>
      <c r="B1813" s="138">
        <f>'Tax Sched 23'!E10</f>
        <v>110569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43851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980715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12019110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2700000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976381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976381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976381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185220</v>
      </c>
      <c r="D2008" s="2" t="str">
        <f t="shared" si="30"/>
        <v>Error?</v>
      </c>
    </row>
    <row r="2009" spans="1:4" x14ac:dyDescent="0.2">
      <c r="A2009" s="5">
        <v>1948</v>
      </c>
      <c r="B2009" s="138">
        <f>'Cap Outlay Deprec 26'!C8</f>
        <v>19215947</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1379210</v>
      </c>
      <c r="D2011" s="2" t="str">
        <f t="shared" si="30"/>
        <v>Error?</v>
      </c>
    </row>
    <row r="2012" spans="1:4" x14ac:dyDescent="0.2">
      <c r="A2012" s="5">
        <v>1951</v>
      </c>
      <c r="B2012" s="138">
        <f>'Cap Outlay Deprec 26'!C13</f>
        <v>2317279</v>
      </c>
      <c r="D2012" s="2" t="str">
        <f t="shared" si="30"/>
        <v>Error?</v>
      </c>
    </row>
    <row r="2013" spans="1:4" x14ac:dyDescent="0.2">
      <c r="A2013" s="5">
        <v>1952</v>
      </c>
      <c r="B2013" s="138">
        <f>'Cap Outlay Deprec 26'!C16</f>
        <v>23097656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6150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115984</v>
      </c>
      <c r="D2017" s="2" t="str">
        <f t="shared" si="30"/>
        <v>Error?</v>
      </c>
    </row>
    <row r="2018" spans="1:4" x14ac:dyDescent="0.2">
      <c r="A2018" s="5">
        <v>1957</v>
      </c>
      <c r="B2018" s="138">
        <f>'Cap Outlay Deprec 26'!D13</f>
        <v>163076</v>
      </c>
      <c r="D2018" s="2" t="str">
        <f t="shared" si="30"/>
        <v>Error?</v>
      </c>
    </row>
    <row r="2019" spans="1:4" x14ac:dyDescent="0.2">
      <c r="A2019" s="5">
        <v>1958</v>
      </c>
      <c r="B2019" s="138">
        <f>'Cap Outlay Deprec 26'!D16</f>
        <v>285210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185220</v>
      </c>
      <c r="C2026" s="2" t="s">
        <v>594</v>
      </c>
      <c r="D2026" s="2" t="str">
        <f t="shared" si="30"/>
        <v>Error?</v>
      </c>
    </row>
    <row r="2027" spans="1:4" x14ac:dyDescent="0.2">
      <c r="A2027" s="5">
        <v>1966</v>
      </c>
      <c r="B2027" s="138">
        <f>'Cap Outlay Deprec 26'!F8</f>
        <v>19222097</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1495194</v>
      </c>
      <c r="C2029" s="2" t="s">
        <v>594</v>
      </c>
      <c r="D2029" s="2" t="str">
        <f t="shared" si="30"/>
        <v>Error?</v>
      </c>
    </row>
    <row r="2030" spans="1:4" x14ac:dyDescent="0.2">
      <c r="A2030" s="5">
        <v>1969</v>
      </c>
      <c r="B2030" s="138">
        <f>'Cap Outlay Deprec 26'!F13</f>
        <v>2480355</v>
      </c>
      <c r="C2030" s="2" t="s">
        <v>594</v>
      </c>
      <c r="D2030" s="2" t="str">
        <f t="shared" si="30"/>
        <v>Error?</v>
      </c>
    </row>
    <row r="2031" spans="1:4" x14ac:dyDescent="0.2">
      <c r="A2031" s="5">
        <v>1970</v>
      </c>
      <c r="B2031" s="138">
        <f>'Cap Outlay Deprec 26'!F16</f>
        <v>23382866</v>
      </c>
      <c r="C2031" s="2" t="s">
        <v>594</v>
      </c>
      <c r="D2031" s="2" t="str">
        <f t="shared" si="30"/>
        <v>Error?</v>
      </c>
    </row>
    <row r="2032" spans="1:4" x14ac:dyDescent="0.2">
      <c r="A2032" s="10">
        <v>1971</v>
      </c>
      <c r="D2032" s="2" t="str">
        <f t="shared" si="30"/>
        <v>OK</v>
      </c>
    </row>
    <row r="2033" spans="1:4" x14ac:dyDescent="0.2">
      <c r="A2033" s="5">
        <v>1972</v>
      </c>
      <c r="B2033" s="138">
        <f>'Cap Outlay Deprec 26'!H8</f>
        <v>6932989</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899054</v>
      </c>
      <c r="D2035" s="2" t="str">
        <f t="shared" si="30"/>
        <v>Error?</v>
      </c>
    </row>
    <row r="2036" spans="1:4" x14ac:dyDescent="0.2">
      <c r="A2036" s="5">
        <v>1975</v>
      </c>
      <c r="B2036" s="138">
        <f>'Cap Outlay Deprec 26'!H13</f>
        <v>1767408</v>
      </c>
      <c r="D2036" s="2" t="str">
        <f t="shared" si="30"/>
        <v>Error?</v>
      </c>
    </row>
    <row r="2037" spans="1:4" x14ac:dyDescent="0.2">
      <c r="A2037" s="5">
        <v>1976</v>
      </c>
      <c r="B2037" s="138">
        <f>'Cap Outlay Deprec 26'!H16</f>
        <v>9599451</v>
      </c>
      <c r="C2037" s="2" t="s">
        <v>594</v>
      </c>
      <c r="D2037" s="2" t="str">
        <f t="shared" si="30"/>
        <v>Error?</v>
      </c>
    </row>
    <row r="2038" spans="1:4" x14ac:dyDescent="0.2">
      <c r="A2038" s="10">
        <v>1977</v>
      </c>
      <c r="D2038" s="2" t="str">
        <f t="shared" si="30"/>
        <v>OK</v>
      </c>
    </row>
    <row r="2039" spans="1:4" x14ac:dyDescent="0.2">
      <c r="A2039" s="5">
        <v>1978</v>
      </c>
      <c r="B2039" s="138">
        <f>'Cap Outlay Deprec 26'!I8</f>
        <v>450439</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79747</v>
      </c>
      <c r="D2041" s="2" t="str">
        <f t="shared" si="30"/>
        <v>Error?</v>
      </c>
    </row>
    <row r="2042" spans="1:4" x14ac:dyDescent="0.2">
      <c r="A2042" s="5">
        <v>1981</v>
      </c>
      <c r="B2042" s="138">
        <f>'Cap Outlay Deprec 26'!I13</f>
        <v>220836</v>
      </c>
      <c r="D2042" s="2" t="str">
        <f t="shared" si="30"/>
        <v>Error?</v>
      </c>
    </row>
    <row r="2043" spans="1:4" x14ac:dyDescent="0.2">
      <c r="A2043" s="5">
        <v>1982</v>
      </c>
      <c r="B2043" s="138">
        <f>'Cap Outlay Deprec 26'!I16</f>
        <v>751022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7383428</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978801</v>
      </c>
      <c r="C2053" s="2" t="s">
        <v>594</v>
      </c>
      <c r="D2053" s="2" t="str">
        <f t="shared" si="31"/>
        <v>Error?</v>
      </c>
    </row>
    <row r="2054" spans="1:4" x14ac:dyDescent="0.2">
      <c r="A2054" s="5">
        <v>1993</v>
      </c>
      <c r="B2054" s="138">
        <f>'Cap Outlay Deprec 26'!K13</f>
        <v>1988244</v>
      </c>
      <c r="C2054" s="2" t="s">
        <v>594</v>
      </c>
      <c r="D2054" s="2" t="str">
        <f t="shared" si="31"/>
        <v>Error?</v>
      </c>
    </row>
    <row r="2055" spans="1:4" x14ac:dyDescent="0.2">
      <c r="A2055" s="5">
        <v>1994</v>
      </c>
      <c r="B2055" s="138">
        <f>'Cap Outlay Deprec 26'!K16</f>
        <v>10350473</v>
      </c>
      <c r="C2055" s="2" t="s">
        <v>594</v>
      </c>
      <c r="D2055" s="2" t="str">
        <f t="shared" si="31"/>
        <v>Error?</v>
      </c>
    </row>
    <row r="2056" spans="1:4" x14ac:dyDescent="0.2">
      <c r="A2056" s="5">
        <v>1995</v>
      </c>
      <c r="B2056" s="138">
        <f>'Cap Outlay Deprec 26'!L5</f>
        <v>185220</v>
      </c>
      <c r="C2056" s="2" t="s">
        <v>594</v>
      </c>
      <c r="D2056" s="2" t="str">
        <f t="shared" si="31"/>
        <v>Error?</v>
      </c>
    </row>
    <row r="2057" spans="1:4" x14ac:dyDescent="0.2">
      <c r="A2057" s="5">
        <v>1996</v>
      </c>
      <c r="B2057" s="138">
        <f>'Cap Outlay Deprec 26'!L8</f>
        <v>11838669</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516393</v>
      </c>
      <c r="C2059" s="2" t="s">
        <v>594</v>
      </c>
      <c r="D2059" s="2" t="str">
        <f t="shared" si="31"/>
        <v>Error?</v>
      </c>
    </row>
    <row r="2060" spans="1:4" x14ac:dyDescent="0.2">
      <c r="A2060" s="5">
        <v>1999</v>
      </c>
      <c r="B2060" s="138">
        <f>'Cap Outlay Deprec 26'!L13</f>
        <v>492111</v>
      </c>
      <c r="C2060" s="2" t="s">
        <v>594</v>
      </c>
      <c r="D2060" s="2" t="str">
        <f t="shared" si="31"/>
        <v>Error?</v>
      </c>
    </row>
    <row r="2061" spans="1:4" x14ac:dyDescent="0.2">
      <c r="A2061" s="5">
        <v>2000</v>
      </c>
      <c r="B2061" s="138">
        <f>'Cap Outlay Deprec 26'!L16</f>
        <v>13032393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1198300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1203855</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620745</v>
      </c>
      <c r="D2475" s="2" t="str">
        <f t="shared" si="37"/>
        <v>Error?</v>
      </c>
    </row>
    <row r="2476" spans="1:4" x14ac:dyDescent="0.2">
      <c r="A2476" s="10">
        <v>2415</v>
      </c>
      <c r="D2476" s="2" t="str">
        <f t="shared" si="37"/>
        <v>OK</v>
      </c>
    </row>
    <row r="2477" spans="1:4" x14ac:dyDescent="0.2">
      <c r="A2477" s="5">
        <v>2416</v>
      </c>
      <c r="B2477" s="138">
        <f>'Assets-Liab 5-6'!G38</f>
        <v>614374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200569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10147254</v>
      </c>
      <c r="C2551" s="2" t="s">
        <v>594</v>
      </c>
      <c r="D2551" s="2" t="str">
        <f t="shared" si="38"/>
        <v>Error?</v>
      </c>
    </row>
    <row r="2552" spans="1:4" x14ac:dyDescent="0.2">
      <c r="A2552" s="10">
        <v>2491</v>
      </c>
      <c r="D2552" s="2" t="str">
        <f t="shared" si="38"/>
        <v>OK</v>
      </c>
    </row>
    <row r="2553" spans="1:4" x14ac:dyDescent="0.2">
      <c r="A2553" s="5">
        <v>2492</v>
      </c>
      <c r="B2553" s="138">
        <f>'Acct Summary 7-8'!C6</f>
        <v>1000462</v>
      </c>
      <c r="C2553" s="2" t="s">
        <v>594</v>
      </c>
      <c r="D2553" s="2" t="str">
        <f t="shared" si="38"/>
        <v>Error?</v>
      </c>
    </row>
    <row r="2554" spans="1:4" x14ac:dyDescent="0.2">
      <c r="A2554" s="5">
        <v>2493</v>
      </c>
      <c r="B2554" s="138">
        <f>'Acct Summary 7-8'!C7</f>
        <v>285045</v>
      </c>
      <c r="C2554" s="2" t="s">
        <v>594</v>
      </c>
      <c r="D2554" s="2" t="str">
        <f t="shared" si="38"/>
        <v>Error?</v>
      </c>
    </row>
    <row r="2555" spans="1:4" x14ac:dyDescent="0.2">
      <c r="A2555" s="5">
        <v>2494</v>
      </c>
      <c r="B2555" s="138">
        <f>'Acct Summary 7-8'!C8</f>
        <v>11432761</v>
      </c>
      <c r="C2555" s="2" t="s">
        <v>594</v>
      </c>
      <c r="D2555" s="2" t="str">
        <f t="shared" si="38"/>
        <v>Error?</v>
      </c>
    </row>
    <row r="2556" spans="1:4" x14ac:dyDescent="0.2">
      <c r="A2556" s="5">
        <v>2495</v>
      </c>
      <c r="B2556" s="138">
        <f>'Acct Summary 7-8'!C12</f>
        <v>6953543</v>
      </c>
      <c r="C2556" s="2" t="s">
        <v>594</v>
      </c>
      <c r="D2556" s="2" t="str">
        <f t="shared" si="38"/>
        <v>Error?</v>
      </c>
    </row>
    <row r="2557" spans="1:4" x14ac:dyDescent="0.2">
      <c r="A2557" s="5">
        <v>2496</v>
      </c>
      <c r="B2557" s="138">
        <f>'Acct Summary 7-8'!C13</f>
        <v>2994141</v>
      </c>
      <c r="C2557" s="2" t="s">
        <v>594</v>
      </c>
      <c r="D2557" s="2" t="str">
        <f t="shared" si="38"/>
        <v>Error?</v>
      </c>
    </row>
    <row r="2558" spans="1:4" x14ac:dyDescent="0.2">
      <c r="A2558" s="5">
        <v>2497</v>
      </c>
      <c r="B2558" s="138">
        <f>'Acct Summary 7-8'!C14</f>
        <v>4981</v>
      </c>
      <c r="C2558" s="2" t="s">
        <v>594</v>
      </c>
      <c r="D2558" s="2" t="str">
        <f t="shared" si="38"/>
        <v>Error?</v>
      </c>
    </row>
    <row r="2559" spans="1:4" x14ac:dyDescent="0.2">
      <c r="A2559" s="5">
        <v>2498</v>
      </c>
      <c r="B2559" s="138">
        <f>'Acct Summary 7-8'!C15</f>
        <v>1203855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11156520</v>
      </c>
      <c r="C2561" s="2" t="s">
        <v>594</v>
      </c>
      <c r="D2561" s="2" t="str">
        <f t="shared" si="39"/>
        <v>Error?</v>
      </c>
    </row>
    <row r="2562" spans="1:4" x14ac:dyDescent="0.2">
      <c r="A2562" s="5">
        <v>2501</v>
      </c>
      <c r="B2562" s="138">
        <f>'Acct Summary 7-8'!C20</f>
        <v>276241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1165238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1165238</v>
      </c>
      <c r="C2568" s="2" t="s">
        <v>594</v>
      </c>
      <c r="D2568" s="2" t="str">
        <f t="shared" si="39"/>
        <v>Error?</v>
      </c>
    </row>
    <row r="2569" spans="1:4" x14ac:dyDescent="0.2">
      <c r="A2569" s="5">
        <v>2508</v>
      </c>
      <c r="B2569" s="138">
        <f>'Acct Summary 7-8'!D13</f>
        <v>843465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843465</v>
      </c>
      <c r="C2573" s="2" t="s">
        <v>594</v>
      </c>
      <c r="D2573" s="2" t="str">
        <f t="shared" si="39"/>
        <v>Error?</v>
      </c>
    </row>
    <row r="2574" spans="1:4" x14ac:dyDescent="0.2">
      <c r="A2574" s="5">
        <v>2513</v>
      </c>
      <c r="B2574" s="138">
        <f>'Acct Summary 7-8'!D20</f>
        <v>321773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905801</v>
      </c>
      <c r="C2591" s="2" t="s">
        <v>594</v>
      </c>
      <c r="D2591" s="2" t="str">
        <f t="shared" si="39"/>
        <v>Error?</v>
      </c>
    </row>
    <row r="2592" spans="1:4" x14ac:dyDescent="0.2">
      <c r="A2592" s="10">
        <v>2531</v>
      </c>
      <c r="D2592" s="2" t="str">
        <f t="shared" si="39"/>
        <v>OK</v>
      </c>
    </row>
    <row r="2593" spans="1:4" x14ac:dyDescent="0.2">
      <c r="A2593" s="5">
        <v>2532</v>
      </c>
      <c r="B2593" s="138">
        <f>'Acct Summary 7-8'!F6</f>
        <v>561121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1466922</v>
      </c>
      <c r="C2595" s="2" t="s">
        <v>594</v>
      </c>
      <c r="D2595" s="2" t="str">
        <f t="shared" si="39"/>
        <v>Error?</v>
      </c>
    </row>
    <row r="2596" spans="1:4" x14ac:dyDescent="0.2">
      <c r="A2596" s="5">
        <v>2535</v>
      </c>
      <c r="B2596" s="138">
        <f>'Acct Summary 7-8'!F13</f>
        <v>917406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917406</v>
      </c>
      <c r="C2600" s="2" t="s">
        <v>594</v>
      </c>
      <c r="D2600" s="2" t="str">
        <f t="shared" si="39"/>
        <v>Error?</v>
      </c>
    </row>
    <row r="2601" spans="1:4" x14ac:dyDescent="0.2">
      <c r="A2601" s="5">
        <v>2540</v>
      </c>
      <c r="B2601" s="138">
        <f>'Acct Summary 7-8'!F20</f>
        <v>549516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326779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326779</v>
      </c>
      <c r="C2606" s="2" t="s">
        <v>594</v>
      </c>
      <c r="D2606" s="2" t="str">
        <f t="shared" si="39"/>
        <v>Error?</v>
      </c>
    </row>
    <row r="2607" spans="1:4" x14ac:dyDescent="0.2">
      <c r="A2607" s="5">
        <v>2546</v>
      </c>
      <c r="B2607" s="138">
        <f>'Acct Summary 7-8'!G12</f>
        <v>135237</v>
      </c>
      <c r="C2607" s="2" t="s">
        <v>594</v>
      </c>
      <c r="D2607" s="2" t="str">
        <f t="shared" si="39"/>
        <v>Error?</v>
      </c>
    </row>
    <row r="2608" spans="1:4" x14ac:dyDescent="0.2">
      <c r="A2608" s="5">
        <v>2547</v>
      </c>
      <c r="B2608" s="138">
        <f>'Acct Summary 7-8'!G13</f>
        <v>167000</v>
      </c>
      <c r="C2608" s="2" t="s">
        <v>594</v>
      </c>
      <c r="D2608" s="2" t="str">
        <f t="shared" si="39"/>
        <v>Error?</v>
      </c>
    </row>
    <row r="2609" spans="1:4" x14ac:dyDescent="0.2">
      <c r="A2609" s="5">
        <v>2548</v>
      </c>
      <c r="B2609" s="138">
        <f>'Acct Summary 7-8'!G14</f>
        <v>32</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302269</v>
      </c>
      <c r="C2612" s="2" t="s">
        <v>594</v>
      </c>
      <c r="D2612" s="2" t="str">
        <f t="shared" si="39"/>
        <v>Error?</v>
      </c>
    </row>
    <row r="2613" spans="1:4" x14ac:dyDescent="0.2">
      <c r="A2613" s="5">
        <v>2552</v>
      </c>
      <c r="B2613" s="138">
        <f>'Acct Summary 7-8'!G20</f>
        <v>24510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371348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371348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344851</v>
      </c>
      <c r="C2634" s="2" t="s">
        <v>594</v>
      </c>
      <c r="D2634" s="2" t="str">
        <f t="shared" si="40"/>
        <v>Error?</v>
      </c>
    </row>
    <row r="2635" spans="1:4" x14ac:dyDescent="0.2">
      <c r="A2635" s="5">
        <v>2574</v>
      </c>
      <c r="B2635" s="138">
        <f>'Acct Summary 7-8'!E17</f>
        <v>344851</v>
      </c>
      <c r="C2635" s="2" t="s">
        <v>594</v>
      </c>
      <c r="D2635" s="2" t="str">
        <f t="shared" si="40"/>
        <v>Error?</v>
      </c>
    </row>
    <row r="2636" spans="1:4" x14ac:dyDescent="0.2">
      <c r="A2636" s="5">
        <v>2575</v>
      </c>
      <c r="B2636" s="138">
        <f>'Acct Summary 7-8'!E20</f>
        <v>26497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21245</v>
      </c>
      <c r="D2718" s="2" t="str">
        <f t="shared" si="41"/>
        <v>Error?</v>
      </c>
    </row>
    <row r="2719" spans="1:4" x14ac:dyDescent="0.2">
      <c r="A2719" s="5">
        <v>2658</v>
      </c>
      <c r="B2719" s="138">
        <f>'Expenditures 15-22'!D51</f>
        <v>8889</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30134</v>
      </c>
      <c r="C2724" s="2" t="s">
        <v>594</v>
      </c>
      <c r="D2724" s="2" t="str">
        <f t="shared" si="41"/>
        <v>Error?</v>
      </c>
    </row>
    <row r="2725" spans="1:4" x14ac:dyDescent="0.2">
      <c r="A2725" s="5">
        <v>2664</v>
      </c>
      <c r="B2725" s="138">
        <f>'Expenditures 15-22'!D247</f>
        <v>616</v>
      </c>
      <c r="D2725" s="2" t="str">
        <f t="shared" si="41"/>
        <v>Error?</v>
      </c>
    </row>
    <row r="2726" spans="1:4" x14ac:dyDescent="0.2">
      <c r="A2726" s="5">
        <v>2665</v>
      </c>
      <c r="B2726" s="138">
        <f>'Expenditures 15-22'!K247</f>
        <v>616</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5555</v>
      </c>
      <c r="C2789" s="2" t="s">
        <v>594</v>
      </c>
      <c r="D2789" s="2" t="str">
        <f t="shared" si="42"/>
        <v>Error?</v>
      </c>
    </row>
    <row r="2790" spans="1:4" x14ac:dyDescent="0.2">
      <c r="A2790" s="5">
        <v>2729</v>
      </c>
      <c r="B2790" s="138">
        <f>'Expenditures 15-22'!E102</f>
        <v>5555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2792489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21835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2792489</v>
      </c>
      <c r="D2912" s="2" t="str">
        <f t="shared" si="44"/>
        <v>Error?</v>
      </c>
    </row>
    <row r="2913" spans="1:4" x14ac:dyDescent="0.2">
      <c r="A2913" s="5">
        <v>2852</v>
      </c>
      <c r="B2913" s="138">
        <f>'Assets-Liab 5-6'!I41</f>
        <v>2792489</v>
      </c>
      <c r="C2913" s="2" t="s">
        <v>594</v>
      </c>
      <c r="D2913" s="2" t="str">
        <f t="shared" si="44"/>
        <v>Error?</v>
      </c>
    </row>
    <row r="2914" spans="1:4" x14ac:dyDescent="0.2">
      <c r="A2914" s="5">
        <v>2853</v>
      </c>
      <c r="B2914" s="138">
        <f>'Assets-Liab 5-6'!L33</f>
        <v>21835</v>
      </c>
      <c r="D2914" s="2" t="str">
        <f t="shared" si="44"/>
        <v>Error?</v>
      </c>
    </row>
    <row r="2915" spans="1:4" x14ac:dyDescent="0.2">
      <c r="A2915" s="10">
        <v>2854</v>
      </c>
      <c r="D2915" s="2" t="str">
        <f t="shared" si="44"/>
        <v>OK</v>
      </c>
    </row>
    <row r="2916" spans="1:4" x14ac:dyDescent="0.2">
      <c r="A2916" s="5">
        <v>2855</v>
      </c>
      <c r="B2916" s="138">
        <f>'Assets-Liab 5-6'!L34</f>
        <v>21835</v>
      </c>
      <c r="C2916" s="2" t="s">
        <v>594</v>
      </c>
      <c r="D2916" s="2" t="str">
        <f t="shared" si="44"/>
        <v>Error?</v>
      </c>
    </row>
    <row r="2917" spans="1:4" x14ac:dyDescent="0.2">
      <c r="A2917" s="5">
        <v>2856</v>
      </c>
      <c r="B2917" s="138">
        <f>'Assets-Liab 5-6'!L41</f>
        <v>21835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5555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1198300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1203855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282853</v>
      </c>
      <c r="D3055" s="2" t="str">
        <f t="shared" si="46"/>
        <v>Error?</v>
      </c>
    </row>
    <row r="3056" spans="1:4" x14ac:dyDescent="0.2">
      <c r="A3056" s="5">
        <v>2995</v>
      </c>
      <c r="B3056" s="138">
        <f>'Expenditures 15-22'!D10</f>
        <v>37970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7034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7005</v>
      </c>
      <c r="D3060" s="2" t="str">
        <f t="shared" si="46"/>
        <v>Error?</v>
      </c>
    </row>
    <row r="3061" spans="1:4" x14ac:dyDescent="0.2">
      <c r="A3061" s="10">
        <v>3000</v>
      </c>
      <c r="D3061" s="2" t="str">
        <f t="shared" si="46"/>
        <v>OK</v>
      </c>
    </row>
    <row r="3062" spans="1:4" x14ac:dyDescent="0.2">
      <c r="A3062" s="5">
        <v>3001</v>
      </c>
      <c r="B3062" s="138">
        <f>'Expenditures 15-22'!K10</f>
        <v>334862</v>
      </c>
      <c r="C3062" s="2" t="s">
        <v>594</v>
      </c>
      <c r="D3062" s="2" t="str">
        <f t="shared" si="46"/>
        <v>Error?</v>
      </c>
    </row>
    <row r="3063" spans="1:4" x14ac:dyDescent="0.2">
      <c r="A3063" s="10">
        <v>3002</v>
      </c>
      <c r="D3063" s="2" t="str">
        <f t="shared" si="46"/>
        <v>OK</v>
      </c>
    </row>
    <row r="3064" spans="1:4" x14ac:dyDescent="0.2">
      <c r="A3064" s="5">
        <v>3003</v>
      </c>
      <c r="B3064" s="138">
        <f>'Expenditures 15-22'!D219</f>
        <v>3918</v>
      </c>
      <c r="D3064" s="2" t="str">
        <f t="shared" si="46"/>
        <v>Error?</v>
      </c>
    </row>
    <row r="3065" spans="1:4" x14ac:dyDescent="0.2">
      <c r="A3065" s="5">
        <v>3004</v>
      </c>
      <c r="B3065" s="138">
        <f>'Expenditures 15-22'!K219</f>
        <v>3918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129439</v>
      </c>
      <c r="C3225" s="2" t="s">
        <v>594</v>
      </c>
      <c r="D3225" s="2" t="str">
        <f t="shared" si="49"/>
        <v>Error?</v>
      </c>
    </row>
    <row r="3226" spans="1:4" x14ac:dyDescent="0.2">
      <c r="A3226" s="5">
        <v>3165</v>
      </c>
      <c r="B3226" s="138">
        <f>'Acct Summary 7-8'!I8</f>
        <v>129439</v>
      </c>
      <c r="C3226" s="2" t="s">
        <v>594</v>
      </c>
      <c r="D3226" s="2" t="str">
        <f t="shared" si="49"/>
        <v>Error?</v>
      </c>
    </row>
    <row r="3227" spans="1:4" x14ac:dyDescent="0.2">
      <c r="A3227" s="5">
        <v>3166</v>
      </c>
      <c r="B3227" s="138">
        <f>'Acct Summary 7-8'!I20</f>
        <v>129439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276241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321773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549516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24510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26497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129439</v>
      </c>
      <c r="C3320" s="2" t="s">
        <v>594</v>
      </c>
      <c r="D3320" s="2" t="str">
        <f t="shared" si="50"/>
        <v>Error?</v>
      </c>
    </row>
    <row r="3321" spans="1:4" x14ac:dyDescent="0.2">
      <c r="A3321" s="5">
        <v>3260</v>
      </c>
      <c r="B3321" s="138">
        <f>'Acct Summary 7-8'!I79</f>
        <v>2663050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2792489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764507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114904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21757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4640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905808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65903</v>
      </c>
      <c r="D3387" s="2" t="str">
        <f t="shared" si="51"/>
        <v>Error?</v>
      </c>
    </row>
    <row r="3388" spans="1:4" x14ac:dyDescent="0.2">
      <c r="A3388" s="5">
        <v>3327</v>
      </c>
      <c r="B3388" s="138">
        <f>'Expenditures 15-22'!D217</f>
        <v>48733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65903</v>
      </c>
      <c r="C3390" s="2" t="s">
        <v>594</v>
      </c>
      <c r="D3390" s="2" t="str">
        <f t="shared" si="51"/>
        <v>Error?</v>
      </c>
    </row>
    <row r="3391" spans="1:4" x14ac:dyDescent="0.2">
      <c r="A3391" s="5">
        <v>3330</v>
      </c>
      <c r="B3391" s="138">
        <f>'Expenditures 15-22'!K217</f>
        <v>48733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14004757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1597709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200569</v>
      </c>
      <c r="D3417" s="2" t="str">
        <f t="shared" si="52"/>
        <v>Error?</v>
      </c>
    </row>
    <row r="3418" spans="1:4" x14ac:dyDescent="0.2">
      <c r="A3418" s="10">
        <v>3357</v>
      </c>
      <c r="D3418" s="2" t="str">
        <f t="shared" si="52"/>
        <v>OK</v>
      </c>
    </row>
    <row r="3419" spans="1:4" x14ac:dyDescent="0.2">
      <c r="A3419" s="5">
        <v>3358</v>
      </c>
      <c r="B3419" s="138">
        <f>'Assets-Liab 5-6'!F4</f>
        <v>620745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614374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183</v>
      </c>
      <c r="D3425" s="2" t="str">
        <f t="shared" si="52"/>
        <v>Error?</v>
      </c>
    </row>
    <row r="3426" spans="1:4" x14ac:dyDescent="0.2">
      <c r="A3426" s="10">
        <v>3365</v>
      </c>
      <c r="D3426" s="2" t="str">
        <f t="shared" si="52"/>
        <v>OK</v>
      </c>
    </row>
    <row r="3427" spans="1:4" x14ac:dyDescent="0.2">
      <c r="A3427" s="5">
        <v>3366</v>
      </c>
      <c r="B3427" s="138">
        <f>'Assets-Liab 5-6'!I4</f>
        <v>1094185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21835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-51233.24</v>
      </c>
      <c r="C3447" s="2" t="s">
        <v>594</v>
      </c>
      <c r="D3447" s="2" t="str">
        <f t="shared" si="52"/>
        <v>Error?</v>
      </c>
    </row>
    <row r="3448" spans="1:4" x14ac:dyDescent="0.2">
      <c r="A3448" s="5">
        <v>3387</v>
      </c>
      <c r="B3448" s="138">
        <f>'Tax Sched 23'!C16</f>
        <v>51233.24</v>
      </c>
      <c r="D3448" s="2" t="str">
        <f t="shared" si="52"/>
        <v>Error?</v>
      </c>
    </row>
    <row r="3449" spans="1:4" x14ac:dyDescent="0.2">
      <c r="A3449" s="5">
        <v>3388</v>
      </c>
      <c r="B3449" s="138">
        <f>'Tax Sched 23'!F16</f>
        <v>46179.76</v>
      </c>
      <c r="C3449" s="2" t="s">
        <v>594</v>
      </c>
      <c r="D3449" s="2" t="str">
        <f t="shared" si="52"/>
        <v>Error?</v>
      </c>
    </row>
    <row r="3450" spans="1:4" x14ac:dyDescent="0.2">
      <c r="A3450" s="5">
        <v>3389</v>
      </c>
      <c r="B3450" s="138">
        <f>'Tax Sched 23'!E16</f>
        <v>97413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587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587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587</v>
      </c>
      <c r="D3567" s="2" t="str">
        <f t="shared" si="54"/>
        <v>Error?</v>
      </c>
    </row>
    <row r="3568" spans="1:4" x14ac:dyDescent="0.2">
      <c r="A3568" s="5">
        <v>3507</v>
      </c>
      <c r="B3568" s="138">
        <f>'Assets-Liab 5-6'!K41</f>
        <v>587</v>
      </c>
      <c r="C3568" s="2" t="s">
        <v>594</v>
      </c>
      <c r="D3568" s="2" t="str">
        <f t="shared" si="54"/>
        <v>Error?</v>
      </c>
    </row>
    <row r="3569" spans="1:4" x14ac:dyDescent="0.2">
      <c r="A3569" s="5">
        <v>3508</v>
      </c>
      <c r="B3569" s="138">
        <f>'Acct Summary 7-8'!K4</f>
        <v>12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12</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12</v>
      </c>
      <c r="C3588" s="2" t="s">
        <v>594</v>
      </c>
      <c r="D3588" s="2" t="str">
        <f t="shared" si="55"/>
        <v>Error?</v>
      </c>
    </row>
    <row r="3589" spans="1:4" x14ac:dyDescent="0.2">
      <c r="A3589" s="5">
        <v>3528</v>
      </c>
      <c r="B3589" s="138">
        <f>'Acct Summary 7-8'!K79</f>
        <v>575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587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957351</v>
      </c>
      <c r="C3725" s="2" t="s">
        <v>594</v>
      </c>
      <c r="D3725" s="2" t="str">
        <f t="shared" si="57"/>
        <v>Error?</v>
      </c>
    </row>
    <row r="3726" spans="1:4" x14ac:dyDescent="0.2">
      <c r="A3726" s="5">
        <v>3665</v>
      </c>
      <c r="B3726" s="138">
        <f>'Tax Sched 23'!D13</f>
        <v>957351</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85325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784461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12217222</v>
      </c>
      <c r="C4122" s="2" t="s">
        <v>594</v>
      </c>
      <c r="D4122" s="2" t="str">
        <f t="shared" si="63"/>
        <v>Error?</v>
      </c>
    </row>
    <row r="4123" spans="1:4" x14ac:dyDescent="0.2">
      <c r="A4123" s="5">
        <v>4062</v>
      </c>
      <c r="B4123" s="138">
        <f>'Acct Summary 7-8'!D10</f>
        <v>1165238</v>
      </c>
      <c r="C4123" s="2" t="s">
        <v>594</v>
      </c>
      <c r="D4123" s="2" t="str">
        <f t="shared" si="63"/>
        <v>Error?</v>
      </c>
    </row>
    <row r="4124" spans="1:4" x14ac:dyDescent="0.2">
      <c r="A4124" s="5">
        <v>4063</v>
      </c>
      <c r="B4124" s="138">
        <f>'Acct Summary 7-8'!E10</f>
        <v>371348</v>
      </c>
      <c r="C4124" s="2" t="s">
        <v>594</v>
      </c>
      <c r="D4124" s="2" t="str">
        <f t="shared" si="63"/>
        <v>Error?</v>
      </c>
    </row>
    <row r="4125" spans="1:4" x14ac:dyDescent="0.2">
      <c r="A4125" s="5">
        <v>4064</v>
      </c>
      <c r="B4125" s="138">
        <f>'Acct Summary 7-8'!F10</f>
        <v>1466922</v>
      </c>
      <c r="C4125" s="2" t="s">
        <v>594</v>
      </c>
      <c r="D4125" s="2" t="str">
        <f t="shared" si="63"/>
        <v>Error?</v>
      </c>
    </row>
    <row r="4126" spans="1:4" x14ac:dyDescent="0.2">
      <c r="A4126" s="5">
        <v>4065</v>
      </c>
      <c r="B4126" s="138">
        <f>'Acct Summary 7-8'!G10</f>
        <v>326779</v>
      </c>
      <c r="C4126" s="2" t="s">
        <v>594</v>
      </c>
      <c r="D4126" s="2" t="str">
        <f t="shared" si="63"/>
        <v>Error?</v>
      </c>
    </row>
    <row r="4127" spans="1:4" x14ac:dyDescent="0.2">
      <c r="A4127" s="5">
        <v>4066</v>
      </c>
      <c r="B4127" s="138">
        <f>'Acct Summary 7-8'!H10</f>
        <v>3</v>
      </c>
      <c r="C4127" s="2" t="s">
        <v>594</v>
      </c>
      <c r="D4127" s="2" t="str">
        <f t="shared" si="63"/>
        <v>Error?</v>
      </c>
    </row>
    <row r="4128" spans="1:4" x14ac:dyDescent="0.2">
      <c r="A4128" s="5">
        <v>4067</v>
      </c>
      <c r="B4128" s="138">
        <f>'Acct Summary 7-8'!I10</f>
        <v>129439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12</v>
      </c>
      <c r="C4130" s="2" t="s">
        <v>594</v>
      </c>
      <c r="D4130" s="2" t="str">
        <f t="shared" si="63"/>
        <v>Error?</v>
      </c>
    </row>
    <row r="4131" spans="1:4" x14ac:dyDescent="0.2">
      <c r="A4131" s="5">
        <v>4070</v>
      </c>
      <c r="B4131" s="138">
        <f>'Acct Summary 7-8'!C18</f>
        <v>784461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11940981</v>
      </c>
      <c r="C4136" s="2" t="s">
        <v>594</v>
      </c>
      <c r="D4136" s="2" t="str">
        <f t="shared" si="63"/>
        <v>Error?</v>
      </c>
    </row>
    <row r="4137" spans="1:4" x14ac:dyDescent="0.2">
      <c r="A4137" s="5">
        <v>4076</v>
      </c>
      <c r="B4137" s="138">
        <f>'Acct Summary 7-8'!D19</f>
        <v>843465</v>
      </c>
      <c r="C4137" s="2" t="s">
        <v>594</v>
      </c>
      <c r="D4137" s="2" t="str">
        <f t="shared" si="63"/>
        <v>Error?</v>
      </c>
    </row>
    <row r="4138" spans="1:4" x14ac:dyDescent="0.2">
      <c r="A4138" s="5">
        <v>4077</v>
      </c>
      <c r="B4138" s="138">
        <f>'Acct Summary 7-8'!E19</f>
        <v>344851</v>
      </c>
      <c r="C4138" s="2" t="s">
        <v>594</v>
      </c>
      <c r="D4138" s="2" t="str">
        <f t="shared" si="63"/>
        <v>Error?</v>
      </c>
    </row>
    <row r="4139" spans="1:4" x14ac:dyDescent="0.2">
      <c r="A4139" s="5">
        <v>4078</v>
      </c>
      <c r="B4139" s="138">
        <f>'Acct Summary 7-8'!F19</f>
        <v>917406</v>
      </c>
      <c r="C4139" s="2" t="s">
        <v>594</v>
      </c>
      <c r="D4139" s="2" t="str">
        <f t="shared" si="63"/>
        <v>Error?</v>
      </c>
    </row>
    <row r="4140" spans="1:4" x14ac:dyDescent="0.2">
      <c r="A4140" s="5">
        <v>4079</v>
      </c>
      <c r="B4140" s="138">
        <f>'Acct Summary 7-8'!G19</f>
        <v>302269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2420000</v>
      </c>
      <c r="C4171" s="2" t="s">
        <v>594</v>
      </c>
      <c r="D4171" s="2" t="str">
        <f t="shared" si="64"/>
        <v>Error?</v>
      </c>
    </row>
    <row r="4172" spans="1:4" x14ac:dyDescent="0.2">
      <c r="A4172" s="5">
        <v>4111</v>
      </c>
      <c r="B4172" s="138">
        <f>'Short-Term Long-Term Debt 24'!J49</f>
        <v>2219431</v>
      </c>
      <c r="C4172" s="2" t="s">
        <v>594</v>
      </c>
      <c r="D4172" s="2" t="str">
        <f t="shared" si="64"/>
        <v>Error?</v>
      </c>
    </row>
    <row r="4173" spans="1:4" x14ac:dyDescent="0.2">
      <c r="A4173" s="5">
        <v>4112</v>
      </c>
      <c r="B4173" s="138">
        <f>'Short-Term Long-Term Debt 24'!H49</f>
        <v>280000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2736.4</v>
      </c>
      <c r="C4265" s="2" t="s">
        <v>594</v>
      </c>
      <c r="D4265" s="2" t="str">
        <f t="shared" si="65"/>
        <v>Error?</v>
      </c>
      <c r="E4265" s="128"/>
    </row>
    <row r="4266" spans="1:5" x14ac:dyDescent="0.2">
      <c r="A4266" s="12">
        <v>4205</v>
      </c>
      <c r="B4266" s="138">
        <f>('FP Info 3'!F10)*100000</f>
        <v>352.2</v>
      </c>
      <c r="C4266" s="2" t="s">
        <v>594</v>
      </c>
      <c r="D4266" s="2" t="str">
        <f t="shared" si="65"/>
        <v>Error?</v>
      </c>
      <c r="E4266" s="128"/>
    </row>
    <row r="4267" spans="1:5" x14ac:dyDescent="0.2">
      <c r="A4267" s="12">
        <v>4206</v>
      </c>
      <c r="B4267" s="138">
        <f>('FP Info 3'!H10)*100000</f>
        <v>208.20000000000002</v>
      </c>
      <c r="C4267" s="2" t="s">
        <v>594</v>
      </c>
      <c r="D4267" s="2" t="str">
        <f t="shared" si="65"/>
        <v>Error?</v>
      </c>
      <c r="E4267" s="128"/>
    </row>
    <row r="4268" spans="1:5" x14ac:dyDescent="0.2">
      <c r="A4268" s="12">
        <v>4207</v>
      </c>
      <c r="B4268" s="138">
        <f>('FP Info 3'!J10)*100000</f>
        <v>3297</v>
      </c>
      <c r="C4268" s="2" t="s">
        <v>594</v>
      </c>
      <c r="D4268" s="2" t="str">
        <f t="shared" si="65"/>
        <v>Error?</v>
      </c>
    </row>
    <row r="4269" spans="1:5" x14ac:dyDescent="0.2">
      <c r="A4269" s="12">
        <v>4208</v>
      </c>
      <c r="B4269" s="138">
        <f>'FP Info 3'!J16</f>
        <v>17317396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750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6006</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17559</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15714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35.299999999999997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313227404</v>
      </c>
      <c r="D4995" s="2" t="str">
        <f t="shared" si="77"/>
        <v>Error?</v>
      </c>
    </row>
    <row r="4996" spans="1:4" x14ac:dyDescent="0.2">
      <c r="A4996" s="12">
        <v>4935</v>
      </c>
      <c r="B4996" s="138">
        <f>'FP Info 3'!H31</f>
        <v>21612690.876000002</v>
      </c>
      <c r="D4996" s="2" t="str">
        <f t="shared" si="77"/>
        <v>Error?</v>
      </c>
    </row>
    <row r="4997" spans="1:4" x14ac:dyDescent="0.2">
      <c r="A4997" s="12">
        <v>4936</v>
      </c>
      <c r="B4997" s="138">
        <f>'FP Info 3'!H37</f>
        <v>2420000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957351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8366414</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9323765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23560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23560</v>
      </c>
      <c r="C5087" s="2" t="s">
        <v>594</v>
      </c>
      <c r="D5087" s="2" t="str">
        <f t="shared" si="78"/>
        <v>Error?</v>
      </c>
    </row>
    <row r="5088" spans="1:4" x14ac:dyDescent="0.2">
      <c r="A5088" s="5">
        <v>5027</v>
      </c>
      <c r="B5088" s="138">
        <f>'Revenues 9-14'!C65</f>
        <v>330149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330149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2874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111788</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155327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155327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202665</v>
      </c>
      <c r="D5119" s="2" t="str">
        <f t="shared" ref="D5119:D5182" si="79">IF(ISBLANK(B5119),"OK",IF(A5119-B5119=0,"OK","Error?"))</f>
        <v>Error?</v>
      </c>
    </row>
    <row r="5120" spans="1:4" x14ac:dyDescent="0.2">
      <c r="A5120" s="5">
        <v>5059</v>
      </c>
      <c r="B5120" s="138">
        <f>'Revenues 9-14'!C108</f>
        <v>202665</v>
      </c>
      <c r="C5120" s="2" t="s">
        <v>594</v>
      </c>
      <c r="D5120" s="2" t="str">
        <f t="shared" si="79"/>
        <v>Error?</v>
      </c>
    </row>
    <row r="5121" spans="1:4" x14ac:dyDescent="0.2">
      <c r="A5121" s="5">
        <v>5060</v>
      </c>
      <c r="B5121" s="138">
        <f>'Revenues 9-14'!C109</f>
        <v>10147254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793591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793591</v>
      </c>
      <c r="C5132" s="2" t="s">
        <v>594</v>
      </c>
      <c r="D5132" s="2" t="str">
        <f t="shared" si="79"/>
        <v>Error?</v>
      </c>
    </row>
    <row r="5133" spans="1:4" x14ac:dyDescent="0.2">
      <c r="A5133" s="5">
        <v>5072</v>
      </c>
      <c r="B5133" s="138">
        <f>'Revenues 9-14'!C124</f>
        <v>25955</v>
      </c>
      <c r="D5133" s="2" t="str">
        <f t="shared" si="79"/>
        <v>Error?</v>
      </c>
    </row>
    <row r="5134" spans="1:4" x14ac:dyDescent="0.2">
      <c r="A5134" s="5">
        <v>5073</v>
      </c>
      <c r="B5134" s="138">
        <f>'Revenues 9-14'!C125</f>
        <v>58652</v>
      </c>
      <c r="D5134" s="2" t="str">
        <f t="shared" si="79"/>
        <v>Error?</v>
      </c>
    </row>
    <row r="5135" spans="1:4" x14ac:dyDescent="0.2">
      <c r="A5135" s="5">
        <v>5074</v>
      </c>
      <c r="B5135" s="138">
        <f>'Revenues 9-14'!C126</f>
        <v>73497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158854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47159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47159</v>
      </c>
      <c r="C5165" s="2" t="s">
        <v>594</v>
      </c>
      <c r="D5165" s="2" t="str">
        <f t="shared" si="79"/>
        <v>Error?</v>
      </c>
    </row>
    <row r="5166" spans="1:4" x14ac:dyDescent="0.2">
      <c r="A5166" s="10">
        <v>5105</v>
      </c>
      <c r="D5166" s="2" t="str">
        <f t="shared" si="79"/>
        <v>OK</v>
      </c>
    </row>
    <row r="5167" spans="1:4" x14ac:dyDescent="0.2">
      <c r="A5167" s="5">
        <v>5106</v>
      </c>
      <c r="B5167" s="138">
        <f>'Revenues 9-14'!C145</f>
        <v>858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206871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1000462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85325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85325</v>
      </c>
      <c r="C5246" s="2" t="s">
        <v>594</v>
      </c>
      <c r="D5246" s="2" t="str">
        <f t="shared" si="80"/>
        <v>Error?</v>
      </c>
    </row>
    <row r="5247" spans="1:4" x14ac:dyDescent="0.2">
      <c r="A5247" s="5">
        <v>5186</v>
      </c>
      <c r="B5247" s="138">
        <f>'Revenues 9-14'!C203</f>
        <v>151578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6006</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151578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146</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285045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285045</v>
      </c>
      <c r="C5326" s="2" t="s">
        <v>594</v>
      </c>
      <c r="D5326" s="2" t="str">
        <f t="shared" si="82"/>
        <v>Error?</v>
      </c>
    </row>
    <row r="5327" spans="1:4" x14ac:dyDescent="0.2">
      <c r="A5327" s="5">
        <v>5266</v>
      </c>
      <c r="B5327" s="138">
        <f>'Revenues 9-14'!C275</f>
        <v>11432761</v>
      </c>
      <c r="C5327" s="2" t="s">
        <v>594</v>
      </c>
      <c r="D5327" s="2" t="str">
        <f t="shared" si="82"/>
        <v>Error?</v>
      </c>
    </row>
    <row r="5328" spans="1:4" x14ac:dyDescent="0.2">
      <c r="A5328" s="5">
        <v>5267</v>
      </c>
      <c r="B5328" s="138">
        <f>'Revenues 9-14'!D5</f>
        <v>1076823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1076823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31847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31847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56568</v>
      </c>
      <c r="D5354" s="2" t="str">
        <f t="shared" si="82"/>
        <v>Error?</v>
      </c>
    </row>
    <row r="5355" spans="1:4" x14ac:dyDescent="0.2">
      <c r="A5355" s="5">
        <v>5294</v>
      </c>
      <c r="B5355" s="138">
        <f>'Revenues 9-14'!D108</f>
        <v>56568</v>
      </c>
      <c r="C5355" s="2" t="s">
        <v>594</v>
      </c>
      <c r="D5355" s="2" t="str">
        <f t="shared" si="82"/>
        <v>Error?</v>
      </c>
    </row>
    <row r="5356" spans="1:4" x14ac:dyDescent="0.2">
      <c r="A5356" s="5">
        <v>5295</v>
      </c>
      <c r="B5356" s="138">
        <f>'Revenues 9-14'!D109</f>
        <v>1165238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1165238</v>
      </c>
      <c r="C5508" s="2" t="s">
        <v>594</v>
      </c>
      <c r="D5508" s="2" t="str">
        <f t="shared" si="85"/>
        <v>Error?</v>
      </c>
    </row>
    <row r="5509" spans="1:4" x14ac:dyDescent="0.2">
      <c r="A5509" s="5">
        <v>5448</v>
      </c>
      <c r="B5509" s="138">
        <f>'Revenues 9-14'!E5</f>
        <v>366462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366462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4886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4886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371348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371348</v>
      </c>
      <c r="C5552" s="2" t="s">
        <v>594</v>
      </c>
      <c r="D5552" s="2" t="str">
        <f t="shared" si="85"/>
        <v>Error?</v>
      </c>
    </row>
    <row r="5553" spans="1:4" x14ac:dyDescent="0.2">
      <c r="A5553" s="5">
        <v>5492</v>
      </c>
      <c r="B5553" s="138">
        <f>'Revenues 9-14'!F5</f>
        <v>531388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531388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368360</v>
      </c>
      <c r="D5561" s="2" t="str">
        <f t="shared" si="85"/>
        <v>Error?</v>
      </c>
    </row>
    <row r="5562" spans="1:4" x14ac:dyDescent="0.2">
      <c r="A5562" s="5">
        <v>5501</v>
      </c>
      <c r="B5562" s="138">
        <f>'Revenues 9-14'!F18</f>
        <v>368360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6053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6053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905801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211859</v>
      </c>
      <c r="D5615" s="2" t="str">
        <f t="shared" si="86"/>
        <v>Error?</v>
      </c>
    </row>
    <row r="5616" spans="1:4" x14ac:dyDescent="0.2">
      <c r="A5616" s="10">
        <v>5555</v>
      </c>
      <c r="D5616" s="2" t="str">
        <f t="shared" si="86"/>
        <v>OK</v>
      </c>
    </row>
    <row r="5617" spans="1:4" x14ac:dyDescent="0.2">
      <c r="A5617" s="5">
        <v>5556</v>
      </c>
      <c r="B5617" s="138">
        <f>'Revenues 9-14'!F152</f>
        <v>349262</v>
      </c>
      <c r="D5617" s="2" t="str">
        <f t="shared" si="86"/>
        <v>Error?</v>
      </c>
    </row>
    <row r="5618" spans="1:4" x14ac:dyDescent="0.2">
      <c r="A5618" s="5">
        <v>5557</v>
      </c>
      <c r="B5618" s="138">
        <f>'Revenues 9-14'!F154</f>
        <v>561121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561121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561121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1466922</v>
      </c>
      <c r="C5720" s="2" t="s">
        <v>594</v>
      </c>
      <c r="D5720" s="2" t="str">
        <f t="shared" si="88"/>
        <v>Error?</v>
      </c>
    </row>
    <row r="5721" spans="1:4" x14ac:dyDescent="0.2">
      <c r="A5721" s="5">
        <v>5660</v>
      </c>
      <c r="B5721" s="138">
        <f>'Revenues 9-14'!G5</f>
        <v>276756</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276756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34993</v>
      </c>
      <c r="D5729" s="2" t="str">
        <f t="shared" si="88"/>
        <v>Error?</v>
      </c>
    </row>
    <row r="5730" spans="1:4" x14ac:dyDescent="0.2">
      <c r="A5730" s="5">
        <v>5669</v>
      </c>
      <c r="B5730" s="138">
        <f>'Revenues 9-14'!G18</f>
        <v>34993</v>
      </c>
      <c r="C5730" s="2" t="s">
        <v>594</v>
      </c>
      <c r="D5730" s="2" t="str">
        <f t="shared" si="88"/>
        <v>Error?</v>
      </c>
    </row>
    <row r="5731" spans="1:4" x14ac:dyDescent="0.2">
      <c r="A5731" s="5">
        <v>5670</v>
      </c>
      <c r="B5731" s="138">
        <f>'Revenues 9-14'!G65</f>
        <v>15030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15030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326779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v>
      </c>
      <c r="C5915" s="2" t="s">
        <v>594</v>
      </c>
      <c r="D5915" s="2" t="str">
        <f t="shared" si="91"/>
        <v>Error?</v>
      </c>
    </row>
    <row r="5916" spans="1:4" x14ac:dyDescent="0.2">
      <c r="A5916" s="5">
        <v>5855</v>
      </c>
      <c r="B5916" s="138">
        <f>'Revenues 9-14'!I5</f>
        <v>107923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107923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21516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21516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129439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12</v>
      </c>
      <c r="C6023" s="2" t="s">
        <v>594</v>
      </c>
      <c r="D6023" s="2" t="str">
        <f t="shared" si="93"/>
        <v>Error?</v>
      </c>
    </row>
    <row r="6024" spans="1:5" x14ac:dyDescent="0.2">
      <c r="A6024" s="5">
        <v>5963</v>
      </c>
      <c r="B6024" s="138">
        <f>'Revenues 9-14'!G109</f>
        <v>326779</v>
      </c>
      <c r="C6024" s="2" t="s">
        <v>594</v>
      </c>
      <c r="D6024" s="2" t="str">
        <f t="shared" si="93"/>
        <v>Error?</v>
      </c>
    </row>
    <row r="6025" spans="1:5" x14ac:dyDescent="0.2">
      <c r="A6025" s="5">
        <v>5964</v>
      </c>
      <c r="B6025" s="138">
        <f>'Revenues 9-14'!H109</f>
        <v>3</v>
      </c>
      <c r="C6025" s="2" t="s">
        <v>594</v>
      </c>
      <c r="D6025" s="2" t="str">
        <f t="shared" si="93"/>
        <v>Error?</v>
      </c>
    </row>
    <row r="6026" spans="1:5" x14ac:dyDescent="0.2">
      <c r="A6026" s="5">
        <v>5965</v>
      </c>
      <c r="B6026" s="138">
        <f>'Revenues 9-14'!I109</f>
        <v>129439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108914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16249.38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848.51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1698304</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176428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176428</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176428</v>
      </c>
      <c r="D6216" s="2" t="str">
        <f t="shared" si="96"/>
        <v>Error?</v>
      </c>
      <c r="E6216" s="2" t="s">
        <v>199</v>
      </c>
    </row>
    <row r="6217" spans="1:5" x14ac:dyDescent="0.2">
      <c r="A6217">
        <v>6156</v>
      </c>
      <c r="B6217" s="138">
        <f>'Assets-Liab 5-6'!J4</f>
        <v>176428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63778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63778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63778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51234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51234</v>
      </c>
      <c r="D6229" s="2" t="str">
        <f t="shared" si="96"/>
        <v>Error?</v>
      </c>
      <c r="E6229" s="2" t="s">
        <v>199</v>
      </c>
    </row>
    <row r="6230" spans="1:5" x14ac:dyDescent="0.2">
      <c r="A6230">
        <v>6169</v>
      </c>
      <c r="B6230" s="138">
        <f>'Acct Summary 7-8'!J20</f>
        <v>12544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12544</v>
      </c>
      <c r="D6263" s="2" t="str">
        <f t="shared" si="96"/>
        <v>Error?</v>
      </c>
      <c r="E6263" s="2" t="s">
        <v>199</v>
      </c>
    </row>
    <row r="6264" spans="1:5" x14ac:dyDescent="0.2">
      <c r="A6264">
        <v>6203</v>
      </c>
      <c r="B6264" s="138">
        <f>'Acct Summary 7-8'!J79</f>
        <v>163884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176428</v>
      </c>
      <c r="D6266" s="2" t="str">
        <f t="shared" si="96"/>
        <v>Error?</v>
      </c>
      <c r="E6266" s="2" t="s">
        <v>199</v>
      </c>
    </row>
    <row r="6267" spans="1:5" x14ac:dyDescent="0.2">
      <c r="A6267">
        <v>6206</v>
      </c>
      <c r="B6267" s="138">
        <f>'Acct Summary 7-8'!C82</f>
        <v>276241</v>
      </c>
      <c r="D6267" s="2" t="str">
        <f t="shared" si="96"/>
        <v>Error?</v>
      </c>
      <c r="E6267" s="2" t="s">
        <v>199</v>
      </c>
    </row>
    <row r="6268" spans="1:5" x14ac:dyDescent="0.2">
      <c r="A6268">
        <v>6207</v>
      </c>
      <c r="B6268" s="138">
        <f>'Acct Summary 7-8'!D82</f>
        <v>321773</v>
      </c>
      <c r="D6268" s="2" t="str">
        <f t="shared" si="96"/>
        <v>Error?</v>
      </c>
      <c r="E6268" s="2" t="s">
        <v>199</v>
      </c>
    </row>
    <row r="6269" spans="1:5" x14ac:dyDescent="0.2">
      <c r="A6269">
        <v>6208</v>
      </c>
      <c r="B6269" s="138">
        <f>'Acct Summary 7-8'!E82</f>
        <v>26497</v>
      </c>
      <c r="D6269" s="2" t="str">
        <f t="shared" si="96"/>
        <v>Error?</v>
      </c>
      <c r="E6269" s="2" t="s">
        <v>199</v>
      </c>
    </row>
    <row r="6270" spans="1:5" x14ac:dyDescent="0.2">
      <c r="A6270">
        <v>6209</v>
      </c>
      <c r="B6270" s="138">
        <f>'Acct Summary 7-8'!F82</f>
        <v>549516</v>
      </c>
      <c r="D6270" s="2" t="str">
        <f t="shared" si="96"/>
        <v>Error?</v>
      </c>
      <c r="E6270" s="2" t="s">
        <v>199</v>
      </c>
    </row>
    <row r="6271" spans="1:5" x14ac:dyDescent="0.2">
      <c r="A6271">
        <v>6210</v>
      </c>
      <c r="B6271" s="138">
        <f>'Acct Summary 7-8'!G82</f>
        <v>24510</v>
      </c>
      <c r="D6271" s="2" t="str">
        <f t="shared" ref="D6271:D6334" si="97">IF(ISBLANK(B6271),"OK",IF(A6271-B6271=0,"OK","Error?"))</f>
        <v>Error?</v>
      </c>
      <c r="E6271" s="2" t="s">
        <v>199</v>
      </c>
    </row>
    <row r="6272" spans="1:5" x14ac:dyDescent="0.2">
      <c r="A6272">
        <v>6211</v>
      </c>
      <c r="B6272" s="138">
        <f>'Acct Summary 7-8'!H82</f>
        <v>3</v>
      </c>
      <c r="D6272" s="2" t="str">
        <f t="shared" si="97"/>
        <v>Error?</v>
      </c>
      <c r="E6272" s="2" t="s">
        <v>199</v>
      </c>
    </row>
    <row r="6273" spans="1:5" x14ac:dyDescent="0.2">
      <c r="A6273">
        <v>6212</v>
      </c>
      <c r="B6273" s="138">
        <f>'Acct Summary 7-8'!I82</f>
        <v>129439</v>
      </c>
      <c r="D6273" s="2" t="str">
        <f t="shared" si="97"/>
        <v>Error?</v>
      </c>
      <c r="E6273" s="2" t="s">
        <v>199</v>
      </c>
    </row>
    <row r="6274" spans="1:5" x14ac:dyDescent="0.2">
      <c r="A6274">
        <v>6213</v>
      </c>
      <c r="B6274" s="138">
        <f>'Acct Summary 7-8'!J82</f>
        <v>12544</v>
      </c>
      <c r="D6274" s="2" t="str">
        <f t="shared" si="97"/>
        <v>Error?</v>
      </c>
      <c r="E6274" s="2" t="s">
        <v>199</v>
      </c>
    </row>
    <row r="6275" spans="1:5" x14ac:dyDescent="0.2">
      <c r="A6275">
        <v>6214</v>
      </c>
      <c r="B6275" s="138">
        <f>'Acct Summary 7-8'!K82</f>
        <v>12</v>
      </c>
      <c r="D6275" s="2" t="str">
        <f t="shared" si="97"/>
        <v>Error?</v>
      </c>
      <c r="E6275" s="2" t="s">
        <v>199</v>
      </c>
    </row>
    <row r="6276" spans="1:5" x14ac:dyDescent="0.2">
      <c r="A6276">
        <v>6215</v>
      </c>
      <c r="B6276" s="138">
        <f>'Acct Summary 7-8'!C83</f>
        <v>2.2446841506646959E-2</v>
      </c>
      <c r="D6276" s="2" t="str">
        <f t="shared" si="97"/>
        <v>Error?</v>
      </c>
      <c r="E6276" s="2" t="s">
        <v>199</v>
      </c>
    </row>
    <row r="6277" spans="1:5" x14ac:dyDescent="0.2">
      <c r="A6277">
        <v>6216</v>
      </c>
      <c r="B6277" s="138">
        <f>'Acct Summary 7-8'!D83</f>
        <v>0.2013964996128832</v>
      </c>
      <c r="D6277" s="2" t="str">
        <f t="shared" si="97"/>
        <v>Error?</v>
      </c>
      <c r="E6277" s="2" t="s">
        <v>199</v>
      </c>
    </row>
    <row r="6278" spans="1:5" x14ac:dyDescent="0.2">
      <c r="A6278">
        <v>6217</v>
      </c>
      <c r="B6278" s="138">
        <f>'Acct Summary 7-8'!E83</f>
        <v>0.13210914946975855</v>
      </c>
      <c r="D6278" s="2" t="str">
        <f t="shared" si="97"/>
        <v>Error?</v>
      </c>
      <c r="E6278" s="2" t="s">
        <v>199</v>
      </c>
    </row>
    <row r="6279" spans="1:5" x14ac:dyDescent="0.2">
      <c r="A6279">
        <v>6218</v>
      </c>
      <c r="B6279" s="138">
        <f>'Acct Summary 7-8'!F83</f>
        <v>0.88525239832781577</v>
      </c>
      <c r="D6279" s="2" t="str">
        <f t="shared" si="97"/>
        <v>Error?</v>
      </c>
      <c r="E6279" s="2" t="s">
        <v>199</v>
      </c>
    </row>
    <row r="6280" spans="1:5" x14ac:dyDescent="0.2">
      <c r="A6280">
        <v>6219</v>
      </c>
      <c r="B6280" s="138">
        <f>'Acct Summary 7-8'!G83</f>
        <v>3.9894266358927948E-2</v>
      </c>
      <c r="D6280" s="2" t="str">
        <f t="shared" si="97"/>
        <v>Error?</v>
      </c>
      <c r="E6280" s="2" t="s">
        <v>199</v>
      </c>
    </row>
    <row r="6281" spans="1:5" x14ac:dyDescent="0.2">
      <c r="A6281">
        <v>6220</v>
      </c>
      <c r="B6281" s="138">
        <f>'Acct Summary 7-8'!H83</f>
        <v>1.6393442622950821E-2</v>
      </c>
      <c r="D6281" s="2" t="str">
        <f t="shared" si="97"/>
        <v>Error?</v>
      </c>
      <c r="E6281" s="2" t="s">
        <v>199</v>
      </c>
    </row>
    <row r="6282" spans="1:5" x14ac:dyDescent="0.2">
      <c r="A6282">
        <v>6221</v>
      </c>
      <c r="B6282" s="138">
        <f>'Acct Summary 7-8'!I83</f>
        <v>4.6352555014540789E-2</v>
      </c>
      <c r="D6282" s="2" t="str">
        <f t="shared" si="97"/>
        <v>Error?</v>
      </c>
      <c r="E6282" s="2" t="s">
        <v>199</v>
      </c>
    </row>
    <row r="6283" spans="1:5" x14ac:dyDescent="0.2">
      <c r="A6283">
        <v>6222</v>
      </c>
      <c r="B6283" s="138">
        <f>'Acct Summary 7-8'!J83</f>
        <v>7.1099825424535787E-2</v>
      </c>
      <c r="D6283" s="2" t="str">
        <f t="shared" si="97"/>
        <v>Error?</v>
      </c>
      <c r="E6283" s="2" t="s">
        <v>199</v>
      </c>
    </row>
    <row r="6284" spans="1:5" x14ac:dyDescent="0.2">
      <c r="A6284">
        <v>6223</v>
      </c>
      <c r="B6284" s="138">
        <f>'Acct Summary 7-8'!K83</f>
        <v>2.0442930153321975E-2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60138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60138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3640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3640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63778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8717</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8717</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51234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63778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51234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51234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51234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51234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51234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51234</v>
      </c>
      <c r="D7224" s="2" t="str">
        <f t="shared" si="111"/>
        <v>Error?</v>
      </c>
    </row>
    <row r="7225" spans="1:4" x14ac:dyDescent="0.2">
      <c r="A7225">
        <v>7164</v>
      </c>
      <c r="B7225" s="138">
        <f>'Expenditures 15-22'!K343</f>
        <v>12544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751022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976381</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596027.75</v>
      </c>
      <c r="D7797" s="2" t="str">
        <f t="shared" si="127"/>
        <v>Error?</v>
      </c>
      <c r="E7797" s="4" t="s">
        <v>2018</v>
      </c>
    </row>
    <row r="7798" spans="1:5" x14ac:dyDescent="0.2">
      <c r="A7798">
        <v>7737</v>
      </c>
      <c r="B7798" s="138">
        <f>'Contracts Paid in CY 29'!F141</f>
        <v>50000</v>
      </c>
      <c r="D7798" s="2" t="str">
        <f t="shared" si="127"/>
        <v>Error?</v>
      </c>
      <c r="E7798" s="4" t="s">
        <v>2018</v>
      </c>
    </row>
    <row r="7799" spans="1:5" x14ac:dyDescent="0.2">
      <c r="A7799">
        <v>7738</v>
      </c>
      <c r="B7799" s="138">
        <f>'Contracts Paid in CY 29'!G141</f>
        <v>546027.75</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16" sqref="A16:F16"/>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1798</v>
      </c>
      <c r="B4" s="2440"/>
      <c r="C4" s="2440"/>
      <c r="D4" s="2440"/>
      <c r="E4" s="2440"/>
      <c r="F4" s="2440"/>
      <c r="G4" s="2440"/>
      <c r="H4" s="2440"/>
      <c r="I4" s="2440"/>
      <c r="J4" s="2440"/>
      <c r="K4" s="2440"/>
      <c r="L4" s="244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3" t="str">
        <f>COVER!A17</f>
        <v>Morton Grove SD 70</v>
      </c>
      <c r="B7" s="2404"/>
      <c r="C7" s="2404"/>
      <c r="D7" s="2441"/>
      <c r="E7" s="2442">
        <f>COVER!A13</f>
        <v>5016070002</v>
      </c>
      <c r="F7" s="2443"/>
      <c r="G7" s="2410" t="str">
        <f>COVER!T23</f>
        <v>065.041976</v>
      </c>
      <c r="H7" s="2411"/>
      <c r="I7" s="2411"/>
      <c r="J7" s="2411"/>
      <c r="K7" s="2411"/>
      <c r="L7" s="241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3"/>
      <c r="B9" s="2414"/>
      <c r="C9" s="2414"/>
      <c r="D9" s="2414"/>
      <c r="E9" s="2414"/>
      <c r="F9" s="2415"/>
      <c r="G9" s="2416" t="str">
        <f>COVER!T13</f>
        <v>CliftonLarsonAllen LLP</v>
      </c>
      <c r="H9" s="2417"/>
      <c r="I9" s="2417"/>
      <c r="J9" s="2417"/>
      <c r="K9" s="2417"/>
      <c r="L9" s="2418"/>
    </row>
    <row r="10" spans="1:29" ht="13.5" customHeight="1" x14ac:dyDescent="0.2">
      <c r="A10" s="2400" t="str">
        <f>COVER!A38</f>
        <v>Brad Voehringer</v>
      </c>
      <c r="B10" s="2401"/>
      <c r="C10" s="2401"/>
      <c r="D10" s="2401"/>
      <c r="E10" s="2401"/>
      <c r="F10" s="2402"/>
      <c r="G10" s="2416" t="str">
        <f>COVER!T17</f>
        <v>1301 W. 22nd Street, Suite 1100</v>
      </c>
      <c r="H10" s="2429"/>
      <c r="I10" s="2429"/>
      <c r="J10" s="2429"/>
      <c r="K10" s="2429"/>
      <c r="L10" s="2430"/>
    </row>
    <row r="11" spans="1:29" ht="13.5" customHeight="1" x14ac:dyDescent="0.2">
      <c r="A11" s="1185" t="s">
        <v>1599</v>
      </c>
      <c r="B11" s="1186"/>
      <c r="C11" s="1187"/>
      <c r="D11" s="1192"/>
      <c r="E11" s="1187"/>
      <c r="F11" s="1191"/>
      <c r="G11" s="2416" t="str">
        <f>COVER!T19</f>
        <v>Oak Brook</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chuck.kozlik@CLAconnect.com</v>
      </c>
      <c r="J13" s="2438"/>
      <c r="K13" s="2438"/>
      <c r="L13" s="2439"/>
    </row>
    <row r="14" spans="1:29" ht="13.5" customHeight="1" x14ac:dyDescent="0.2">
      <c r="A14" s="2416" t="str">
        <f>COVER!A19</f>
        <v>6200 Lake Street</v>
      </c>
      <c r="B14" s="2429"/>
      <c r="C14" s="2429"/>
      <c r="D14" s="2429"/>
      <c r="E14" s="2429"/>
      <c r="F14" s="2430"/>
      <c r="G14" s="1196" t="s">
        <v>1247</v>
      </c>
      <c r="H14" s="1194"/>
      <c r="I14" s="1194"/>
      <c r="J14" s="1194"/>
      <c r="K14" s="1194"/>
      <c r="L14" s="1195"/>
    </row>
    <row r="15" spans="1:29" ht="13.5" customHeight="1" x14ac:dyDescent="0.2">
      <c r="A15" s="2416" t="str">
        <f>COVER!A21</f>
        <v>Morton Grove</v>
      </c>
      <c r="B15" s="2429"/>
      <c r="C15" s="2429"/>
      <c r="D15" s="2429"/>
      <c r="E15" s="2429"/>
      <c r="F15" s="2430"/>
      <c r="G15" s="2426" t="str">
        <f>COVER!T15</f>
        <v>Charles S. Kozlik, CPA</v>
      </c>
      <c r="H15" s="2427"/>
      <c r="I15" s="2427"/>
      <c r="J15" s="2427"/>
      <c r="K15" s="2427"/>
      <c r="L15" s="2428"/>
    </row>
    <row r="16" spans="1:29" ht="12.2" customHeight="1" x14ac:dyDescent="0.2">
      <c r="A16" s="2406" t="str">
        <f>COVER!A25</f>
        <v>IL 60053</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6" t="s">
        <v>1246</v>
      </c>
      <c r="H17" s="1194"/>
      <c r="I17" s="1194"/>
      <c r="J17" s="1194"/>
      <c r="K17" s="1198" t="s">
        <v>1245</v>
      </c>
      <c r="L17" s="1191"/>
      <c r="M17" s="1184"/>
    </row>
    <row r="18" spans="1:13" ht="12.2" customHeight="1" x14ac:dyDescent="0.2">
      <c r="A18" s="2400"/>
      <c r="B18" s="2401"/>
      <c r="C18" s="2401"/>
      <c r="D18" s="2401"/>
      <c r="E18" s="2401"/>
      <c r="F18" s="2402"/>
      <c r="G18" s="2403" t="str">
        <f>COVER!T21</f>
        <v>630-573-8600</v>
      </c>
      <c r="H18" s="2404"/>
      <c r="I18" s="2404"/>
      <c r="J18" s="2404"/>
      <c r="K18" s="2403" t="str">
        <f>COVER!X21</f>
        <v>630-573-0798</v>
      </c>
      <c r="L18" s="240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1799</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Morton Grove SD 70</v>
      </c>
      <c r="B1" s="2440"/>
      <c r="C1" s="2440"/>
      <c r="D1" s="2440"/>
    </row>
    <row r="2" spans="1:11" s="1215" customFormat="1" ht="12.75" x14ac:dyDescent="0.2">
      <c r="A2" s="2445">
        <f>'Single Audit Cover'!E7</f>
        <v>5016070002</v>
      </c>
      <c r="B2" s="2446"/>
      <c r="C2" s="2446"/>
      <c r="D2" s="2446"/>
    </row>
    <row r="3" spans="1:11" s="1215" customFormat="1" ht="12.75" x14ac:dyDescent="0.2">
      <c r="A3" s="2444" t="s">
        <v>1593</v>
      </c>
      <c r="B3" s="2440"/>
      <c r="C3" s="2440"/>
      <c r="D3" s="244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1813</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1814</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1815</v>
      </c>
    </row>
    <row r="70" spans="1:4" x14ac:dyDescent="0.2">
      <c r="A70" s="1222"/>
      <c r="D70" s="1246" t="s">
        <v>1268</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1946</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Morton Grove SD 70</v>
      </c>
      <c r="B1" s="2448"/>
      <c r="C1" s="2448"/>
      <c r="D1" s="2448"/>
      <c r="E1" s="2448"/>
    </row>
    <row r="2" spans="1:5" x14ac:dyDescent="0.2">
      <c r="A2" s="2449">
        <f>'Single Audit Cover'!E7</f>
        <v>5016070002</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285045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1829</v>
      </c>
      <c r="B14" s="1262"/>
      <c r="C14" s="1262"/>
      <c r="D14" s="1264">
        <f>'ICR Computation 30'!E11</f>
        <v>16249.38</v>
      </c>
    </row>
    <row r="15" spans="1:5" x14ac:dyDescent="0.2">
      <c r="A15" s="1261"/>
      <c r="B15" s="1262"/>
      <c r="C15" s="1262"/>
    </row>
    <row r="16" spans="1:5" x14ac:dyDescent="0.2">
      <c r="A16" s="1261" t="s">
        <v>1954</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301294.38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301294.38</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301294.38</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M17" sqref="M1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Morton Grove SD 70</v>
      </c>
      <c r="B1" s="2453"/>
      <c r="C1" s="2453"/>
      <c r="D1" s="2453"/>
      <c r="E1" s="2453"/>
      <c r="F1" s="2453"/>
    </row>
    <row r="2" spans="1:7" ht="13.5" customHeight="1" x14ac:dyDescent="0.2">
      <c r="A2" s="2454">
        <f>'Single Audit Cover'!E7</f>
        <v>5016070002</v>
      </c>
      <c r="B2" s="2454"/>
      <c r="C2" s="2454"/>
      <c r="D2" s="2454"/>
      <c r="E2" s="2454"/>
      <c r="F2" s="2454"/>
      <c r="G2" s="1275"/>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6" t="s">
        <v>1830</v>
      </c>
      <c r="C6" s="317"/>
      <c r="D6" s="317"/>
    </row>
    <row r="7" spans="1:7" ht="60.95" customHeight="1" x14ac:dyDescent="0.2">
      <c r="A7" s="2452" t="s">
        <v>1831</v>
      </c>
      <c r="B7" s="2452"/>
      <c r="C7" s="2452"/>
      <c r="D7" s="2452"/>
      <c r="E7" s="2452"/>
      <c r="F7" s="2452"/>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2" t="s">
        <v>1833</v>
      </c>
      <c r="B13" s="2452"/>
      <c r="C13" s="2452"/>
      <c r="D13" s="2452"/>
      <c r="E13" s="2452"/>
      <c r="F13" s="2452"/>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1" t="s">
        <v>1834</v>
      </c>
      <c r="B32" s="2461"/>
      <c r="C32" s="2461"/>
      <c r="D32" s="2461"/>
      <c r="E32" s="2461"/>
      <c r="F32" s="2461"/>
    </row>
    <row r="33" spans="1:6" ht="13.5" customHeight="1" x14ac:dyDescent="0.2">
      <c r="A33" s="328" t="s">
        <v>1509</v>
      </c>
      <c r="B33" s="328"/>
      <c r="C33" s="1288">
        <v>0</v>
      </c>
      <c r="D33" s="1928"/>
      <c r="E33" s="1286"/>
    </row>
    <row r="34" spans="1:6" ht="13.5" customHeight="1" x14ac:dyDescent="0.2">
      <c r="A34" s="328" t="s">
        <v>1947</v>
      </c>
      <c r="B34" s="328"/>
      <c r="C34" s="1289">
        <v>0</v>
      </c>
      <c r="D34" s="1928" t="s">
        <v>1671</v>
      </c>
      <c r="E34" s="2462">
        <f>+C33+C34</f>
        <v>0</v>
      </c>
      <c r="F34" s="246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70"/>
      <c r="C50" s="1870"/>
      <c r="D50" s="1870"/>
      <c r="E50" s="1399"/>
    </row>
    <row r="51" spans="1:5" s="1300" customFormat="1" ht="20.25" customHeight="1" x14ac:dyDescent="0.2">
      <c r="A51" s="1301">
        <v>6</v>
      </c>
      <c r="B51" s="2460" t="s">
        <v>1632</v>
      </c>
      <c r="C51" s="2460"/>
      <c r="D51" s="2460"/>
    </row>
    <row r="52" spans="1:5" ht="14.25" customHeight="1" x14ac:dyDescent="0.2">
      <c r="A52" s="1301"/>
      <c r="B52" s="2460"/>
      <c r="C52" s="2460"/>
      <c r="D52" s="246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Morton Grove SD 70</v>
      </c>
      <c r="C1" s="2465"/>
      <c r="D1" s="2465"/>
      <c r="E1" s="2465"/>
      <c r="F1" s="2465"/>
      <c r="G1" s="2465"/>
      <c r="H1" s="2465"/>
      <c r="I1" s="2465"/>
      <c r="J1" s="2465"/>
      <c r="K1" s="2465"/>
      <c r="L1" s="2465"/>
      <c r="M1" s="2465"/>
    </row>
    <row r="2" spans="2:14" ht="15" x14ac:dyDescent="0.2">
      <c r="B2" s="2454">
        <f>'Single Audit Cover'!E7</f>
        <v>5016070002</v>
      </c>
      <c r="C2" s="2454"/>
      <c r="D2" s="2454"/>
      <c r="E2" s="2454"/>
      <c r="F2" s="2454"/>
      <c r="G2" s="2454"/>
      <c r="H2" s="2454"/>
      <c r="I2" s="2454"/>
      <c r="J2" s="2454"/>
      <c r="K2" s="2454"/>
      <c r="L2" s="2454"/>
      <c r="M2" s="2454"/>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1837</v>
      </c>
      <c r="D9" s="1314" t="s">
        <v>1838</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1636</v>
      </c>
    </row>
    <row r="22" spans="1:4" s="181" customFormat="1" x14ac:dyDescent="0.2">
      <c r="A22" s="219"/>
      <c r="B22" s="226"/>
      <c r="C22" s="227">
        <v>9</v>
      </c>
      <c r="D22" s="231" t="s">
        <v>1726</v>
      </c>
    </row>
    <row r="23" spans="1:4" s="181" customFormat="1" x14ac:dyDescent="0.2">
      <c r="A23" s="219"/>
      <c r="B23" s="234"/>
      <c r="C23" s="227"/>
      <c r="D23" s="235" t="s">
        <v>1637</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1730</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2094</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2019</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2086</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2020</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Morton Grove SD 70</v>
      </c>
      <c r="C1" s="2473"/>
      <c r="D1" s="2473"/>
      <c r="E1" s="2473"/>
      <c r="F1" s="2473"/>
      <c r="G1" s="2473"/>
      <c r="H1" s="2473"/>
      <c r="I1" s="2473"/>
      <c r="J1" s="1422"/>
    </row>
    <row r="2" spans="2:10" s="317" customFormat="1" ht="12.75" customHeight="1" x14ac:dyDescent="0.2">
      <c r="B2" s="2474">
        <f>'Single Audit Cover'!E7</f>
        <v>5016070002</v>
      </c>
      <c r="C2" s="2475"/>
      <c r="D2" s="2475"/>
      <c r="E2" s="2475"/>
      <c r="F2" s="2475"/>
      <c r="G2" s="2475"/>
      <c r="H2" s="2475"/>
      <c r="I2" s="2475"/>
      <c r="J2" s="1422"/>
    </row>
    <row r="3" spans="2:10" s="317" customFormat="1" ht="12.75" customHeight="1" x14ac:dyDescent="0.2">
      <c r="B3" s="2476" t="s">
        <v>1347</v>
      </c>
      <c r="C3" s="2477"/>
      <c r="D3" s="2477"/>
      <c r="E3" s="2477"/>
      <c r="F3" s="2477"/>
      <c r="G3" s="2477"/>
      <c r="H3" s="2477"/>
      <c r="I3" s="2477"/>
      <c r="J3" s="1423"/>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6" t="s">
        <v>1346</v>
      </c>
      <c r="C7" s="2477"/>
      <c r="D7" s="2477"/>
      <c r="E7" s="2477"/>
      <c r="F7" s="2477"/>
      <c r="G7" s="2477"/>
      <c r="H7" s="2477"/>
      <c r="I7" s="247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8"/>
      <c r="D11" s="247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9"/>
      <c r="E29" s="2479"/>
      <c r="F29" s="2479"/>
      <c r="G29" s="2479"/>
      <c r="H29" s="2479"/>
      <c r="I29" s="2479"/>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0" t="s">
        <v>1853</v>
      </c>
      <c r="D37" s="2481"/>
      <c r="E37" s="2481"/>
      <c r="F37" s="2482"/>
      <c r="G37" s="2480" t="s">
        <v>1674</v>
      </c>
      <c r="H37" s="2481"/>
      <c r="I37" s="2482"/>
    </row>
    <row r="38" spans="2:9" ht="16.5" customHeight="1" x14ac:dyDescent="0.2">
      <c r="B38" s="1444"/>
      <c r="C38" s="2468"/>
      <c r="D38" s="2469"/>
      <c r="E38" s="2469"/>
      <c r="F38" s="2470"/>
      <c r="G38" s="2483"/>
      <c r="H38" s="2484"/>
      <c r="I38" s="2485"/>
    </row>
    <row r="39" spans="2:9" ht="16.5" customHeight="1" x14ac:dyDescent="0.2">
      <c r="B39" s="1444"/>
      <c r="C39" s="2468"/>
      <c r="D39" s="2469"/>
      <c r="E39" s="2469"/>
      <c r="F39" s="2470"/>
      <c r="G39" s="2471"/>
      <c r="H39" s="2471"/>
      <c r="I39" s="2471"/>
    </row>
    <row r="40" spans="2:9" ht="16.5" customHeight="1" x14ac:dyDescent="0.2">
      <c r="B40" s="1444"/>
      <c r="C40" s="2468"/>
      <c r="D40" s="2469"/>
      <c r="E40" s="2469"/>
      <c r="F40" s="2470"/>
      <c r="G40" s="2471"/>
      <c r="H40" s="2471"/>
      <c r="I40" s="2471"/>
    </row>
    <row r="41" spans="2:9" ht="16.5" customHeight="1" x14ac:dyDescent="0.2">
      <c r="B41" s="1444"/>
      <c r="C41" s="2468"/>
      <c r="D41" s="2469"/>
      <c r="E41" s="2469"/>
      <c r="F41" s="2470"/>
      <c r="G41" s="2471"/>
      <c r="H41" s="2471"/>
      <c r="I41" s="2471"/>
    </row>
    <row r="42" spans="2:9" ht="16.5" customHeight="1" x14ac:dyDescent="0.2">
      <c r="B42" s="1444"/>
      <c r="C42" s="2468"/>
      <c r="D42" s="2469"/>
      <c r="E42" s="2469"/>
      <c r="F42" s="2470"/>
      <c r="G42" s="2471"/>
      <c r="H42" s="2471"/>
      <c r="I42" s="2471"/>
    </row>
    <row r="43" spans="2:9" ht="16.5" customHeight="1" x14ac:dyDescent="0.2">
      <c r="B43" s="1444"/>
      <c r="C43" s="2486" t="s">
        <v>1675</v>
      </c>
      <c r="D43" s="2487"/>
      <c r="E43" s="2487"/>
      <c r="F43" s="2488"/>
      <c r="G43" s="2489">
        <f>SUM(G38:I42)</f>
        <v>0</v>
      </c>
      <c r="H43" s="2489"/>
      <c r="I43" s="2489"/>
    </row>
    <row r="44" spans="2:9" ht="12.75" customHeight="1" x14ac:dyDescent="0.2"/>
    <row r="45" spans="2:9" ht="12.75" customHeight="1" x14ac:dyDescent="0.2">
      <c r="B45" s="1435" t="s">
        <v>1950</v>
      </c>
      <c r="D45" s="2490">
        <v>0</v>
      </c>
      <c r="E45" s="249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2"/>
      <c r="F49" s="2492"/>
      <c r="G49" s="249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Morton Grove SD 70</v>
      </c>
      <c r="C1" s="2472"/>
      <c r="D1" s="2472"/>
      <c r="E1" s="2472"/>
      <c r="F1" s="2472"/>
      <c r="G1" s="2472"/>
      <c r="H1" s="2472"/>
      <c r="I1" s="2472"/>
      <c r="J1" s="2472"/>
      <c r="K1" s="2472"/>
      <c r="L1" s="1374"/>
      <c r="M1" s="1374"/>
    </row>
    <row r="2" spans="1:13" ht="12" customHeight="1" x14ac:dyDescent="0.2">
      <c r="B2" s="2474">
        <f>'Single Audit Cover'!E7</f>
        <v>5016070002</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1951</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1848</v>
      </c>
      <c r="C38" s="1420"/>
    </row>
    <row r="39" spans="1:13" ht="9.6" customHeight="1" x14ac:dyDescent="0.2">
      <c r="B39" s="1300" t="s">
        <v>1348</v>
      </c>
      <c r="C39" s="1300"/>
      <c r="M39" s="1421"/>
    </row>
    <row r="40" spans="1:13" ht="12.6" customHeight="1" x14ac:dyDescent="0.2">
      <c r="B40" s="1420" t="s">
        <v>1849</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6" zoomScale="110" zoomScaleNormal="110" workbookViewId="0">
      <selection activeCell="R26" sqref="R2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Morton Grove SD 70</v>
      </c>
      <c r="C1" s="2499"/>
      <c r="D1" s="2499"/>
      <c r="E1" s="2499"/>
      <c r="F1" s="2499"/>
      <c r="G1" s="2499"/>
      <c r="H1" s="2499"/>
      <c r="I1" s="2499"/>
      <c r="J1" s="2499"/>
      <c r="K1" s="2499"/>
      <c r="L1" s="1465"/>
    </row>
    <row r="2" spans="1:12" ht="12.75" customHeight="1" x14ac:dyDescent="0.2">
      <c r="B2" s="2500">
        <f>'Single Audit Cover'!E7</f>
        <v>5016070002</v>
      </c>
      <c r="C2" s="2500"/>
      <c r="D2" s="2500"/>
      <c r="E2" s="2500"/>
      <c r="F2" s="2500"/>
      <c r="G2" s="2500"/>
      <c r="H2" s="2500"/>
      <c r="I2" s="2500"/>
      <c r="J2" s="2500"/>
      <c r="K2" s="2500"/>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1951</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9"/>
      <c r="G12" s="2479"/>
      <c r="H12" s="2479"/>
      <c r="I12" s="2479"/>
      <c r="J12" s="2479"/>
      <c r="K12" s="247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2" t="str">
        <f>'Single Audit Cover'!A7</f>
        <v>Morton Grove SD 70</v>
      </c>
      <c r="C1" s="2472"/>
      <c r="D1" s="2472"/>
      <c r="E1" s="1491"/>
    </row>
    <row r="2" spans="2:5" s="1282" customFormat="1" ht="12.75" customHeight="1" x14ac:dyDescent="0.2">
      <c r="B2" s="2474">
        <f>'Single Audit Cover'!E7</f>
        <v>5016070002</v>
      </c>
      <c r="C2" s="2474"/>
      <c r="D2" s="2474"/>
      <c r="E2" s="1492"/>
    </row>
    <row r="3" spans="2:5" ht="12.75" customHeight="1" x14ac:dyDescent="0.2">
      <c r="B3" s="2495" t="s">
        <v>1868</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1869</v>
      </c>
      <c r="C5" s="328"/>
      <c r="D5" s="328"/>
      <c r="E5" s="328"/>
    </row>
    <row r="6" spans="2:5" s="1282" customFormat="1" ht="13.5" customHeight="1" x14ac:dyDescent="0.2">
      <c r="B6" s="1495" t="s">
        <v>1382</v>
      </c>
      <c r="C6" s="1495" t="s">
        <v>1381</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1871</v>
      </c>
    </row>
    <row r="46" spans="2:5" ht="12.2" customHeight="1" x14ac:dyDescent="0.2">
      <c r="B46" s="1505" t="s">
        <v>1872</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37" colorId="8" zoomScale="110" zoomScaleNormal="110" workbookViewId="0">
      <selection activeCell="J32" sqref="J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v>313227404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f>2.7364/100</f>
        <v>2.7364000000000003E-2</v>
      </c>
      <c r="E10" s="356" t="s">
        <v>1062</v>
      </c>
      <c r="F10" s="355">
        <f>0.3522/100</f>
        <v>3.522E-3</v>
      </c>
      <c r="G10" s="356" t="s">
        <v>1062</v>
      </c>
      <c r="H10" s="355">
        <f>0.2082/100</f>
        <v>2.0820000000000001E-3</v>
      </c>
      <c r="I10" s="356" t="s">
        <v>1063</v>
      </c>
      <c r="J10" s="1754">
        <f>ROUND(D10+F10+H10,5)</f>
        <v>3.2969999999999999E-2</v>
      </c>
      <c r="K10" s="222"/>
      <c r="L10" s="355">
        <f>0.0353/100</f>
        <v>3.5299999999999996E-4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14194360</v>
      </c>
      <c r="E16" s="356"/>
      <c r="F16" s="1755">
        <f>SUM('Acct Summary 7-8'!C17,'Acct Summary 7-8'!D17,'Acct Summary 7-8'!F17)</f>
        <v>12917391</v>
      </c>
      <c r="G16" s="356"/>
      <c r="H16" s="1755">
        <f>SUM(D16-F16)</f>
        <v>1276969</v>
      </c>
      <c r="I16" s="222"/>
      <c r="J16" s="1755">
        <f>SUM('Acct Summary 7-8'!C81,'Acct Summary 7-8'!D81,'Acct Summary 7-8'!F81,'Acct Summary 7-8'!I81)</f>
        <v>17317396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2085</v>
      </c>
      <c r="C31" s="367" t="s">
        <v>607</v>
      </c>
      <c r="D31" s="237" t="s">
        <v>1132</v>
      </c>
      <c r="E31" s="222"/>
      <c r="F31" s="222"/>
      <c r="G31" s="363"/>
      <c r="H31" s="1757">
        <f>IF(B31="X",(J7*0.069),IF(B32="X",(J7*0.138),"Enter x in a.or b."))</f>
        <v>21612690.876000002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2420000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8" zoomScale="110" zoomScaleNormal="110" workbookViewId="0">
      <selection activeCell="F23" sqref="F2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Morton Grove SD 70</v>
      </c>
      <c r="E7" s="391"/>
      <c r="G7" s="252"/>
      <c r="H7" s="387"/>
      <c r="I7" s="387"/>
      <c r="J7" s="387"/>
      <c r="K7" s="387"/>
      <c r="L7" s="329"/>
      <c r="M7" s="329"/>
      <c r="N7" s="329"/>
      <c r="O7" s="329"/>
      <c r="P7" s="329"/>
    </row>
    <row r="8" spans="1:18" ht="12.75" x14ac:dyDescent="0.2">
      <c r="A8" s="329"/>
      <c r="B8" s="329"/>
      <c r="C8" s="389" t="s">
        <v>1187</v>
      </c>
      <c r="D8" s="392">
        <f>COVER!A13</f>
        <v>5016070002</v>
      </c>
      <c r="E8" s="393"/>
      <c r="G8" s="329"/>
      <c r="H8" s="329"/>
      <c r="I8" s="329"/>
      <c r="J8" s="329"/>
      <c r="K8" s="329"/>
      <c r="L8" s="329"/>
      <c r="M8" s="329"/>
      <c r="N8" s="329"/>
      <c r="O8" s="329"/>
      <c r="P8" s="329"/>
    </row>
    <row r="9" spans="1:18" ht="12.75" x14ac:dyDescent="0.2">
      <c r="A9" s="329"/>
      <c r="B9" s="329"/>
      <c r="C9" s="389" t="s">
        <v>737</v>
      </c>
      <c r="D9" s="394" t="str">
        <f>COVER!A15</f>
        <v>Cook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17317396</v>
      </c>
      <c r="I12" s="404"/>
      <c r="J12" s="404"/>
      <c r="K12" s="405">
        <f>TRUNC((H12/H13*100000),5)/100000</f>
        <v>1.2200195007000001</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14194360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12917391</v>
      </c>
      <c r="I17" s="404"/>
      <c r="J17" s="416"/>
      <c r="K17" s="405">
        <f>TRUNC((H17/H18*100000),5)/100000</f>
        <v>0.91003687379999998</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14194360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17317396</v>
      </c>
      <c r="I24" s="422"/>
      <c r="J24" s="422"/>
      <c r="K24" s="423">
        <f>TRUNC(((H24/H25*100000)/100000),2)</f>
        <v>482.62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35881.641669999997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8778041.3834000006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2420000</v>
      </c>
      <c r="I32" s="420"/>
      <c r="J32" s="420"/>
      <c r="K32" s="423">
        <f>TRUNC(100-((((H32/H33*100))*100)/100),2)</f>
        <v>88.8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21612690.876000002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69" activePane="bottomLeft" state="frozen"/>
      <selection activeCell="A47" sqref="A47"/>
      <selection pane="bottomLeft" activeCell="G29" sqref="G2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1749</v>
      </c>
      <c r="B4" s="464"/>
      <c r="C4" s="465">
        <f>14181185-176428</f>
        <v>14004757</v>
      </c>
      <c r="D4" s="466">
        <v>1597709</v>
      </c>
      <c r="E4" s="466">
        <v>200569</v>
      </c>
      <c r="F4" s="466">
        <v>620745</v>
      </c>
      <c r="G4" s="466">
        <v>614374</v>
      </c>
      <c r="H4" s="466">
        <v>183</v>
      </c>
      <c r="I4" s="466">
        <v>1094185</v>
      </c>
      <c r="J4" s="467">
        <v>176428</v>
      </c>
      <c r="K4" s="466">
        <v>587</v>
      </c>
      <c r="L4" s="466">
        <v>21835</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v>-1698304</v>
      </c>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v>1698304</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12306453</v>
      </c>
      <c r="D13" s="1759">
        <f t="shared" ref="D13:L13" si="0">SUM(D4:D12)</f>
        <v>1597709</v>
      </c>
      <c r="E13" s="1759">
        <f t="shared" si="0"/>
        <v>200569</v>
      </c>
      <c r="F13" s="1759">
        <f t="shared" si="0"/>
        <v>620745</v>
      </c>
      <c r="G13" s="1759">
        <f t="shared" si="0"/>
        <v>614374</v>
      </c>
      <c r="H13" s="1759">
        <f t="shared" si="0"/>
        <v>183</v>
      </c>
      <c r="I13" s="1759">
        <f t="shared" si="0"/>
        <v>2792489</v>
      </c>
      <c r="J13" s="1759">
        <f t="shared" si="0"/>
        <v>176428</v>
      </c>
      <c r="K13" s="1759">
        <f t="shared" si="0"/>
        <v>587</v>
      </c>
      <c r="L13" s="1759">
        <f t="shared" si="0"/>
        <v>21835</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185220</v>
      </c>
      <c r="N16" s="484"/>
    </row>
    <row r="17" spans="1:14" s="485" customFormat="1" ht="12.75" customHeight="1" x14ac:dyDescent="0.2">
      <c r="A17" s="482" t="s">
        <v>1470</v>
      </c>
      <c r="B17" s="483">
        <v>230</v>
      </c>
      <c r="C17" s="477"/>
      <c r="D17" s="477"/>
      <c r="E17" s="477"/>
      <c r="F17" s="477"/>
      <c r="G17" s="477"/>
      <c r="H17" s="477"/>
      <c r="I17" s="477"/>
      <c r="J17" s="477"/>
      <c r="K17" s="477"/>
      <c r="L17" s="477"/>
      <c r="M17" s="467">
        <f>19222097-7383428</f>
        <v>11838669</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f>1125486+2425485+369708+54870-785619-1933374-193182-54870</f>
        <v>1008504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200569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2219431</v>
      </c>
    </row>
    <row r="23" spans="1:14" ht="13.5" customHeight="1" thickBot="1" x14ac:dyDescent="0.25">
      <c r="A23" s="1758" t="s">
        <v>664</v>
      </c>
      <c r="B23" s="1763"/>
      <c r="C23" s="468"/>
      <c r="D23" s="468"/>
      <c r="E23" s="468"/>
      <c r="F23" s="468"/>
      <c r="G23" s="468"/>
      <c r="H23" s="468"/>
      <c r="I23" s="468"/>
      <c r="J23" s="468"/>
      <c r="K23" s="468"/>
      <c r="L23" s="468"/>
      <c r="M23" s="1710">
        <f>SUM(M15:M22)</f>
        <v>13032393</v>
      </c>
      <c r="N23" s="1710">
        <f>SUM(N21:N22)</f>
        <v>2420000</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21835</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21835</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2420000</v>
      </c>
    </row>
    <row r="37" spans="1:14" ht="13.5" thickBot="1" x14ac:dyDescent="0.25">
      <c r="A37" s="1758" t="s">
        <v>674</v>
      </c>
      <c r="B37" s="1763"/>
      <c r="C37" s="477"/>
      <c r="D37" s="477"/>
      <c r="E37" s="477"/>
      <c r="F37" s="477"/>
      <c r="G37" s="477"/>
      <c r="H37" s="477"/>
      <c r="I37" s="477"/>
      <c r="J37" s="477"/>
      <c r="K37" s="477"/>
      <c r="L37" s="480"/>
      <c r="M37" s="468"/>
      <c r="N37" s="1710">
        <f>SUM(N36:N36)</f>
        <v>2420000</v>
      </c>
    </row>
    <row r="38" spans="1:14" s="329" customFormat="1" ht="13.5" customHeight="1" thickTop="1" x14ac:dyDescent="0.2">
      <c r="A38" s="496" t="s">
        <v>440</v>
      </c>
      <c r="B38" s="483">
        <v>714</v>
      </c>
      <c r="C38" s="466"/>
      <c r="D38" s="466"/>
      <c r="E38" s="466">
        <v>200569</v>
      </c>
      <c r="F38" s="466">
        <v>620745</v>
      </c>
      <c r="G38" s="466">
        <v>614374</v>
      </c>
      <c r="H38" s="466"/>
      <c r="I38" s="466"/>
      <c r="J38" s="467">
        <v>176428</v>
      </c>
      <c r="K38" s="466"/>
      <c r="L38" s="481"/>
      <c r="M38" s="497"/>
      <c r="N38" s="497"/>
    </row>
    <row r="39" spans="1:14" s="329" customFormat="1" ht="13.5" customHeight="1" x14ac:dyDescent="0.2">
      <c r="A39" s="496" t="s">
        <v>360</v>
      </c>
      <c r="B39" s="483">
        <v>730</v>
      </c>
      <c r="C39" s="466">
        <v>12306453</v>
      </c>
      <c r="D39" s="466">
        <v>1597709</v>
      </c>
      <c r="E39" s="466"/>
      <c r="F39" s="466"/>
      <c r="G39" s="466"/>
      <c r="H39" s="466">
        <v>183</v>
      </c>
      <c r="I39" s="466">
        <v>2792489</v>
      </c>
      <c r="J39" s="467"/>
      <c r="K39" s="466">
        <v>587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13032393</v>
      </c>
      <c r="N40" s="497"/>
    </row>
    <row r="41" spans="1:14" ht="13.5" customHeight="1" thickBot="1" x14ac:dyDescent="0.25">
      <c r="A41" s="1758" t="s">
        <v>676</v>
      </c>
      <c r="B41" s="1728"/>
      <c r="C41" s="1710">
        <f>(SUM(C34,C37,C38,C39))</f>
        <v>12306453</v>
      </c>
      <c r="D41" s="1710">
        <f t="shared" ref="D41:L41" si="2">SUM(D34,D37,D38:D39)</f>
        <v>1597709</v>
      </c>
      <c r="E41" s="1710">
        <f t="shared" si="2"/>
        <v>200569</v>
      </c>
      <c r="F41" s="1710">
        <f t="shared" si="2"/>
        <v>620745</v>
      </c>
      <c r="G41" s="1710">
        <f t="shared" si="2"/>
        <v>614374</v>
      </c>
      <c r="H41" s="1710">
        <f t="shared" si="2"/>
        <v>183</v>
      </c>
      <c r="I41" s="1710">
        <f t="shared" si="2"/>
        <v>2792489</v>
      </c>
      <c r="J41" s="1710">
        <f t="shared" si="2"/>
        <v>176428</v>
      </c>
      <c r="K41" s="1710">
        <f t="shared" si="2"/>
        <v>587</v>
      </c>
      <c r="L41" s="1710">
        <f t="shared" si="2"/>
        <v>21835</v>
      </c>
      <c r="M41" s="1710">
        <f>SUM(M40)</f>
        <v>13032393</v>
      </c>
      <c r="N41" s="1710">
        <f>SUM(N37)</f>
        <v>2420000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C1" colorId="8" zoomScale="110" zoomScaleNormal="110" zoomScaleSheetLayoutView="100" workbookViewId="0">
      <pane ySplit="2" topLeftCell="A78"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4" t="s">
        <v>1579</v>
      </c>
      <c r="B4" s="1955">
        <v>1000</v>
      </c>
      <c r="C4" s="1764">
        <f>'Revenues 9-14'!C109</f>
        <v>10147254</v>
      </c>
      <c r="D4" s="1764">
        <f>'Revenues 9-14'!D109</f>
        <v>1165238</v>
      </c>
      <c r="E4" s="1764">
        <f>'Revenues 9-14'!E109</f>
        <v>371348</v>
      </c>
      <c r="F4" s="1764">
        <f>'Revenues 9-14'!F109</f>
        <v>905801</v>
      </c>
      <c r="G4" s="1764">
        <f>'Revenues 9-14'!G109</f>
        <v>326779</v>
      </c>
      <c r="H4" s="1764">
        <f>'Revenues 9-14'!H109</f>
        <v>3</v>
      </c>
      <c r="I4" s="1764">
        <f>'Revenues 9-14'!I109</f>
        <v>129439</v>
      </c>
      <c r="J4" s="1764">
        <f>'Revenues 9-14'!J109</f>
        <v>63778</v>
      </c>
      <c r="K4" s="1764">
        <f>'Revenues 9-14'!K109</f>
        <v>12</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1000462</v>
      </c>
      <c r="D6" s="1765">
        <f>'Revenues 9-14'!D173</f>
        <v>0</v>
      </c>
      <c r="E6" s="1765">
        <f>'Revenues 9-14'!E173</f>
        <v>0</v>
      </c>
      <c r="F6" s="1765">
        <f>'Revenues 9-14'!F173</f>
        <v>561121</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285045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11432761</v>
      </c>
      <c r="D8" s="1710">
        <f t="shared" ref="D8:K8" si="0">SUM(D4:D7)</f>
        <v>1165238</v>
      </c>
      <c r="E8" s="1710">
        <f t="shared" si="0"/>
        <v>371348</v>
      </c>
      <c r="F8" s="1710">
        <f t="shared" si="0"/>
        <v>1466922</v>
      </c>
      <c r="G8" s="1710">
        <f t="shared" si="0"/>
        <v>326779</v>
      </c>
      <c r="H8" s="1710">
        <f t="shared" si="0"/>
        <v>3</v>
      </c>
      <c r="I8" s="1710">
        <f t="shared" si="0"/>
        <v>129439</v>
      </c>
      <c r="J8" s="1710">
        <f t="shared" si="0"/>
        <v>63778</v>
      </c>
      <c r="K8" s="1710">
        <f t="shared" si="0"/>
        <v>12</v>
      </c>
      <c r="L8" s="347"/>
    </row>
    <row r="9" spans="1:13" ht="15.75" thickTop="1" x14ac:dyDescent="0.2">
      <c r="A9" s="514" t="s">
        <v>1751</v>
      </c>
      <c r="B9" s="515">
        <v>3998</v>
      </c>
      <c r="C9" s="481">
        <v>784461</v>
      </c>
      <c r="D9" s="516"/>
      <c r="E9" s="481"/>
      <c r="F9" s="481"/>
      <c r="G9" s="517"/>
      <c r="H9" s="481"/>
      <c r="I9" s="509" t="s">
        <v>1231</v>
      </c>
      <c r="J9" s="478"/>
      <c r="K9" s="481"/>
      <c r="L9" s="347"/>
    </row>
    <row r="10" spans="1:13" s="519" customFormat="1" ht="13.5" thickBot="1" x14ac:dyDescent="0.25">
      <c r="A10" s="1758" t="s">
        <v>1235</v>
      </c>
      <c r="B10" s="1731"/>
      <c r="C10" s="1710">
        <f>SUM(C8:C9)</f>
        <v>12217222</v>
      </c>
      <c r="D10" s="1710">
        <f t="shared" ref="D10:K10" si="1">SUM(D8:D9)</f>
        <v>1165238</v>
      </c>
      <c r="E10" s="1710">
        <f t="shared" si="1"/>
        <v>371348</v>
      </c>
      <c r="F10" s="1710">
        <f t="shared" si="1"/>
        <v>1466922</v>
      </c>
      <c r="G10" s="1710">
        <f t="shared" si="1"/>
        <v>326779</v>
      </c>
      <c r="H10" s="1710">
        <f t="shared" si="1"/>
        <v>3</v>
      </c>
      <c r="I10" s="1710">
        <f t="shared" si="1"/>
        <v>129439</v>
      </c>
      <c r="J10" s="1710">
        <f t="shared" si="1"/>
        <v>63778</v>
      </c>
      <c r="K10" s="1710">
        <f t="shared" si="1"/>
        <v>12</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6953543</v>
      </c>
      <c r="D12" s="520" t="s">
        <v>1231</v>
      </c>
      <c r="E12" s="468" t="s">
        <v>1231</v>
      </c>
      <c r="F12" s="468" t="s">
        <v>1231</v>
      </c>
      <c r="G12" s="1764">
        <f>'Expenditures 15-22'!K229</f>
        <v>135237</v>
      </c>
      <c r="H12" s="521"/>
      <c r="I12" s="468" t="s">
        <v>1231</v>
      </c>
      <c r="J12" s="468" t="s">
        <v>1231</v>
      </c>
      <c r="K12" s="521" t="s">
        <v>1231</v>
      </c>
      <c r="L12" s="347"/>
    </row>
    <row r="13" spans="1:13" ht="15.75" customHeight="1" x14ac:dyDescent="0.2">
      <c r="A13" s="1598" t="s">
        <v>477</v>
      </c>
      <c r="B13" s="1600">
        <v>2000</v>
      </c>
      <c r="C13" s="1765">
        <f>'Expenditures 15-22'!K74</f>
        <v>2994141</v>
      </c>
      <c r="D13" s="1765">
        <f>'Expenditures 15-22'!K129</f>
        <v>843465</v>
      </c>
      <c r="E13" s="469" t="s">
        <v>1231</v>
      </c>
      <c r="F13" s="1765">
        <f>'Expenditures 15-22'!K184</f>
        <v>917406</v>
      </c>
      <c r="G13" s="1765">
        <f>'Expenditures 15-22'!K279</f>
        <v>167000</v>
      </c>
      <c r="H13" s="1765">
        <f>'Expenditures 15-22'!K303</f>
        <v>0</v>
      </c>
      <c r="I13" s="468" t="s">
        <v>1231</v>
      </c>
      <c r="J13" s="1765">
        <f>'Expenditures 15-22'!K330</f>
        <v>51234</v>
      </c>
      <c r="K13" s="1769">
        <f>'Expenditures 15-22'!K352</f>
        <v>0</v>
      </c>
      <c r="L13" s="347"/>
    </row>
    <row r="14" spans="1:13" ht="15.75" customHeight="1" x14ac:dyDescent="0.2">
      <c r="A14" s="1598" t="s">
        <v>469</v>
      </c>
      <c r="B14" s="1600">
        <v>3000</v>
      </c>
      <c r="C14" s="1765">
        <f>'Expenditures 15-22'!K75</f>
        <v>4981</v>
      </c>
      <c r="D14" s="1765">
        <f>'Expenditures 15-22'!K130</f>
        <v>0</v>
      </c>
      <c r="E14" s="520" t="s">
        <v>1231</v>
      </c>
      <c r="F14" s="1765">
        <f>'Expenditures 15-22'!K185</f>
        <v>0</v>
      </c>
      <c r="G14" s="1765">
        <f>'Expenditures 15-22'!K280</f>
        <v>32</v>
      </c>
      <c r="H14" s="512"/>
      <c r="I14" s="468" t="s">
        <v>1231</v>
      </c>
      <c r="J14" s="468" t="s">
        <v>1231</v>
      </c>
      <c r="K14" s="512" t="s">
        <v>1231</v>
      </c>
      <c r="L14" s="347"/>
    </row>
    <row r="15" spans="1:13" ht="15.75" customHeight="1" x14ac:dyDescent="0.2">
      <c r="A15" s="1598" t="s">
        <v>109</v>
      </c>
      <c r="B15" s="1600">
        <v>4000</v>
      </c>
      <c r="C15" s="1765">
        <f>'Expenditures 15-22'!K102</f>
        <v>1203855</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344851</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11156520</v>
      </c>
      <c r="D17" s="1710">
        <f t="shared" si="2"/>
        <v>843465</v>
      </c>
      <c r="E17" s="1710">
        <f t="shared" si="2"/>
        <v>344851</v>
      </c>
      <c r="F17" s="1710">
        <f t="shared" si="2"/>
        <v>917406</v>
      </c>
      <c r="G17" s="1710">
        <f t="shared" si="2"/>
        <v>302269</v>
      </c>
      <c r="H17" s="1710">
        <f t="shared" si="2"/>
        <v>0</v>
      </c>
      <c r="I17" s="468"/>
      <c r="J17" s="1710">
        <f>SUM(J12:J16)</f>
        <v>51234</v>
      </c>
      <c r="K17" s="1710">
        <f>SUM(K12:K16)</f>
        <v>0</v>
      </c>
      <c r="L17" s="347"/>
    </row>
    <row r="18" spans="1:12" ht="15" customHeight="1" thickTop="1" x14ac:dyDescent="0.2">
      <c r="A18" s="1766" t="s">
        <v>1752</v>
      </c>
      <c r="B18" s="1767">
        <v>4180</v>
      </c>
      <c r="C18" s="1764">
        <f t="shared" ref="C18:H18" si="3">C9</f>
        <v>784461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11940981</v>
      </c>
      <c r="D19" s="1710">
        <f t="shared" si="4"/>
        <v>843465</v>
      </c>
      <c r="E19" s="1710">
        <f t="shared" si="4"/>
        <v>344851</v>
      </c>
      <c r="F19" s="1710">
        <f t="shared" si="4"/>
        <v>917406</v>
      </c>
      <c r="G19" s="1710">
        <f t="shared" si="4"/>
        <v>302269</v>
      </c>
      <c r="H19" s="1710">
        <f t="shared" si="4"/>
        <v>0</v>
      </c>
      <c r="I19" s="468"/>
      <c r="J19" s="1710">
        <f>SUM(J17:J18)</f>
        <v>51234</v>
      </c>
      <c r="K19" s="1710">
        <f>SUM(K17:K18)</f>
        <v>0</v>
      </c>
      <c r="L19" s="347"/>
    </row>
    <row r="20" spans="1:12" ht="16.5" thickTop="1" thickBot="1" x14ac:dyDescent="0.25">
      <c r="A20" s="2145" t="s">
        <v>1753</v>
      </c>
      <c r="B20" s="2146"/>
      <c r="C20" s="1768">
        <f>C8-C17</f>
        <v>276241</v>
      </c>
      <c r="D20" s="1768">
        <f t="shared" ref="D20:K20" si="5">D8-D17</f>
        <v>321773</v>
      </c>
      <c r="E20" s="1768">
        <f t="shared" si="5"/>
        <v>26497</v>
      </c>
      <c r="F20" s="1768">
        <f t="shared" si="5"/>
        <v>549516</v>
      </c>
      <c r="G20" s="1768">
        <f t="shared" si="5"/>
        <v>24510</v>
      </c>
      <c r="H20" s="1768">
        <f t="shared" si="5"/>
        <v>3</v>
      </c>
      <c r="I20" s="1768">
        <f t="shared" si="5"/>
        <v>129439</v>
      </c>
      <c r="J20" s="1768">
        <f t="shared" si="5"/>
        <v>12544</v>
      </c>
      <c r="K20" s="1768">
        <f t="shared" si="5"/>
        <v>12</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7" t="s">
        <v>1239</v>
      </c>
      <c r="B77" s="2138"/>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1" t="s">
        <v>618</v>
      </c>
      <c r="B78" s="2142"/>
      <c r="C78" s="1724">
        <f t="shared" ref="C78:K78" si="9">C20+C77</f>
        <v>276241</v>
      </c>
      <c r="D78" s="1724">
        <f t="shared" si="9"/>
        <v>321773</v>
      </c>
      <c r="E78" s="1724">
        <f t="shared" si="9"/>
        <v>26497</v>
      </c>
      <c r="F78" s="1724">
        <f t="shared" si="9"/>
        <v>549516</v>
      </c>
      <c r="G78" s="1724">
        <f t="shared" si="9"/>
        <v>24510</v>
      </c>
      <c r="H78" s="1724">
        <f t="shared" si="9"/>
        <v>3</v>
      </c>
      <c r="I78" s="1724">
        <f t="shared" si="9"/>
        <v>129439</v>
      </c>
      <c r="J78" s="1724">
        <f t="shared" si="9"/>
        <v>12544</v>
      </c>
      <c r="K78" s="1724">
        <f t="shared" si="9"/>
        <v>12</v>
      </c>
      <c r="L78" s="533"/>
    </row>
    <row r="79" spans="1:12" ht="13.5" thickTop="1" x14ac:dyDescent="0.2">
      <c r="A79" s="1516" t="s">
        <v>2070</v>
      </c>
      <c r="B79" s="534"/>
      <c r="C79" s="478">
        <v>12030212</v>
      </c>
      <c r="D79" s="535">
        <v>1275936</v>
      </c>
      <c r="E79" s="535">
        <v>174072</v>
      </c>
      <c r="F79" s="535">
        <v>71229</v>
      </c>
      <c r="G79" s="535">
        <v>589864</v>
      </c>
      <c r="H79" s="535">
        <v>180</v>
      </c>
      <c r="I79" s="535">
        <v>2663050</v>
      </c>
      <c r="J79" s="535">
        <v>163884</v>
      </c>
      <c r="K79" s="535">
        <v>575</v>
      </c>
      <c r="L79" s="347"/>
    </row>
    <row r="80" spans="1:12" x14ac:dyDescent="0.2">
      <c r="A80" s="2147" t="s">
        <v>1897</v>
      </c>
      <c r="B80" s="2148"/>
      <c r="C80" s="467"/>
      <c r="D80" s="467"/>
      <c r="E80" s="467"/>
      <c r="F80" s="467"/>
      <c r="G80" s="467"/>
      <c r="H80" s="467"/>
      <c r="I80" s="467"/>
      <c r="J80" s="467"/>
      <c r="K80" s="467"/>
      <c r="L80" s="347"/>
    </row>
    <row r="81" spans="1:12" ht="13.5" thickBot="1" x14ac:dyDescent="0.25">
      <c r="A81" s="2139" t="s">
        <v>2071</v>
      </c>
      <c r="B81" s="2140"/>
      <c r="C81" s="1710">
        <f>(SUM(C78:C80))</f>
        <v>12306453</v>
      </c>
      <c r="D81" s="1710">
        <f>SUM(D78:D80)</f>
        <v>1597709</v>
      </c>
      <c r="E81" s="1710">
        <f t="shared" ref="E81:K81" si="10">SUM(E78:E80)</f>
        <v>200569</v>
      </c>
      <c r="F81" s="1710">
        <f t="shared" si="10"/>
        <v>620745</v>
      </c>
      <c r="G81" s="1710">
        <f t="shared" si="10"/>
        <v>614374</v>
      </c>
      <c r="H81" s="1710">
        <f t="shared" si="10"/>
        <v>183</v>
      </c>
      <c r="I81" s="1710">
        <f t="shared" si="10"/>
        <v>2792489</v>
      </c>
      <c r="J81" s="1710">
        <f t="shared" si="10"/>
        <v>176428</v>
      </c>
      <c r="K81" s="1710">
        <f t="shared" si="10"/>
        <v>587</v>
      </c>
      <c r="L81" s="347"/>
    </row>
    <row r="82" spans="1:12" ht="0.75" customHeight="1" thickTop="1" thickBot="1" x14ac:dyDescent="0.25">
      <c r="A82" s="536" t="s">
        <v>361</v>
      </c>
      <c r="B82" s="537"/>
      <c r="C82" s="538">
        <f>(C81-C79)</f>
        <v>276241</v>
      </c>
      <c r="D82" s="538">
        <f t="shared" ref="D82:K82" si="11">(D81-D79)</f>
        <v>321773</v>
      </c>
      <c r="E82" s="538">
        <f t="shared" si="11"/>
        <v>26497</v>
      </c>
      <c r="F82" s="538">
        <f t="shared" si="11"/>
        <v>549516</v>
      </c>
      <c r="G82" s="538">
        <f t="shared" si="11"/>
        <v>24510</v>
      </c>
      <c r="H82" s="538">
        <f t="shared" si="11"/>
        <v>3</v>
      </c>
      <c r="I82" s="538">
        <f t="shared" si="11"/>
        <v>129439</v>
      </c>
      <c r="J82" s="538">
        <f t="shared" si="11"/>
        <v>12544</v>
      </c>
      <c r="K82" s="538">
        <f t="shared" si="11"/>
        <v>12</v>
      </c>
    </row>
    <row r="83" spans="1:12" ht="14.25" hidden="1" thickTop="1" thickBot="1" x14ac:dyDescent="0.25">
      <c r="A83" s="539" t="s">
        <v>362</v>
      </c>
      <c r="B83" s="464"/>
      <c r="C83" s="540">
        <f>C82/C81</f>
        <v>2.2446841506646959E-2</v>
      </c>
      <c r="D83" s="540">
        <f t="shared" ref="D83:K83" si="12">D82/D81</f>
        <v>0.2013964996128832</v>
      </c>
      <c r="E83" s="540">
        <f t="shared" si="12"/>
        <v>0.13210914946975855</v>
      </c>
      <c r="F83" s="540">
        <f t="shared" si="12"/>
        <v>0.88525239832781577</v>
      </c>
      <c r="G83" s="540">
        <f t="shared" si="12"/>
        <v>3.9894266358927948E-2</v>
      </c>
      <c r="H83" s="540">
        <f t="shared" si="12"/>
        <v>1.6393442622950821E-2</v>
      </c>
      <c r="I83" s="540">
        <f t="shared" si="12"/>
        <v>4.6352555014540789E-2</v>
      </c>
      <c r="J83" s="540">
        <f t="shared" si="12"/>
        <v>7.1099825424535787E-2</v>
      </c>
      <c r="K83" s="540">
        <f t="shared" si="12"/>
        <v>2.0442930153321975E-2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1"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1904</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1759</v>
      </c>
      <c r="B5" s="547"/>
      <c r="C5" s="481">
        <f>8366414</f>
        <v>8366414</v>
      </c>
      <c r="D5" s="481">
        <v>1076823</v>
      </c>
      <c r="E5" s="466">
        <v>366462</v>
      </c>
      <c r="F5" s="548">
        <v>531388</v>
      </c>
      <c r="G5" s="466">
        <v>276756</v>
      </c>
      <c r="H5" s="466"/>
      <c r="I5" s="466">
        <v>107923</v>
      </c>
      <c r="J5" s="467">
        <v>60138</v>
      </c>
      <c r="K5" s="466"/>
    </row>
    <row r="6" spans="1:12" ht="15" x14ac:dyDescent="0.2">
      <c r="A6" s="463" t="s">
        <v>1760</v>
      </c>
      <c r="B6" s="470">
        <v>1130</v>
      </c>
      <c r="C6" s="466">
        <v>957351</v>
      </c>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9323765</v>
      </c>
      <c r="D12" s="1729">
        <f t="shared" si="0"/>
        <v>1076823</v>
      </c>
      <c r="E12" s="1729">
        <f t="shared" si="0"/>
        <v>366462</v>
      </c>
      <c r="F12" s="1729">
        <f t="shared" si="0"/>
        <v>531388</v>
      </c>
      <c r="G12" s="1729">
        <f t="shared" si="0"/>
        <v>276756</v>
      </c>
      <c r="H12" s="1729">
        <f t="shared" si="0"/>
        <v>0</v>
      </c>
      <c r="I12" s="1729">
        <f t="shared" si="0"/>
        <v>107923</v>
      </c>
      <c r="J12" s="1729">
        <f t="shared" si="0"/>
        <v>60138</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0</v>
      </c>
      <c r="D16" s="466"/>
      <c r="E16" s="466"/>
      <c r="F16" s="466"/>
      <c r="G16" s="466"/>
      <c r="H16" s="466"/>
      <c r="I16" s="466"/>
      <c r="J16" s="467"/>
      <c r="K16" s="466"/>
    </row>
    <row r="17" spans="1:11" ht="12.75" customHeight="1" x14ac:dyDescent="0.2">
      <c r="A17" s="463" t="s">
        <v>840</v>
      </c>
      <c r="B17" s="470">
        <v>1290</v>
      </c>
      <c r="C17" s="551"/>
      <c r="D17" s="466"/>
      <c r="E17" s="466"/>
      <c r="F17" s="466">
        <v>368360</v>
      </c>
      <c r="G17" s="466">
        <v>34993</v>
      </c>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368360</v>
      </c>
      <c r="G18" s="1732">
        <f t="shared" si="1"/>
        <v>34993</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23560</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23560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f>333789-3640</f>
        <v>330149</v>
      </c>
      <c r="D65" s="466">
        <v>31847</v>
      </c>
      <c r="E65" s="466">
        <v>4886</v>
      </c>
      <c r="F65" s="467">
        <v>6053</v>
      </c>
      <c r="G65" s="466">
        <v>15030</v>
      </c>
      <c r="H65" s="466">
        <v>3</v>
      </c>
      <c r="I65" s="466">
        <v>21516</v>
      </c>
      <c r="J65" s="467">
        <v>3640</v>
      </c>
      <c r="K65" s="466">
        <v>12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330149</v>
      </c>
      <c r="D67" s="1710">
        <f t="shared" ref="D67:K67" si="2">SUM(D65:D66)</f>
        <v>31847</v>
      </c>
      <c r="E67" s="1710">
        <f t="shared" si="2"/>
        <v>4886</v>
      </c>
      <c r="F67" s="1710">
        <f t="shared" si="2"/>
        <v>6053</v>
      </c>
      <c r="G67" s="1710">
        <f t="shared" si="2"/>
        <v>15030</v>
      </c>
      <c r="H67" s="1710">
        <f t="shared" si="2"/>
        <v>3</v>
      </c>
      <c r="I67" s="1710">
        <f t="shared" si="2"/>
        <v>21516</v>
      </c>
      <c r="J67" s="1710">
        <f t="shared" si="2"/>
        <v>3640</v>
      </c>
      <c r="K67" s="1710">
        <f t="shared" si="2"/>
        <v>12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108914</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2874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111788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155327</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155327</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202665</v>
      </c>
      <c r="D107" s="466">
        <v>56568</v>
      </c>
      <c r="E107" s="466"/>
      <c r="F107" s="466"/>
      <c r="G107" s="466"/>
      <c r="H107" s="466"/>
      <c r="I107" s="466"/>
      <c r="J107" s="467"/>
      <c r="K107" s="466"/>
    </row>
    <row r="108" spans="1:12" ht="12.75" customHeight="1" thickBot="1" x14ac:dyDescent="0.25">
      <c r="A108" s="1730" t="s">
        <v>508</v>
      </c>
      <c r="B108" s="1734"/>
      <c r="C108" s="1729">
        <f>SUM(C95:C107)</f>
        <v>202665</v>
      </c>
      <c r="D108" s="1729">
        <f t="shared" ref="D108:K108" si="3">SUM(D95:D107)</f>
        <v>56568</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10147254</v>
      </c>
      <c r="D109" s="1737">
        <f t="shared" si="4"/>
        <v>1165238</v>
      </c>
      <c r="E109" s="1737">
        <f t="shared" si="4"/>
        <v>371348</v>
      </c>
      <c r="F109" s="1737">
        <f t="shared" si="4"/>
        <v>905801</v>
      </c>
      <c r="G109" s="1737">
        <f t="shared" si="4"/>
        <v>326779</v>
      </c>
      <c r="H109" s="1737">
        <f t="shared" si="4"/>
        <v>3</v>
      </c>
      <c r="I109" s="1737">
        <f t="shared" si="4"/>
        <v>129439</v>
      </c>
      <c r="J109" s="1737">
        <f t="shared" si="4"/>
        <v>63778</v>
      </c>
      <c r="K109" s="1724">
        <f t="shared" si="4"/>
        <v>12</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1765</v>
      </c>
      <c r="B117" s="562">
        <v>3001</v>
      </c>
      <c r="C117" s="516">
        <v>793591</v>
      </c>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793591</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25955</v>
      </c>
      <c r="D124" s="561"/>
      <c r="E124" s="468"/>
      <c r="F124" s="548"/>
      <c r="G124" s="468"/>
      <c r="H124" s="468"/>
      <c r="I124" s="468"/>
      <c r="J124" s="468"/>
      <c r="K124" s="468"/>
    </row>
    <row r="125" spans="1:11" ht="12.75" customHeight="1" x14ac:dyDescent="0.2">
      <c r="A125" s="463" t="s">
        <v>1521</v>
      </c>
      <c r="B125" s="562">
        <v>3105</v>
      </c>
      <c r="C125" s="466">
        <v>58652</v>
      </c>
      <c r="D125" s="561"/>
      <c r="E125" s="468"/>
      <c r="F125" s="466"/>
      <c r="G125" s="468"/>
      <c r="H125" s="468"/>
      <c r="I125" s="468"/>
      <c r="J125" s="468"/>
      <c r="K125" s="468"/>
    </row>
    <row r="126" spans="1:11" ht="12.75" customHeight="1" x14ac:dyDescent="0.2">
      <c r="A126" s="463" t="s">
        <v>922</v>
      </c>
      <c r="B126" s="562">
        <v>3110</v>
      </c>
      <c r="C126" s="551">
        <f>72365+1132</f>
        <v>73497</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v>750</v>
      </c>
      <c r="D130" s="467"/>
      <c r="E130" s="468"/>
      <c r="F130" s="466"/>
      <c r="G130" s="468"/>
      <c r="H130" s="468"/>
      <c r="I130" s="468"/>
      <c r="J130" s="468"/>
      <c r="K130" s="468"/>
    </row>
    <row r="131" spans="1:11" ht="12.75" customHeight="1" thickBot="1" x14ac:dyDescent="0.25">
      <c r="A131" s="1730" t="s">
        <v>1092</v>
      </c>
      <c r="B131" s="1742"/>
      <c r="C131" s="1729">
        <f>SUM(C124:C130)</f>
        <v>158854</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47159</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47159</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858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211859</v>
      </c>
      <c r="G151" s="467"/>
      <c r="H151" s="468"/>
      <c r="I151" s="468"/>
      <c r="J151" s="468"/>
      <c r="K151" s="468"/>
    </row>
    <row r="152" spans="1:11" ht="12.75" customHeight="1" x14ac:dyDescent="0.2">
      <c r="A152" s="463" t="s">
        <v>1117</v>
      </c>
      <c r="B152" s="562">
        <v>3510</v>
      </c>
      <c r="C152" s="551"/>
      <c r="D152" s="466"/>
      <c r="E152" s="561"/>
      <c r="F152" s="466">
        <v>349262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561121</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206871</v>
      </c>
      <c r="D172" s="1744">
        <f t="shared" si="6"/>
        <v>0</v>
      </c>
      <c r="E172" s="1744">
        <f t="shared" si="6"/>
        <v>0</v>
      </c>
      <c r="F172" s="1744">
        <f t="shared" si="6"/>
        <v>561121</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1000462</v>
      </c>
      <c r="D173" s="1737">
        <f>SUM(D121,D172)</f>
        <v>0</v>
      </c>
      <c r="E173" s="1737">
        <f>SUM(E121,E172)</f>
        <v>0</v>
      </c>
      <c r="F173" s="1737">
        <f t="shared" ref="F173:K173" si="7">SUM(F121,F172)</f>
        <v>561121</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1763</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1762</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1905</v>
      </c>
      <c r="B185" s="2168"/>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85325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85325</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151578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151578</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6006</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6006</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v>8717</v>
      </c>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8717</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v>146</v>
      </c>
      <c r="D263" s="468"/>
      <c r="E263" s="468"/>
      <c r="F263" s="578"/>
      <c r="G263" s="573"/>
      <c r="H263" s="468"/>
      <c r="I263" s="468"/>
      <c r="J263" s="468"/>
      <c r="K263" s="468"/>
    </row>
    <row r="264" spans="1:11" ht="12.75" customHeight="1" thickTop="1" thickBot="1" x14ac:dyDescent="0.25">
      <c r="A264" s="463" t="s">
        <v>1532</v>
      </c>
      <c r="B264" s="470">
        <v>4909</v>
      </c>
      <c r="C264" s="576">
        <v>17559</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15714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285045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285045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11432761</v>
      </c>
      <c r="D275" s="1737">
        <f t="shared" si="12"/>
        <v>1165238</v>
      </c>
      <c r="E275" s="1737">
        <f t="shared" si="12"/>
        <v>371348</v>
      </c>
      <c r="F275" s="1737">
        <f t="shared" si="12"/>
        <v>1466922</v>
      </c>
      <c r="G275" s="1737">
        <f t="shared" si="12"/>
        <v>326779</v>
      </c>
      <c r="H275" s="1737">
        <f t="shared" si="12"/>
        <v>3</v>
      </c>
      <c r="I275" s="1737">
        <f t="shared" si="12"/>
        <v>129439</v>
      </c>
      <c r="J275" s="1737">
        <f t="shared" si="12"/>
        <v>63778</v>
      </c>
      <c r="K275" s="1724">
        <f t="shared" si="12"/>
        <v>12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73" activePane="bottomLeft" state="frozen"/>
      <selection activeCell="A47" sqref="A47"/>
      <selection pane="bottomLeft" activeCell="A264" sqref="A26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4329526</v>
      </c>
      <c r="D5" s="466">
        <v>592822</v>
      </c>
      <c r="E5" s="466">
        <v>12495</v>
      </c>
      <c r="F5" s="466">
        <v>126192</v>
      </c>
      <c r="G5" s="466">
        <v>3720</v>
      </c>
      <c r="H5" s="466"/>
      <c r="I5" s="467"/>
      <c r="J5" s="467"/>
      <c r="K5" s="1693">
        <f>SUM(C5:J5)</f>
        <v>5064755</v>
      </c>
      <c r="L5" s="466">
        <f>4000+5061035</f>
        <v>5065035</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764507</v>
      </c>
      <c r="D8" s="466">
        <v>114904</v>
      </c>
      <c r="E8" s="466">
        <v>21757</v>
      </c>
      <c r="F8" s="466">
        <v>4640</v>
      </c>
      <c r="G8" s="466"/>
      <c r="H8" s="466"/>
      <c r="I8" s="467"/>
      <c r="J8" s="467"/>
      <c r="K8" s="1693">
        <f t="shared" si="0"/>
        <v>905808</v>
      </c>
      <c r="L8" s="466">
        <v>902409</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282853</v>
      </c>
      <c r="D10" s="466">
        <v>37970</v>
      </c>
      <c r="E10" s="466"/>
      <c r="F10" s="466">
        <v>7034</v>
      </c>
      <c r="G10" s="466"/>
      <c r="H10" s="466">
        <v>7005</v>
      </c>
      <c r="I10" s="467"/>
      <c r="J10" s="467"/>
      <c r="K10" s="1693">
        <f t="shared" si="0"/>
        <v>334862</v>
      </c>
      <c r="L10" s="466">
        <v>320309</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43998</v>
      </c>
      <c r="D14" s="466">
        <v>499</v>
      </c>
      <c r="E14" s="466"/>
      <c r="F14" s="466"/>
      <c r="G14" s="466"/>
      <c r="H14" s="466"/>
      <c r="I14" s="467"/>
      <c r="J14" s="467"/>
      <c r="K14" s="1693">
        <f t="shared" si="0"/>
        <v>44497</v>
      </c>
      <c r="L14" s="466">
        <f>1500+57150</f>
        <v>58650</v>
      </c>
    </row>
    <row r="15" spans="1:14" x14ac:dyDescent="0.2">
      <c r="A15" s="1526" t="s">
        <v>1021</v>
      </c>
      <c r="B15" s="615">
        <v>1600</v>
      </c>
      <c r="C15" s="466">
        <v>58880</v>
      </c>
      <c r="D15" s="466">
        <v>826</v>
      </c>
      <c r="E15" s="466"/>
      <c r="F15" s="466">
        <v>2308</v>
      </c>
      <c r="G15" s="466"/>
      <c r="H15" s="466"/>
      <c r="I15" s="467"/>
      <c r="J15" s="467"/>
      <c r="K15" s="1693">
        <f t="shared" si="0"/>
        <v>62014</v>
      </c>
      <c r="L15" s="466">
        <v>28600</v>
      </c>
    </row>
    <row r="16" spans="1:14" x14ac:dyDescent="0.2">
      <c r="A16" s="1526" t="s">
        <v>1044</v>
      </c>
      <c r="B16" s="615" t="s">
        <v>444</v>
      </c>
      <c r="C16" s="466">
        <v>108575</v>
      </c>
      <c r="D16" s="466">
        <v>20884</v>
      </c>
      <c r="E16" s="466">
        <v>900</v>
      </c>
      <c r="F16" s="466">
        <v>222</v>
      </c>
      <c r="G16" s="466"/>
      <c r="H16" s="466"/>
      <c r="I16" s="467"/>
      <c r="J16" s="467"/>
      <c r="K16" s="1693">
        <f t="shared" si="0"/>
        <v>130581</v>
      </c>
      <c r="L16" s="466">
        <v>129553</v>
      </c>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354111</v>
      </c>
      <c r="D18" s="466">
        <v>46197</v>
      </c>
      <c r="E18" s="466"/>
      <c r="F18" s="466">
        <v>442</v>
      </c>
      <c r="G18" s="466"/>
      <c r="H18" s="466">
        <v>10276</v>
      </c>
      <c r="I18" s="467"/>
      <c r="J18" s="467"/>
      <c r="K18" s="1693">
        <f t="shared" si="0"/>
        <v>411026</v>
      </c>
      <c r="L18" s="466">
        <v>427899</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1766</v>
      </c>
      <c r="B33" s="1691" t="s">
        <v>591</v>
      </c>
      <c r="C33" s="1692">
        <f>SUM(C5:C32)</f>
        <v>5942450</v>
      </c>
      <c r="D33" s="1692">
        <f t="shared" ref="D33:L33" si="1">SUM(D5:D32)</f>
        <v>814102</v>
      </c>
      <c r="E33" s="1692">
        <f t="shared" si="1"/>
        <v>35152</v>
      </c>
      <c r="F33" s="1692">
        <f t="shared" si="1"/>
        <v>140838</v>
      </c>
      <c r="G33" s="1692">
        <f t="shared" si="1"/>
        <v>3720</v>
      </c>
      <c r="H33" s="1692">
        <f t="shared" si="1"/>
        <v>17281</v>
      </c>
      <c r="I33" s="1692">
        <f t="shared" si="1"/>
        <v>0</v>
      </c>
      <c r="J33" s="1692">
        <f t="shared" si="1"/>
        <v>0</v>
      </c>
      <c r="K33" s="1692">
        <f t="shared" si="1"/>
        <v>6953543</v>
      </c>
      <c r="L33" s="1692">
        <f t="shared" si="1"/>
        <v>6932455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128237</v>
      </c>
      <c r="D36" s="481">
        <v>23244</v>
      </c>
      <c r="E36" s="481"/>
      <c r="F36" s="481">
        <v>360</v>
      </c>
      <c r="G36" s="481"/>
      <c r="H36" s="481"/>
      <c r="I36" s="467"/>
      <c r="J36" s="467"/>
      <c r="K36" s="1693">
        <f t="shared" ref="K36:K41" si="2">SUM(C36:J36)</f>
        <v>151841</v>
      </c>
      <c r="L36" s="466">
        <v>180993</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52801</v>
      </c>
      <c r="D38" s="466"/>
      <c r="E38" s="466">
        <v>437</v>
      </c>
      <c r="F38" s="466">
        <v>1061</v>
      </c>
      <c r="G38" s="466"/>
      <c r="H38" s="466"/>
      <c r="I38" s="467"/>
      <c r="J38" s="467"/>
      <c r="K38" s="1693">
        <f t="shared" si="2"/>
        <v>54299</v>
      </c>
      <c r="L38" s="466">
        <f>3000+77122</f>
        <v>80122</v>
      </c>
    </row>
    <row r="39" spans="1:14" x14ac:dyDescent="0.2">
      <c r="A39" s="1526" t="s">
        <v>208</v>
      </c>
      <c r="B39" s="615">
        <v>2140</v>
      </c>
      <c r="C39" s="466">
        <v>154075</v>
      </c>
      <c r="D39" s="466">
        <v>21219</v>
      </c>
      <c r="E39" s="466">
        <v>1388</v>
      </c>
      <c r="F39" s="466">
        <v>1697</v>
      </c>
      <c r="G39" s="466"/>
      <c r="H39" s="466"/>
      <c r="I39" s="467"/>
      <c r="J39" s="467"/>
      <c r="K39" s="1693">
        <f t="shared" si="2"/>
        <v>178379</v>
      </c>
      <c r="L39" s="466">
        <v>177889</v>
      </c>
    </row>
    <row r="40" spans="1:14" x14ac:dyDescent="0.2">
      <c r="A40" s="1526" t="s">
        <v>209</v>
      </c>
      <c r="B40" s="615">
        <v>2150</v>
      </c>
      <c r="C40" s="466">
        <v>169999</v>
      </c>
      <c r="D40" s="466">
        <v>37908</v>
      </c>
      <c r="E40" s="466"/>
      <c r="F40" s="466">
        <v>596</v>
      </c>
      <c r="G40" s="466"/>
      <c r="H40" s="466"/>
      <c r="I40" s="467"/>
      <c r="J40" s="467"/>
      <c r="K40" s="1693">
        <f t="shared" si="2"/>
        <v>208503</v>
      </c>
      <c r="L40" s="466">
        <v>212992</v>
      </c>
    </row>
    <row r="41" spans="1:14" x14ac:dyDescent="0.2">
      <c r="A41" s="1526" t="s">
        <v>1767</v>
      </c>
      <c r="B41" s="615">
        <v>2190</v>
      </c>
      <c r="C41" s="466"/>
      <c r="D41" s="466"/>
      <c r="E41" s="466">
        <v>5026</v>
      </c>
      <c r="F41" s="466">
        <v>2895</v>
      </c>
      <c r="G41" s="466"/>
      <c r="H41" s="466">
        <v>2652</v>
      </c>
      <c r="I41" s="467"/>
      <c r="J41" s="467"/>
      <c r="K41" s="1693">
        <f t="shared" si="2"/>
        <v>10573</v>
      </c>
      <c r="L41" s="466">
        <v>10500</v>
      </c>
    </row>
    <row r="42" spans="1:14" ht="12.75" customHeight="1" thickBot="1" x14ac:dyDescent="0.25">
      <c r="A42" s="1690" t="s">
        <v>581</v>
      </c>
      <c r="B42" s="1691" t="s">
        <v>740</v>
      </c>
      <c r="C42" s="1692">
        <f>SUM(C36:C41)</f>
        <v>505112</v>
      </c>
      <c r="D42" s="1692">
        <f t="shared" ref="D42:L42" si="3">SUM(D36:D41)</f>
        <v>82371</v>
      </c>
      <c r="E42" s="1692">
        <f t="shared" si="3"/>
        <v>6851</v>
      </c>
      <c r="F42" s="1692">
        <f t="shared" si="3"/>
        <v>6609</v>
      </c>
      <c r="G42" s="1692">
        <f t="shared" si="3"/>
        <v>0</v>
      </c>
      <c r="H42" s="1692">
        <f t="shared" si="3"/>
        <v>2652</v>
      </c>
      <c r="I42" s="1692">
        <f t="shared" si="3"/>
        <v>0</v>
      </c>
      <c r="J42" s="1692">
        <f t="shared" si="3"/>
        <v>0</v>
      </c>
      <c r="K42" s="1692">
        <f t="shared" si="3"/>
        <v>603595</v>
      </c>
      <c r="L42" s="1692">
        <f t="shared" si="3"/>
        <v>662496</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5790</v>
      </c>
      <c r="D44" s="481">
        <v>11655</v>
      </c>
      <c r="E44" s="481">
        <v>61458</v>
      </c>
      <c r="F44" s="481"/>
      <c r="G44" s="481"/>
      <c r="H44" s="481"/>
      <c r="I44" s="467"/>
      <c r="J44" s="467"/>
      <c r="K44" s="1694">
        <f>SUM(C44:J44)</f>
        <v>78903</v>
      </c>
      <c r="L44" s="481">
        <v>66705</v>
      </c>
    </row>
    <row r="45" spans="1:14" x14ac:dyDescent="0.2">
      <c r="A45" s="1526" t="s">
        <v>869</v>
      </c>
      <c r="B45" s="615">
        <v>2220</v>
      </c>
      <c r="C45" s="466">
        <v>360791</v>
      </c>
      <c r="D45" s="466">
        <v>53867</v>
      </c>
      <c r="E45" s="466">
        <v>22574</v>
      </c>
      <c r="F45" s="466">
        <v>5433</v>
      </c>
      <c r="G45" s="466">
        <v>30044</v>
      </c>
      <c r="H45" s="466"/>
      <c r="I45" s="467"/>
      <c r="J45" s="467"/>
      <c r="K45" s="1694">
        <f>SUM(C45:J45)</f>
        <v>472709</v>
      </c>
      <c r="L45" s="466">
        <f>160000+580277</f>
        <v>740277</v>
      </c>
    </row>
    <row r="46" spans="1:14" x14ac:dyDescent="0.2">
      <c r="A46" s="1526" t="s">
        <v>870</v>
      </c>
      <c r="B46" s="615">
        <v>2230</v>
      </c>
      <c r="C46" s="466"/>
      <c r="D46" s="466"/>
      <c r="E46" s="466">
        <v>12765</v>
      </c>
      <c r="F46" s="466"/>
      <c r="G46" s="466"/>
      <c r="H46" s="466"/>
      <c r="I46" s="467"/>
      <c r="J46" s="467"/>
      <c r="K46" s="1694">
        <f>SUM(C46:J46)</f>
        <v>12765</v>
      </c>
      <c r="L46" s="466">
        <v>13500</v>
      </c>
    </row>
    <row r="47" spans="1:14" ht="12.75" customHeight="1" thickBot="1" x14ac:dyDescent="0.25">
      <c r="A47" s="1690" t="s">
        <v>582</v>
      </c>
      <c r="B47" s="1691" t="s">
        <v>32</v>
      </c>
      <c r="C47" s="1692">
        <f>SUM(C44:C46)</f>
        <v>366581</v>
      </c>
      <c r="D47" s="1692">
        <f t="shared" ref="D47:K47" si="4">SUM(D44:D46)</f>
        <v>65522</v>
      </c>
      <c r="E47" s="1692">
        <f t="shared" si="4"/>
        <v>96797</v>
      </c>
      <c r="F47" s="1692">
        <f t="shared" si="4"/>
        <v>5433</v>
      </c>
      <c r="G47" s="1692">
        <f t="shared" si="4"/>
        <v>30044</v>
      </c>
      <c r="H47" s="1692">
        <f t="shared" si="4"/>
        <v>0</v>
      </c>
      <c r="I47" s="1692">
        <f t="shared" si="4"/>
        <v>0</v>
      </c>
      <c r="J47" s="1692">
        <f t="shared" si="4"/>
        <v>0</v>
      </c>
      <c r="K47" s="1692">
        <f t="shared" si="4"/>
        <v>564377</v>
      </c>
      <c r="L47" s="1692">
        <f>SUM(L44:L46)</f>
        <v>820482</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112838</v>
      </c>
      <c r="F49" s="481">
        <v>1281</v>
      </c>
      <c r="G49" s="481"/>
      <c r="H49" s="481">
        <v>5802</v>
      </c>
      <c r="I49" s="467"/>
      <c r="J49" s="467"/>
      <c r="K49" s="1694">
        <f>SUM(C49:J49)</f>
        <v>119921</v>
      </c>
      <c r="L49" s="481">
        <v>93000</v>
      </c>
    </row>
    <row r="50" spans="1:14" x14ac:dyDescent="0.2">
      <c r="A50" s="1526" t="s">
        <v>872</v>
      </c>
      <c r="B50" s="615">
        <v>2320</v>
      </c>
      <c r="C50" s="466">
        <v>216667</v>
      </c>
      <c r="D50" s="466">
        <v>28554</v>
      </c>
      <c r="E50" s="466">
        <v>18277</v>
      </c>
      <c r="F50" s="466">
        <v>2663</v>
      </c>
      <c r="G50" s="466">
        <v>5066</v>
      </c>
      <c r="H50" s="466">
        <v>2963</v>
      </c>
      <c r="I50" s="467"/>
      <c r="J50" s="467"/>
      <c r="K50" s="1694">
        <f>SUM(C50:J50)</f>
        <v>274190</v>
      </c>
      <c r="L50" s="466">
        <f>7000+270322</f>
        <v>277322</v>
      </c>
    </row>
    <row r="51" spans="1:14" x14ac:dyDescent="0.2">
      <c r="A51" s="1526" t="s">
        <v>44</v>
      </c>
      <c r="B51" s="615">
        <v>2330</v>
      </c>
      <c r="C51" s="466">
        <v>21245</v>
      </c>
      <c r="D51" s="466">
        <v>8889</v>
      </c>
      <c r="E51" s="466"/>
      <c r="F51" s="466"/>
      <c r="G51" s="466"/>
      <c r="H51" s="466"/>
      <c r="I51" s="467"/>
      <c r="J51" s="467"/>
      <c r="K51" s="1694">
        <f>SUM(C51:J51)</f>
        <v>30134</v>
      </c>
      <c r="L51" s="466">
        <v>30868</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237912</v>
      </c>
      <c r="D53" s="1692">
        <f t="shared" ref="D53:L53" si="5">SUM(D49:D52)</f>
        <v>37443</v>
      </c>
      <c r="E53" s="1692">
        <f t="shared" si="5"/>
        <v>131115</v>
      </c>
      <c r="F53" s="1692">
        <f t="shared" si="5"/>
        <v>3944</v>
      </c>
      <c r="G53" s="1692">
        <f t="shared" si="5"/>
        <v>5066</v>
      </c>
      <c r="H53" s="1692">
        <f t="shared" si="5"/>
        <v>8765</v>
      </c>
      <c r="I53" s="1692">
        <f t="shared" si="5"/>
        <v>0</v>
      </c>
      <c r="J53" s="1692">
        <f t="shared" si="5"/>
        <v>0</v>
      </c>
      <c r="K53" s="1692">
        <f t="shared" si="5"/>
        <v>424245</v>
      </c>
      <c r="L53" s="1692">
        <f t="shared" si="5"/>
        <v>401190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531672</v>
      </c>
      <c r="D55" s="481">
        <v>103677</v>
      </c>
      <c r="E55" s="481">
        <v>86616</v>
      </c>
      <c r="F55" s="481"/>
      <c r="G55" s="481">
        <v>685</v>
      </c>
      <c r="H55" s="481">
        <v>7187</v>
      </c>
      <c r="I55" s="467"/>
      <c r="J55" s="467"/>
      <c r="K55" s="1694">
        <f>SUM(C55:J55)</f>
        <v>729837</v>
      </c>
      <c r="L55" s="481">
        <f>5000+725246</f>
        <v>730246</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531672</v>
      </c>
      <c r="D57" s="1696">
        <f t="shared" ref="D57:K57" si="6">SUM(D55:D56)</f>
        <v>103677</v>
      </c>
      <c r="E57" s="1696">
        <f t="shared" si="6"/>
        <v>86616</v>
      </c>
      <c r="F57" s="1696">
        <f t="shared" si="6"/>
        <v>0</v>
      </c>
      <c r="G57" s="1696">
        <f t="shared" si="6"/>
        <v>685</v>
      </c>
      <c r="H57" s="1696">
        <f t="shared" si="6"/>
        <v>7187</v>
      </c>
      <c r="I57" s="1696">
        <f t="shared" si="6"/>
        <v>0</v>
      </c>
      <c r="J57" s="1696">
        <f t="shared" si="6"/>
        <v>0</v>
      </c>
      <c r="K57" s="1696">
        <f t="shared" si="6"/>
        <v>729837</v>
      </c>
      <c r="L57" s="1692">
        <f>SUM(L55:L56)</f>
        <v>730246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v>24473</v>
      </c>
      <c r="F59" s="481"/>
      <c r="G59" s="481"/>
      <c r="H59" s="481"/>
      <c r="I59" s="467"/>
      <c r="J59" s="467"/>
      <c r="K59" s="1694">
        <f t="shared" ref="K59:K64" si="7">SUM(C59:J59)</f>
        <v>24473</v>
      </c>
      <c r="L59" s="481">
        <v>22000</v>
      </c>
      <c r="M59" s="610"/>
      <c r="N59" s="610"/>
    </row>
    <row r="60" spans="1:14" s="343" customFormat="1" x14ac:dyDescent="0.2">
      <c r="A60" s="1526" t="s">
        <v>483</v>
      </c>
      <c r="B60" s="615">
        <v>2520</v>
      </c>
      <c r="C60" s="466">
        <v>48077</v>
      </c>
      <c r="D60" s="466">
        <v>1401</v>
      </c>
      <c r="E60" s="466">
        <v>58681</v>
      </c>
      <c r="F60" s="466"/>
      <c r="G60" s="466"/>
      <c r="H60" s="466"/>
      <c r="I60" s="467"/>
      <c r="J60" s="467"/>
      <c r="K60" s="1694">
        <f t="shared" si="7"/>
        <v>108159</v>
      </c>
      <c r="L60" s="466">
        <v>121462</v>
      </c>
      <c r="M60" s="610"/>
      <c r="N60" s="610"/>
    </row>
    <row r="61" spans="1:14" s="343" customFormat="1" x14ac:dyDescent="0.2">
      <c r="A61" s="1526" t="s">
        <v>206</v>
      </c>
      <c r="B61" s="615">
        <v>2540</v>
      </c>
      <c r="C61" s="466"/>
      <c r="D61" s="466">
        <v>1102</v>
      </c>
      <c r="E61" s="466">
        <v>57769</v>
      </c>
      <c r="F61" s="466"/>
      <c r="G61" s="466"/>
      <c r="H61" s="466"/>
      <c r="I61" s="467"/>
      <c r="J61" s="467"/>
      <c r="K61" s="1694">
        <f t="shared" si="7"/>
        <v>58871</v>
      </c>
      <c r="L61" s="466">
        <v>41024</v>
      </c>
      <c r="M61" s="610"/>
      <c r="N61" s="610"/>
    </row>
    <row r="62" spans="1:14" s="343" customFormat="1" x14ac:dyDescent="0.2">
      <c r="A62" s="1526" t="s">
        <v>1010</v>
      </c>
      <c r="B62" s="615">
        <v>2550</v>
      </c>
      <c r="C62" s="466"/>
      <c r="D62" s="466">
        <v>551</v>
      </c>
      <c r="E62" s="466"/>
      <c r="F62" s="466"/>
      <c r="G62" s="466"/>
      <c r="H62" s="466"/>
      <c r="I62" s="467"/>
      <c r="J62" s="467"/>
      <c r="K62" s="1694">
        <f t="shared" si="7"/>
        <v>551</v>
      </c>
      <c r="L62" s="466">
        <v>512</v>
      </c>
      <c r="M62" s="610"/>
      <c r="N62" s="610"/>
    </row>
    <row r="63" spans="1:14" s="610" customFormat="1" x14ac:dyDescent="0.2">
      <c r="A63" s="1526" t="s">
        <v>102</v>
      </c>
      <c r="B63" s="615">
        <v>2560</v>
      </c>
      <c r="C63" s="466">
        <v>135056</v>
      </c>
      <c r="D63" s="466">
        <v>10994</v>
      </c>
      <c r="E63" s="466">
        <v>20842</v>
      </c>
      <c r="F63" s="466">
        <v>105203</v>
      </c>
      <c r="G63" s="466"/>
      <c r="H63" s="466"/>
      <c r="I63" s="467"/>
      <c r="J63" s="467"/>
      <c r="K63" s="1694">
        <f t="shared" si="7"/>
        <v>272095</v>
      </c>
      <c r="L63" s="466">
        <f>2500+243115</f>
        <v>245615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183133</v>
      </c>
      <c r="D65" s="1692">
        <f t="shared" ref="D65:L65" si="8">SUM(D59:D64)</f>
        <v>14048</v>
      </c>
      <c r="E65" s="1692">
        <f t="shared" si="8"/>
        <v>161765</v>
      </c>
      <c r="F65" s="1692">
        <f t="shared" si="8"/>
        <v>105203</v>
      </c>
      <c r="G65" s="1692">
        <f t="shared" si="8"/>
        <v>0</v>
      </c>
      <c r="H65" s="1692">
        <f t="shared" si="8"/>
        <v>0</v>
      </c>
      <c r="I65" s="1692">
        <f t="shared" si="8"/>
        <v>0</v>
      </c>
      <c r="J65" s="1692">
        <f t="shared" si="8"/>
        <v>0</v>
      </c>
      <c r="K65" s="1692">
        <f t="shared" si="8"/>
        <v>464149</v>
      </c>
      <c r="L65" s="1692">
        <f t="shared" si="8"/>
        <v>430613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f>71235+19718</f>
        <v>90953</v>
      </c>
      <c r="F69" s="466"/>
      <c r="G69" s="466">
        <v>110455</v>
      </c>
      <c r="H69" s="466"/>
      <c r="I69" s="467"/>
      <c r="J69" s="467"/>
      <c r="K69" s="1694">
        <f>SUM(C69:J69)</f>
        <v>201408</v>
      </c>
      <c r="L69" s="466">
        <v>10000</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90953</v>
      </c>
      <c r="F72" s="1692">
        <f t="shared" si="9"/>
        <v>0</v>
      </c>
      <c r="G72" s="1692">
        <f t="shared" si="9"/>
        <v>110455</v>
      </c>
      <c r="H72" s="1692">
        <f t="shared" si="9"/>
        <v>0</v>
      </c>
      <c r="I72" s="1692">
        <f t="shared" si="9"/>
        <v>0</v>
      </c>
      <c r="J72" s="1692">
        <f t="shared" si="9"/>
        <v>0</v>
      </c>
      <c r="K72" s="1692">
        <f t="shared" si="9"/>
        <v>201408</v>
      </c>
      <c r="L72" s="1692">
        <f>SUM(L67:L71)</f>
        <v>10000</v>
      </c>
      <c r="M72" s="610"/>
      <c r="N72" s="610"/>
    </row>
    <row r="73" spans="1:14" s="343" customFormat="1" ht="14.25" thickTop="1" thickBot="1" x14ac:dyDescent="0.25">
      <c r="A73" s="1532" t="s">
        <v>1037</v>
      </c>
      <c r="B73" s="633" t="s">
        <v>595</v>
      </c>
      <c r="C73" s="573"/>
      <c r="D73" s="573"/>
      <c r="E73" s="573">
        <f>57764-51234</f>
        <v>6530</v>
      </c>
      <c r="F73" s="573"/>
      <c r="G73" s="573"/>
      <c r="H73" s="573"/>
      <c r="I73" s="531"/>
      <c r="J73" s="531"/>
      <c r="K73" s="1692">
        <f>SUM(C73:J73)</f>
        <v>6530</v>
      </c>
      <c r="L73" s="576">
        <v>5500</v>
      </c>
      <c r="M73" s="610"/>
      <c r="N73" s="610"/>
    </row>
    <row r="74" spans="1:14" ht="12.75" customHeight="1" thickTop="1" thickBot="1" x14ac:dyDescent="0.25">
      <c r="A74" s="1690" t="s">
        <v>865</v>
      </c>
      <c r="B74" s="1698">
        <v>2000</v>
      </c>
      <c r="C74" s="1699">
        <f>SUM(C42,C47,C53,C57,C65,C72,C73)</f>
        <v>1824410</v>
      </c>
      <c r="D74" s="1699">
        <f t="shared" ref="D74:K74" si="10">SUM(D42,D47,D53,D57,D65,D72,D73)</f>
        <v>303061</v>
      </c>
      <c r="E74" s="1699">
        <f t="shared" si="10"/>
        <v>580627</v>
      </c>
      <c r="F74" s="1699">
        <f t="shared" si="10"/>
        <v>121189</v>
      </c>
      <c r="G74" s="1699">
        <f t="shared" si="10"/>
        <v>146250</v>
      </c>
      <c r="H74" s="1699">
        <f t="shared" si="10"/>
        <v>18604</v>
      </c>
      <c r="I74" s="1699">
        <f t="shared" si="10"/>
        <v>0</v>
      </c>
      <c r="J74" s="1699">
        <f t="shared" si="10"/>
        <v>0</v>
      </c>
      <c r="K74" s="1699">
        <f t="shared" si="10"/>
        <v>2994141</v>
      </c>
      <c r="L74" s="1699">
        <f>SUM(L42,L47,L53,L57,L65,L72,L73)</f>
        <v>3060527</v>
      </c>
    </row>
    <row r="75" spans="1:14" s="259" customFormat="1" ht="15.75" customHeight="1" thickTop="1" thickBot="1" x14ac:dyDescent="0.25">
      <c r="A75" s="1632" t="s">
        <v>49</v>
      </c>
      <c r="B75" s="1633" t="s">
        <v>596</v>
      </c>
      <c r="C75" s="573">
        <v>2221</v>
      </c>
      <c r="D75" s="573">
        <v>33</v>
      </c>
      <c r="E75" s="573">
        <v>1400</v>
      </c>
      <c r="F75" s="573">
        <v>1327</v>
      </c>
      <c r="G75" s="573"/>
      <c r="H75" s="573"/>
      <c r="I75" s="531"/>
      <c r="J75" s="531"/>
      <c r="K75" s="1692">
        <f>SUM(C75:J75)</f>
        <v>4981</v>
      </c>
      <c r="L75" s="576">
        <v>8925</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5555</v>
      </c>
      <c r="F79" s="617"/>
      <c r="G79" s="617"/>
      <c r="H79" s="466">
        <v>1198300</v>
      </c>
      <c r="I79" s="477"/>
      <c r="J79" s="477"/>
      <c r="K79" s="1693">
        <f t="shared" si="11"/>
        <v>1203855</v>
      </c>
      <c r="L79" s="466">
        <v>1025000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5555</v>
      </c>
      <c r="F84" s="617"/>
      <c r="G84" s="617"/>
      <c r="H84" s="1692">
        <f>SUM(H78:H83)</f>
        <v>1198300</v>
      </c>
      <c r="I84" s="477"/>
      <c r="J84" s="477"/>
      <c r="K84" s="1692">
        <f>SUM(K78:K83)</f>
        <v>1203855</v>
      </c>
      <c r="L84" s="1692">
        <f>SUM(L78:L83)</f>
        <v>1025000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5555</v>
      </c>
      <c r="F102" s="617"/>
      <c r="G102" s="617"/>
      <c r="H102" s="1699">
        <f>SUM(H84,H92,H100,H101)</f>
        <v>1198300</v>
      </c>
      <c r="I102" s="477"/>
      <c r="J102" s="477"/>
      <c r="K102" s="1699">
        <f>SUM(K84,K92,K100,K101)</f>
        <v>1203855</v>
      </c>
      <c r="L102" s="1699">
        <f>SUM(L84,L92,L100,L101)</f>
        <v>1025000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7769081</v>
      </c>
      <c r="D114" s="1692">
        <f t="shared" ref="D114:K114" si="13">SUM(D33,D74,D75,D102,D112,D113)</f>
        <v>1117196</v>
      </c>
      <c r="E114" s="1692">
        <f t="shared" si="13"/>
        <v>622734</v>
      </c>
      <c r="F114" s="1692">
        <f t="shared" si="13"/>
        <v>263354</v>
      </c>
      <c r="G114" s="1692">
        <f t="shared" si="13"/>
        <v>149970</v>
      </c>
      <c r="H114" s="1692">
        <f>SUM(H33,H74,H75,H102,H112,H113)</f>
        <v>1234185</v>
      </c>
      <c r="I114" s="1692">
        <f t="shared" si="13"/>
        <v>0</v>
      </c>
      <c r="J114" s="1692">
        <f t="shared" si="13"/>
        <v>0</v>
      </c>
      <c r="K114" s="1692">
        <f t="shared" si="13"/>
        <v>11156520</v>
      </c>
      <c r="L114" s="1692">
        <f>SUM(L33,L74,L75,L102,L112,L113)</f>
        <v>11026907</v>
      </c>
    </row>
    <row r="115" spans="1:14" ht="13.5" thickTop="1" x14ac:dyDescent="0.2">
      <c r="A115" s="2175" t="s">
        <v>1053</v>
      </c>
      <c r="B115" s="2176"/>
      <c r="C115" s="619"/>
      <c r="D115" s="619"/>
      <c r="E115" s="619"/>
      <c r="F115" s="619"/>
      <c r="G115" s="619"/>
      <c r="H115" s="619"/>
      <c r="I115" s="619"/>
      <c r="J115" s="619"/>
      <c r="K115" s="1706">
        <f>'Revenues 9-14'!C275-'Expenditures 15-22'!K114</f>
        <v>276241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208833</v>
      </c>
      <c r="D124" s="466">
        <v>71784</v>
      </c>
      <c r="E124" s="466">
        <v>297179</v>
      </c>
      <c r="F124" s="466">
        <v>180809</v>
      </c>
      <c r="G124" s="466">
        <v>84860</v>
      </c>
      <c r="H124" s="466"/>
      <c r="I124" s="467"/>
      <c r="J124" s="467"/>
      <c r="K124" s="1692">
        <f>SUM(C124:J124)</f>
        <v>843465</v>
      </c>
      <c r="L124" s="466">
        <v>931662</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208833</v>
      </c>
      <c r="D127" s="1692">
        <f t="shared" ref="D127:L127" si="14">SUM(D122:D126)</f>
        <v>71784</v>
      </c>
      <c r="E127" s="1692">
        <f t="shared" si="14"/>
        <v>297179</v>
      </c>
      <c r="F127" s="1692">
        <f t="shared" si="14"/>
        <v>180809</v>
      </c>
      <c r="G127" s="1692">
        <f t="shared" si="14"/>
        <v>84860</v>
      </c>
      <c r="H127" s="1692">
        <f t="shared" si="14"/>
        <v>0</v>
      </c>
      <c r="I127" s="1692">
        <f t="shared" si="14"/>
        <v>0</v>
      </c>
      <c r="J127" s="1692">
        <f t="shared" si="14"/>
        <v>0</v>
      </c>
      <c r="K127" s="1692">
        <f t="shared" si="14"/>
        <v>843465</v>
      </c>
      <c r="L127" s="1692">
        <f t="shared" si="14"/>
        <v>931662</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208833</v>
      </c>
      <c r="D129" s="1699">
        <f t="shared" ref="D129:L129" si="15">SUM(D120,D127,D128)</f>
        <v>71784</v>
      </c>
      <c r="E129" s="1699">
        <f t="shared" si="15"/>
        <v>297179</v>
      </c>
      <c r="F129" s="1699">
        <f t="shared" si="15"/>
        <v>180809</v>
      </c>
      <c r="G129" s="1699">
        <f t="shared" si="15"/>
        <v>84860</v>
      </c>
      <c r="H129" s="1699">
        <f t="shared" si="15"/>
        <v>0</v>
      </c>
      <c r="I129" s="1699">
        <f t="shared" si="15"/>
        <v>0</v>
      </c>
      <c r="J129" s="1699">
        <f t="shared" si="15"/>
        <v>0</v>
      </c>
      <c r="K129" s="1699">
        <f t="shared" si="15"/>
        <v>843465</v>
      </c>
      <c r="L129" s="1699">
        <f t="shared" si="15"/>
        <v>931662</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1955</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2" t="s">
        <v>641</v>
      </c>
      <c r="B151" s="2172"/>
      <c r="C151" s="1692">
        <f>SUM(C129,C130,C139,C149,C150)</f>
        <v>208833</v>
      </c>
      <c r="D151" s="1692">
        <f t="shared" ref="D151:K151" si="16">SUM(D129,D130,D139,D149,D150)</f>
        <v>71784</v>
      </c>
      <c r="E151" s="1692">
        <f t="shared" si="16"/>
        <v>297179</v>
      </c>
      <c r="F151" s="1692">
        <f t="shared" si="16"/>
        <v>180809</v>
      </c>
      <c r="G151" s="1692">
        <f t="shared" si="16"/>
        <v>84860</v>
      </c>
      <c r="H151" s="1692">
        <f t="shared" si="16"/>
        <v>0</v>
      </c>
      <c r="I151" s="1692">
        <f t="shared" si="16"/>
        <v>0</v>
      </c>
      <c r="J151" s="1692">
        <f t="shared" si="16"/>
        <v>0</v>
      </c>
      <c r="K151" s="1692">
        <f t="shared" si="16"/>
        <v>843465</v>
      </c>
      <c r="L151" s="1692">
        <f>SUM(L129,L130,L139,L149,L150)</f>
        <v>931662</v>
      </c>
    </row>
    <row r="152" spans="1:14" ht="12.75" customHeight="1" thickTop="1" x14ac:dyDescent="0.2">
      <c r="A152" s="2195" t="s">
        <v>1240</v>
      </c>
      <c r="B152" s="2196"/>
      <c r="C152" s="619"/>
      <c r="D152" s="619"/>
      <c r="E152" s="619"/>
      <c r="F152" s="619"/>
      <c r="G152" s="619"/>
      <c r="H152" s="619"/>
      <c r="I152" s="619"/>
      <c r="J152" s="617"/>
      <c r="K152" s="1706">
        <f>'Revenues 9-14'!D275-'Expenditures 15-22'!K151</f>
        <v>321773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1956</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1955</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1957</v>
      </c>
      <c r="C158" s="617"/>
      <c r="D158" s="617"/>
      <c r="E158" s="617"/>
      <c r="F158" s="617"/>
      <c r="G158" s="617"/>
      <c r="H158" s="467"/>
      <c r="I158" s="617"/>
      <c r="J158" s="617"/>
      <c r="K158" s="1693">
        <f>H158</f>
        <v>0</v>
      </c>
      <c r="L158" s="467"/>
      <c r="M158" s="620"/>
      <c r="N158" s="620"/>
    </row>
    <row r="159" spans="1:14" s="621" customFormat="1" ht="12" x14ac:dyDescent="0.2">
      <c r="A159" s="1849" t="s">
        <v>1958</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1959</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64851</v>
      </c>
      <c r="I169" s="617"/>
      <c r="J169" s="617"/>
      <c r="K169" s="1693">
        <f>SUM(C169:H169)</f>
        <v>64851</v>
      </c>
      <c r="L169" s="657">
        <v>64600</v>
      </c>
    </row>
    <row r="170" spans="1:14" ht="33.75" customHeight="1" x14ac:dyDescent="0.2">
      <c r="A170" s="670" t="s">
        <v>1768</v>
      </c>
      <c r="B170" s="672" t="s">
        <v>31</v>
      </c>
      <c r="C170" s="617"/>
      <c r="D170" s="617"/>
      <c r="E170" s="617"/>
      <c r="F170" s="617"/>
      <c r="G170" s="617"/>
      <c r="H170" s="569">
        <v>280000</v>
      </c>
      <c r="I170" s="617"/>
      <c r="J170" s="617"/>
      <c r="K170" s="1693">
        <f>SUM(C170:J170)</f>
        <v>280000</v>
      </c>
      <c r="L170" s="569">
        <v>280000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344851</v>
      </c>
      <c r="I172" s="639"/>
      <c r="J172" s="617"/>
      <c r="K172" s="1699">
        <f>SUM(K168,K169,K170,K171)</f>
        <v>344851</v>
      </c>
      <c r="L172" s="1699">
        <f>SUM(L168,L169,L170,L171)</f>
        <v>344600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344851</v>
      </c>
      <c r="I174" s="639"/>
      <c r="J174" s="617"/>
      <c r="K174" s="1699">
        <f>SUM(K160,K172,K173)</f>
        <v>344851</v>
      </c>
      <c r="L174" s="1699">
        <f>SUM(L160,L172,L173)</f>
        <v>344600</v>
      </c>
    </row>
    <row r="175" spans="1:14" ht="13.5" thickTop="1" x14ac:dyDescent="0.2">
      <c r="A175" s="2175" t="s">
        <v>1053</v>
      </c>
      <c r="B175" s="2176"/>
      <c r="C175" s="617"/>
      <c r="D175" s="617"/>
      <c r="E175" s="617"/>
      <c r="F175" s="617"/>
      <c r="G175" s="617"/>
      <c r="H175" s="619"/>
      <c r="I175" s="617"/>
      <c r="J175" s="617"/>
      <c r="K175" s="1706">
        <f>'Revenues 9-14'!E275-'Expenditures 15-22'!K174</f>
        <v>26497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23401</v>
      </c>
      <c r="D182" s="466"/>
      <c r="E182" s="466">
        <v>894005</v>
      </c>
      <c r="F182" s="466"/>
      <c r="G182" s="466"/>
      <c r="H182" s="466"/>
      <c r="I182" s="467"/>
      <c r="J182" s="467"/>
      <c r="K182" s="1693">
        <f>SUM(C182:J182)</f>
        <v>917406</v>
      </c>
      <c r="L182" s="466">
        <v>891531</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23401</v>
      </c>
      <c r="D184" s="1699">
        <f t="shared" ref="D184:J184" si="17">SUM(D180,D182,D183)</f>
        <v>0</v>
      </c>
      <c r="E184" s="1699">
        <f t="shared" si="17"/>
        <v>894005</v>
      </c>
      <c r="F184" s="1699">
        <f t="shared" si="17"/>
        <v>0</v>
      </c>
      <c r="G184" s="1699">
        <f t="shared" si="17"/>
        <v>0</v>
      </c>
      <c r="H184" s="1699">
        <f t="shared" si="17"/>
        <v>0</v>
      </c>
      <c r="I184" s="1699">
        <f t="shared" si="17"/>
        <v>0</v>
      </c>
      <c r="J184" s="1699">
        <f t="shared" si="17"/>
        <v>0</v>
      </c>
      <c r="K184" s="1699">
        <f>SUM(K180,K182,K183)</f>
        <v>917406</v>
      </c>
      <c r="L184" s="1699">
        <f>SUM(L180, L182:L183)</f>
        <v>891531</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23401</v>
      </c>
      <c r="D210" s="1692">
        <f>SUM(D184,D185)</f>
        <v>0</v>
      </c>
      <c r="E210" s="1692">
        <f>SUM(E184,E185,E196)</f>
        <v>894005</v>
      </c>
      <c r="F210" s="1692">
        <f>SUM(F184,F185)</f>
        <v>0</v>
      </c>
      <c r="G210" s="1692">
        <f>SUM(G184,G185)</f>
        <v>0</v>
      </c>
      <c r="H210" s="1692">
        <f>SUM(H184,H185,H196,H208,H209)</f>
        <v>0</v>
      </c>
      <c r="I210" s="1692">
        <f>SUM(I184,I185)</f>
        <v>0</v>
      </c>
      <c r="J210" s="1692">
        <f>SUM(J184,J185)</f>
        <v>0</v>
      </c>
      <c r="K210" s="1693">
        <f>SUM(K184,K185,K196,K208,K209)</f>
        <v>917406</v>
      </c>
      <c r="L210" s="1692">
        <f>SUM(L184,L185,L196,L208,L209)</f>
        <v>891531</v>
      </c>
    </row>
    <row r="211" spans="1:14" ht="13.5" thickTop="1" x14ac:dyDescent="0.2">
      <c r="A211" s="2175" t="s">
        <v>1053</v>
      </c>
      <c r="B211" s="2176"/>
      <c r="C211" s="619"/>
      <c r="D211" s="619"/>
      <c r="E211" s="619"/>
      <c r="F211" s="619"/>
      <c r="G211" s="619"/>
      <c r="H211" s="619"/>
      <c r="I211" s="617"/>
      <c r="J211" s="617"/>
      <c r="K211" s="1706">
        <f>'Revenues 9-14'!F275-'Expenditures 15-22'!K210</f>
        <v>549516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3502+2875+59526</f>
        <v>65903</v>
      </c>
      <c r="E215" s="617"/>
      <c r="F215" s="617"/>
      <c r="G215" s="617"/>
      <c r="H215" s="617"/>
      <c r="I215" s="617"/>
      <c r="J215" s="617"/>
      <c r="K215" s="1693">
        <f>D215</f>
        <v>65903</v>
      </c>
      <c r="L215" s="466">
        <v>65354</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f>26548+11603+10582</f>
        <v>48733</v>
      </c>
      <c r="E217" s="617"/>
      <c r="F217" s="617"/>
      <c r="G217" s="617"/>
      <c r="H217" s="617"/>
      <c r="I217" s="617"/>
      <c r="J217" s="617"/>
      <c r="K217" s="1693">
        <f t="shared" si="19"/>
        <v>48733</v>
      </c>
      <c r="L217" s="466">
        <v>48392</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3918</v>
      </c>
      <c r="E219" s="617"/>
      <c r="F219" s="617"/>
      <c r="G219" s="617"/>
      <c r="H219" s="617"/>
      <c r="I219" s="617"/>
      <c r="J219" s="617"/>
      <c r="K219" s="1693">
        <f t="shared" si="19"/>
        <v>3918</v>
      </c>
      <c r="L219" s="466">
        <v>4101</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f>308+604+626</f>
        <v>1538</v>
      </c>
      <c r="E223" s="617"/>
      <c r="F223" s="617"/>
      <c r="G223" s="617"/>
      <c r="H223" s="617"/>
      <c r="I223" s="617"/>
      <c r="J223" s="617"/>
      <c r="K223" s="1693">
        <f t="shared" si="19"/>
        <v>1538</v>
      </c>
      <c r="L223" s="466">
        <v>400</v>
      </c>
    </row>
    <row r="224" spans="1:14" x14ac:dyDescent="0.2">
      <c r="A224" s="1526" t="s">
        <v>1021</v>
      </c>
      <c r="B224" s="615">
        <v>1600</v>
      </c>
      <c r="C224" s="617"/>
      <c r="D224" s="466">
        <f>197+90+854</f>
        <v>1141</v>
      </c>
      <c r="E224" s="617"/>
      <c r="F224" s="617"/>
      <c r="G224" s="617"/>
      <c r="H224" s="617"/>
      <c r="I224" s="617"/>
      <c r="J224" s="617"/>
      <c r="K224" s="1693">
        <f t="shared" si="19"/>
        <v>1141</v>
      </c>
      <c r="L224" s="466">
        <v>400</v>
      </c>
    </row>
    <row r="225" spans="1:12" x14ac:dyDescent="0.2">
      <c r="A225" s="1526" t="s">
        <v>1044</v>
      </c>
      <c r="B225" s="615">
        <v>1650</v>
      </c>
      <c r="C225" s="617"/>
      <c r="D225" s="466">
        <v>1438</v>
      </c>
      <c r="E225" s="617"/>
      <c r="F225" s="617"/>
      <c r="G225" s="617"/>
      <c r="H225" s="617"/>
      <c r="I225" s="617"/>
      <c r="J225" s="617"/>
      <c r="K225" s="1693">
        <f t="shared" si="19"/>
        <v>1438</v>
      </c>
      <c r="L225" s="466">
        <v>1574</v>
      </c>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f>5243+7323</f>
        <v>12566</v>
      </c>
      <c r="E227" s="617"/>
      <c r="F227" s="617"/>
      <c r="G227" s="617"/>
      <c r="H227" s="617"/>
      <c r="I227" s="617"/>
      <c r="J227" s="617"/>
      <c r="K227" s="1693">
        <f t="shared" si="19"/>
        <v>12566</v>
      </c>
      <c r="L227" s="466">
        <v>12625</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135237</v>
      </c>
      <c r="E229" s="617"/>
      <c r="F229" s="617"/>
      <c r="G229" s="617"/>
      <c r="H229" s="617"/>
      <c r="I229" s="617"/>
      <c r="J229" s="617"/>
      <c r="K229" s="1692">
        <f>SUM(K215:K228)</f>
        <v>135237</v>
      </c>
      <c r="L229" s="1692">
        <f>SUM(L215:L228)</f>
        <v>132846</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2034</v>
      </c>
      <c r="E232" s="617"/>
      <c r="F232" s="617"/>
      <c r="G232" s="617"/>
      <c r="H232" s="617"/>
      <c r="I232" s="617"/>
      <c r="J232" s="617"/>
      <c r="K232" s="1693">
        <f t="shared" ref="K232:K237" si="20">D232</f>
        <v>2034</v>
      </c>
      <c r="L232" s="466">
        <v>2138</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f>7149+4040</f>
        <v>11189</v>
      </c>
      <c r="E234" s="617"/>
      <c r="F234" s="617"/>
      <c r="G234" s="617"/>
      <c r="H234" s="617"/>
      <c r="I234" s="617"/>
      <c r="J234" s="617"/>
      <c r="K234" s="1693">
        <f t="shared" si="20"/>
        <v>11189</v>
      </c>
      <c r="L234" s="466">
        <v>780</v>
      </c>
    </row>
    <row r="235" spans="1:12" x14ac:dyDescent="0.2">
      <c r="A235" s="1526" t="s">
        <v>208</v>
      </c>
      <c r="B235" s="615">
        <v>2140</v>
      </c>
      <c r="C235" s="617"/>
      <c r="D235" s="466">
        <v>2080</v>
      </c>
      <c r="E235" s="617"/>
      <c r="F235" s="617"/>
      <c r="G235" s="617"/>
      <c r="H235" s="617"/>
      <c r="I235" s="617"/>
      <c r="J235" s="617"/>
      <c r="K235" s="1693">
        <f t="shared" si="20"/>
        <v>2080</v>
      </c>
      <c r="L235" s="466">
        <v>2333</v>
      </c>
    </row>
    <row r="236" spans="1:12" x14ac:dyDescent="0.2">
      <c r="A236" s="1526" t="s">
        <v>209</v>
      </c>
      <c r="B236" s="615">
        <v>2150</v>
      </c>
      <c r="C236" s="617"/>
      <c r="D236" s="466">
        <v>2283</v>
      </c>
      <c r="E236" s="617"/>
      <c r="F236" s="617"/>
      <c r="G236" s="617"/>
      <c r="H236" s="617"/>
      <c r="I236" s="617"/>
      <c r="J236" s="617"/>
      <c r="K236" s="1693">
        <f t="shared" si="20"/>
        <v>2283</v>
      </c>
      <c r="L236" s="466">
        <v>2666</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17586</v>
      </c>
      <c r="E238" s="617"/>
      <c r="F238" s="617"/>
      <c r="G238" s="617"/>
      <c r="H238" s="617"/>
      <c r="I238" s="617"/>
      <c r="J238" s="617"/>
      <c r="K238" s="1692">
        <f>SUM(K232:K237)</f>
        <v>17586</v>
      </c>
      <c r="L238" s="1692">
        <f>SUM(L232:L237)</f>
        <v>7917</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f>49+82</f>
        <v>131</v>
      </c>
      <c r="E240" s="617"/>
      <c r="F240" s="617"/>
      <c r="G240" s="617"/>
      <c r="H240" s="617"/>
      <c r="I240" s="617"/>
      <c r="J240" s="617"/>
      <c r="K240" s="1694">
        <f>D240</f>
        <v>131</v>
      </c>
      <c r="L240" s="481">
        <v>0</v>
      </c>
    </row>
    <row r="241" spans="1:12" x14ac:dyDescent="0.2">
      <c r="A241" s="1526" t="s">
        <v>869</v>
      </c>
      <c r="B241" s="615">
        <v>2220</v>
      </c>
      <c r="C241" s="617"/>
      <c r="D241" s="466">
        <f>20410+9425+5126</f>
        <v>34961</v>
      </c>
      <c r="E241" s="617"/>
      <c r="F241" s="617"/>
      <c r="G241" s="617"/>
      <c r="H241" s="617"/>
      <c r="I241" s="617"/>
      <c r="J241" s="617"/>
      <c r="K241" s="1694">
        <f>D241</f>
        <v>34961</v>
      </c>
      <c r="L241" s="466">
        <v>33755</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35092</v>
      </c>
      <c r="E243" s="617"/>
      <c r="F243" s="617"/>
      <c r="G243" s="617"/>
      <c r="H243" s="617"/>
      <c r="I243" s="617"/>
      <c r="J243" s="617"/>
      <c r="K243" s="1692">
        <f>SUM(K240:K242)</f>
        <v>35092</v>
      </c>
      <c r="L243" s="1692">
        <f>SUM(L240:L242)</f>
        <v>33755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f>9560+4295+3094</f>
        <v>16949</v>
      </c>
      <c r="E246" s="617"/>
      <c r="F246" s="617"/>
      <c r="G246" s="617"/>
      <c r="H246" s="617"/>
      <c r="I246" s="617"/>
      <c r="J246" s="617"/>
      <c r="K246" s="1694">
        <f t="shared" ref="K246:K256" si="21">D246</f>
        <v>16949</v>
      </c>
      <c r="L246" s="466">
        <v>15994</v>
      </c>
    </row>
    <row r="247" spans="1:12" x14ac:dyDescent="0.2">
      <c r="A247" s="1526" t="s">
        <v>873</v>
      </c>
      <c r="B247" s="615">
        <v>2330</v>
      </c>
      <c r="C247" s="617"/>
      <c r="D247" s="466">
        <v>616</v>
      </c>
      <c r="E247" s="617"/>
      <c r="F247" s="617"/>
      <c r="G247" s="617"/>
      <c r="H247" s="617"/>
      <c r="I247" s="617"/>
      <c r="J247" s="617"/>
      <c r="K247" s="1694">
        <f t="shared" si="21"/>
        <v>616</v>
      </c>
      <c r="L247" s="466">
        <v>5660</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1907</v>
      </c>
      <c r="B249" s="684" t="s">
        <v>300</v>
      </c>
      <c r="C249" s="617"/>
      <c r="D249" s="474"/>
      <c r="E249" s="617"/>
      <c r="F249" s="617"/>
      <c r="G249" s="617"/>
      <c r="H249" s="617"/>
      <c r="I249" s="617"/>
      <c r="J249" s="617"/>
      <c r="K249" s="1694">
        <f t="shared" si="21"/>
        <v>0</v>
      </c>
      <c r="L249" s="466"/>
    </row>
    <row r="250" spans="1:12" x14ac:dyDescent="0.2">
      <c r="A250" s="1527" t="s">
        <v>1908</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17565</v>
      </c>
      <c r="E257" s="617"/>
      <c r="F257" s="617"/>
      <c r="G257" s="617"/>
      <c r="H257" s="617"/>
      <c r="I257" s="617"/>
      <c r="J257" s="617"/>
      <c r="K257" s="1692">
        <f>SUM(K245:K256)</f>
        <v>17565</v>
      </c>
      <c r="L257" s="1692">
        <f>SUM(L245:L256)</f>
        <v>21654</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f>15634+7076+7287</f>
        <v>29997</v>
      </c>
      <c r="E259" s="617"/>
      <c r="F259" s="617"/>
      <c r="G259" s="617"/>
      <c r="H259" s="617"/>
      <c r="I259" s="617"/>
      <c r="J259" s="617"/>
      <c r="K259" s="1694">
        <f>D259</f>
        <v>29997</v>
      </c>
      <c r="L259" s="481">
        <v>12025</v>
      </c>
    </row>
    <row r="260" spans="1:14" s="598" customFormat="1" x14ac:dyDescent="0.2">
      <c r="A260" s="1544" t="s">
        <v>1906</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29997</v>
      </c>
      <c r="E261" s="617"/>
      <c r="F261" s="617"/>
      <c r="G261" s="617"/>
      <c r="H261" s="617"/>
      <c r="I261" s="617"/>
      <c r="J261" s="617"/>
      <c r="K261" s="1692">
        <f>SUM(K259:K260)</f>
        <v>29997</v>
      </c>
      <c r="L261" s="1692">
        <f>SUM(L259:L260)</f>
        <v>12025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f>6510+2981+697</f>
        <v>10188</v>
      </c>
      <c r="E264" s="617"/>
      <c r="F264" s="617"/>
      <c r="G264" s="617"/>
      <c r="H264" s="617"/>
      <c r="I264" s="617"/>
      <c r="J264" s="617"/>
      <c r="K264" s="1694">
        <f t="shared" ref="K264:K269" si="22">D264</f>
        <v>10188</v>
      </c>
      <c r="L264" s="466">
        <v>10657</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f>21005+9850+2901</f>
        <v>33756</v>
      </c>
      <c r="E266" s="617"/>
      <c r="F266" s="617"/>
      <c r="G266" s="617"/>
      <c r="H266" s="617"/>
      <c r="I266" s="617"/>
      <c r="J266" s="617"/>
      <c r="K266" s="1694">
        <f t="shared" si="22"/>
        <v>33756</v>
      </c>
      <c r="L266" s="466">
        <v>36607</v>
      </c>
    </row>
    <row r="267" spans="1:14" x14ac:dyDescent="0.2">
      <c r="A267" s="1526" t="s">
        <v>1010</v>
      </c>
      <c r="B267" s="615">
        <v>2550</v>
      </c>
      <c r="C267" s="617"/>
      <c r="D267" s="466">
        <v>298</v>
      </c>
      <c r="E267" s="617"/>
      <c r="F267" s="617"/>
      <c r="G267" s="617"/>
      <c r="H267" s="617"/>
      <c r="I267" s="617"/>
      <c r="J267" s="617"/>
      <c r="K267" s="1694">
        <f t="shared" si="22"/>
        <v>298</v>
      </c>
      <c r="L267" s="466">
        <v>294</v>
      </c>
    </row>
    <row r="268" spans="1:14" x14ac:dyDescent="0.2">
      <c r="A268" s="1526" t="s">
        <v>102</v>
      </c>
      <c r="B268" s="615">
        <v>2560</v>
      </c>
      <c r="C268" s="617"/>
      <c r="D268" s="466">
        <f>12511+8110+1897</f>
        <v>22518</v>
      </c>
      <c r="E268" s="617"/>
      <c r="F268" s="617"/>
      <c r="G268" s="617"/>
      <c r="H268" s="617"/>
      <c r="I268" s="617"/>
      <c r="J268" s="617"/>
      <c r="K268" s="1694">
        <f t="shared" si="22"/>
        <v>22518</v>
      </c>
      <c r="L268" s="466">
        <v>21551</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66760</v>
      </c>
      <c r="E270" s="617"/>
      <c r="F270" s="617"/>
      <c r="G270" s="617"/>
      <c r="H270" s="617"/>
      <c r="I270" s="617"/>
      <c r="J270" s="617"/>
      <c r="K270" s="1692">
        <f>SUM(K263:K269)</f>
        <v>66760</v>
      </c>
      <c r="L270" s="1692">
        <f>SUM(L263:L269)</f>
        <v>69109</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167000</v>
      </c>
      <c r="E279" s="617"/>
      <c r="F279" s="617"/>
      <c r="G279" s="617"/>
      <c r="H279" s="617"/>
      <c r="I279" s="617"/>
      <c r="J279" s="617"/>
      <c r="K279" s="1699">
        <f>SUM(K238,K243,K257,K261,K270,K277,K278)</f>
        <v>167000</v>
      </c>
      <c r="L279" s="1699">
        <f>SUM(L238,L243,L257,L261,L270,L277,L278)</f>
        <v>144460</v>
      </c>
    </row>
    <row r="280" spans="1:12" ht="15.75" customHeight="1" thickTop="1" thickBot="1" x14ac:dyDescent="0.25">
      <c r="A280" s="1646" t="s">
        <v>930</v>
      </c>
      <c r="B280" s="1635">
        <v>3000</v>
      </c>
      <c r="C280" s="617"/>
      <c r="D280" s="576">
        <v>32</v>
      </c>
      <c r="E280" s="617"/>
      <c r="F280" s="617"/>
      <c r="G280" s="617"/>
      <c r="H280" s="617"/>
      <c r="I280" s="617"/>
      <c r="J280" s="617"/>
      <c r="K280" s="1701">
        <f>D280</f>
        <v>32</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1955</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92">
        <f>SUM(D229,D279,D280,D285)</f>
        <v>302269</v>
      </c>
      <c r="E295" s="617"/>
      <c r="F295" s="617"/>
      <c r="G295" s="617"/>
      <c r="H295" s="1692">
        <f>H293</f>
        <v>0</v>
      </c>
      <c r="I295" s="617"/>
      <c r="J295" s="617"/>
      <c r="K295" s="1692">
        <f>SUM(K229,K279,K280,K285,K293,K294)</f>
        <v>302269</v>
      </c>
      <c r="L295" s="1692">
        <f>SUM(L229,L279,L280,L285,L293,L294)</f>
        <v>277306</v>
      </c>
    </row>
    <row r="296" spans="1:14" ht="13.5" thickTop="1" x14ac:dyDescent="0.2">
      <c r="A296" s="2175" t="s">
        <v>1053</v>
      </c>
      <c r="B296" s="2176"/>
      <c r="C296" s="617"/>
      <c r="D296" s="619"/>
      <c r="E296" s="617"/>
      <c r="F296" s="617"/>
      <c r="G296" s="617"/>
      <c r="H296" s="688"/>
      <c r="I296" s="617"/>
      <c r="J296" s="617"/>
      <c r="K296" s="1706">
        <f>'Revenues 9-14'!G275-'Expenditures 15-22'!K295</f>
        <v>24510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1960</v>
      </c>
      <c r="B306" s="691" t="s">
        <v>1955</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6" t="s">
        <v>1053</v>
      </c>
      <c r="B313" s="2187"/>
      <c r="C313" s="627"/>
      <c r="D313" s="627"/>
      <c r="E313" s="627"/>
      <c r="F313" s="627"/>
      <c r="G313" s="627"/>
      <c r="H313" s="627"/>
      <c r="I313" s="627"/>
      <c r="J313" s="627"/>
      <c r="K313" s="1707">
        <f>'Revenues 9-14'!H275-'Expenditures 15-22'!K312</f>
        <v>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1907</v>
      </c>
      <c r="B320" s="699" t="s">
        <v>300</v>
      </c>
      <c r="C320" s="467"/>
      <c r="D320" s="467"/>
      <c r="E320" s="467">
        <v>51234</v>
      </c>
      <c r="F320" s="467"/>
      <c r="G320" s="467"/>
      <c r="H320" s="467"/>
      <c r="I320" s="467"/>
      <c r="J320" s="467"/>
      <c r="K320" s="1693">
        <f t="shared" ref="K320:K327" si="24">SUM(C320:J320)</f>
        <v>51234</v>
      </c>
      <c r="L320" s="467">
        <v>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51234</v>
      </c>
      <c r="F330" s="1692">
        <f t="shared" si="25"/>
        <v>0</v>
      </c>
      <c r="G330" s="1692">
        <f t="shared" si="25"/>
        <v>0</v>
      </c>
      <c r="H330" s="1692">
        <f t="shared" si="25"/>
        <v>0</v>
      </c>
      <c r="I330" s="1692">
        <f t="shared" si="25"/>
        <v>0</v>
      </c>
      <c r="J330" s="1692">
        <f t="shared" si="25"/>
        <v>0</v>
      </c>
      <c r="K330" s="1692">
        <f>SUM(K319:K329)</f>
        <v>51234</v>
      </c>
      <c r="L330" s="1692">
        <f>SUM(L319:L329)</f>
        <v>0</v>
      </c>
      <c r="M330" s="666"/>
      <c r="N330" s="666"/>
    </row>
    <row r="331" spans="1:14" s="675" customFormat="1" ht="12.75" customHeight="1" thickTop="1" x14ac:dyDescent="0.2">
      <c r="A331" s="1854" t="s">
        <v>1961</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1955</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1957</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1962</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51234</v>
      </c>
      <c r="F342" s="1692">
        <f>SUM(F330)</f>
        <v>0</v>
      </c>
      <c r="G342" s="1692">
        <f>SUM(G330)</f>
        <v>0</v>
      </c>
      <c r="H342" s="1692">
        <f>SUM(H330,H334,H340)</f>
        <v>0</v>
      </c>
      <c r="I342" s="1692">
        <f>SUM(I330)</f>
        <v>0</v>
      </c>
      <c r="J342" s="1692">
        <f>SUM(J330)</f>
        <v>0</v>
      </c>
      <c r="K342" s="1692">
        <f>SUM(K330,K334,K340)</f>
        <v>51234</v>
      </c>
      <c r="L342" s="1699">
        <f>SUM(L330,L340,L341)</f>
        <v>0</v>
      </c>
    </row>
    <row r="343" spans="1:14" ht="12.75" customHeight="1" thickTop="1" x14ac:dyDescent="0.2">
      <c r="A343" s="2188" t="s">
        <v>1053</v>
      </c>
      <c r="B343" s="2189"/>
      <c r="C343" s="617"/>
      <c r="D343" s="617"/>
      <c r="E343" s="617"/>
      <c r="F343" s="617"/>
      <c r="G343" s="617"/>
      <c r="H343" s="617"/>
      <c r="I343" s="617"/>
      <c r="J343" s="617"/>
      <c r="K343" s="1706">
        <f>'Revenues 9-14'!J275-'Expenditures 15-22'!K342</f>
        <v>12544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1963</v>
      </c>
      <c r="B354" s="684" t="s">
        <v>1955</v>
      </c>
      <c r="C354" s="617"/>
      <c r="D354" s="617"/>
      <c r="E354" s="617"/>
      <c r="F354" s="617"/>
      <c r="G354" s="617"/>
      <c r="H354" s="474"/>
      <c r="I354" s="702"/>
      <c r="J354" s="617"/>
      <c r="K354" s="1721">
        <f>H354</f>
        <v>0</v>
      </c>
      <c r="L354" s="471"/>
    </row>
    <row r="355" spans="1:14" ht="12.75" customHeight="1" x14ac:dyDescent="0.2">
      <c r="A355" s="1535" t="s">
        <v>1964</v>
      </c>
      <c r="B355" s="691" t="s">
        <v>1957</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5" t="s">
        <v>1053</v>
      </c>
      <c r="B368" s="2176"/>
      <c r="C368" s="655"/>
      <c r="D368" s="655"/>
      <c r="E368" s="627"/>
      <c r="F368" s="627"/>
      <c r="G368" s="627"/>
      <c r="H368" s="627"/>
      <c r="I368" s="627"/>
      <c r="J368" s="624"/>
      <c r="K368" s="1693">
        <f>'Revenues 9-14'!K275-'Expenditures 15-22'!K367</f>
        <v>12</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purl.org/dc/terms/"/>
    <ds:schemaRef ds:uri="http://schemas.microsoft.com/office/2006/documentManagement/types"/>
    <ds:schemaRef ds:uri="6ce3111e-7420-4802-b50a-75d4e9a0b980"/>
    <ds:schemaRef ds:uri="http://www.w3.org/XML/1998/namespace"/>
    <ds:schemaRef ds:uri="http://schemas.microsoft.com/office/infopath/2007/PartnerControls"/>
    <ds:schemaRef ds:uri="http://purl.org/dc/dcmitype/"/>
    <ds:schemaRef ds:uri="http://schemas.openxmlformats.org/package/2006/metadata/core-properties"/>
    <ds:schemaRef ds:uri="4d435f69-8686-490b-bd6d-b153bf22ab50"/>
    <ds:schemaRef ds:uri="d21dc803-237d-4c68-8692-8d731fd29118"/>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CF09C570-DA39-47B8-B461-8F8F8F151F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2018-12-03T14:52:02Z</cp:lastPrinted>
  <dcterms:created xsi:type="dcterms:W3CDTF">2003-10-29T19:06:34Z</dcterms:created>
  <dcterms:modified xsi:type="dcterms:W3CDTF">2018-12-12T19:58:07Z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Reports</vt:lpwstr>
  </property>
  <property fmtid="{D5CDD505-2E9C-101B-9397-08002B2CF9AE}" pid="5" name="tabIndex">
    <vt:lpwstr>0100</vt:lpwstr>
  </property>
  <property fmtid="{D5CDD505-2E9C-101B-9397-08002B2CF9AE}" pid="6" name="workpaperIndex">
    <vt:lpwstr>0111.30</vt:lpwstr>
  </property>
</Properties>
</file>