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updateLinks="never" codeName="ThisWorkbook" defaultThemeVersion="124226"/>
  <mc:AlternateContent xmlns:mc="http://schemas.openxmlformats.org/markup-compatibility/2006">
    <mc:Choice Requires="x15">
      <x15ac:absPath xmlns:x15ac="http://schemas.microsoft.com/office/spreadsheetml/2010/11/ac" url="V:\AFR\2018\FY18 School Districts\"/>
    </mc:Choice>
  </mc:AlternateContent>
  <xr:revisionPtr revIDLastSave="0" documentId="13_ncr:1_{644ADA27-4537-4FF4-9E1F-2CF81CA5D04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5">'SF&amp;QC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4" i="185" l="1"/>
  <c r="I13" i="186" s="1"/>
  <c r="G24" i="185"/>
  <c r="G13" i="186" s="1"/>
  <c r="F24" i="185"/>
  <c r="F13" i="186" s="1"/>
  <c r="E24" i="185"/>
  <c r="E13" i="186" s="1"/>
  <c r="I18" i="185"/>
  <c r="G18" i="185"/>
  <c r="F18" i="185"/>
  <c r="E18" i="185"/>
  <c r="I20" i="184"/>
  <c r="G20" i="184"/>
  <c r="F20" i="184"/>
  <c r="E20" i="184"/>
  <c r="I22" i="183"/>
  <c r="G22" i="183"/>
  <c r="F22" i="183"/>
  <c r="E22" i="183"/>
  <c r="J34" i="8" l="1"/>
  <c r="D35" i="171" l="1"/>
  <c r="L27" i="186"/>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4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4"/>
  <c r="B2" i="185"/>
  <c r="B2" i="183"/>
  <c r="B1" i="186"/>
  <c r="B1" i="184"/>
  <c r="B1" i="185"/>
  <c r="B1" i="183"/>
  <c r="A2" i="170"/>
  <c r="B2" i="174"/>
  <c r="B2" i="177"/>
  <c r="A2" i="173"/>
  <c r="A1" i="171"/>
  <c r="B1" i="179"/>
  <c r="B2" i="176"/>
  <c r="B1" i="175"/>
  <c r="B1" i="177"/>
  <c r="A1" i="170"/>
  <c r="A2" i="171"/>
  <c r="A1" i="173"/>
  <c r="B1" i="174"/>
  <c r="B2" i="175"/>
  <c r="B1" i="176"/>
  <c r="B7773" i="106" l="1"/>
  <c r="B61" i="106" l="1"/>
  <c r="B52" i="106"/>
  <c r="D12" i="171" l="1"/>
  <c r="K7" i="12"/>
  <c r="B51" i="106"/>
  <c r="B49" i="106"/>
  <c r="B48" i="106"/>
  <c r="B47" i="106"/>
  <c r="B46" i="106"/>
  <c r="B45" i="106"/>
  <c r="B44" i="106"/>
  <c r="B43" i="106"/>
  <c r="B42" i="106"/>
  <c r="B41" i="106"/>
  <c r="B50" i="106"/>
  <c r="L137" i="29" l="1"/>
  <c r="K10" i="12"/>
  <c r="K12" i="12" s="1"/>
  <c r="B7719" i="106" s="1"/>
  <c r="D7719" i="106" s="1"/>
  <c r="H137" i="29"/>
  <c r="D17" i="171"/>
  <c r="L357" i="29"/>
  <c r="K356" i="29"/>
  <c r="K357" i="29" s="1"/>
  <c r="K15" i="4" s="1"/>
  <c r="H357" i="29"/>
  <c r="D285" i="29"/>
  <c r="E137" i="29"/>
  <c r="E139" i="29" s="1"/>
  <c r="L285" i="29"/>
  <c r="F163" i="34"/>
  <c r="B7769" i="106"/>
  <c r="D7769" i="106" s="1"/>
  <c r="B7768" i="106"/>
  <c r="B7766" i="106"/>
  <c r="D7766" i="106" s="1"/>
  <c r="B7765" i="106"/>
  <c r="D7765" i="106" s="1"/>
  <c r="B7764" i="106"/>
  <c r="D7764" i="106" s="1"/>
  <c r="J85" i="28"/>
  <c r="B7758" i="106" s="1"/>
  <c r="D7758" i="106" s="1"/>
  <c r="J88" i="28"/>
  <c r="K6" i="29"/>
  <c r="B7763" i="106" s="1"/>
  <c r="D7763" i="106" s="1"/>
  <c r="B7762" i="106"/>
  <c r="D7762" i="106" s="1"/>
  <c r="K23" i="12"/>
  <c r="J12" i="12"/>
  <c r="B7718" i="106" s="1"/>
  <c r="D7718" i="106" s="1"/>
  <c r="J21" i="12"/>
  <c r="B7727" i="106" s="1"/>
  <c r="D7727" i="106" s="1"/>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C73" i="127"/>
  <c r="C74" i="127"/>
  <c r="D26" i="108"/>
  <c r="F26" i="108"/>
  <c r="E27" i="108"/>
  <c r="G27" i="108"/>
  <c r="G28" i="108"/>
  <c r="E30"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5" i="7"/>
  <c r="B1756" i="106" s="1"/>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L22" i="37"/>
  <c r="B1746" i="106"/>
  <c r="D1746" i="106" s="1"/>
  <c r="F45" i="34" l="1"/>
  <c r="G30" i="108"/>
  <c r="B6995" i="106"/>
  <c r="D6995" i="106" s="1"/>
  <c r="F27" i="108"/>
  <c r="F72" i="34"/>
  <c r="B7076" i="106"/>
  <c r="D7076" i="106" s="1"/>
  <c r="B2805" i="106"/>
  <c r="D2805" i="106" s="1"/>
  <c r="G14" i="4"/>
  <c r="B2609" i="106" s="1"/>
  <c r="D2609" i="106" s="1"/>
  <c r="F38" i="34"/>
  <c r="B2028" i="106"/>
  <c r="D2028" i="106" s="1"/>
  <c r="B275" i="106"/>
  <c r="D275" i="106" s="1"/>
  <c r="B2027" i="106"/>
  <c r="D2027" i="106" s="1"/>
  <c r="B274" i="106"/>
  <c r="D274" i="106" s="1"/>
  <c r="B3454" i="106"/>
  <c r="D3454" i="106" s="1"/>
  <c r="B2864" i="106"/>
  <c r="D2864" i="106" s="1"/>
  <c r="D6103" i="106"/>
  <c r="B2026" i="106"/>
  <c r="D2026" i="106" s="1"/>
  <c r="B2029" i="106"/>
  <c r="D2029" i="106" s="1"/>
  <c r="B276" i="106"/>
  <c r="D276" i="106" s="1"/>
  <c r="D5" i="4"/>
  <c r="B3406" i="106" s="1"/>
  <c r="D3406" i="106" s="1"/>
  <c r="H342" i="29"/>
  <c r="F41" i="34"/>
  <c r="D31" i="108"/>
  <c r="F49" i="34"/>
  <c r="F64" i="34"/>
  <c r="L5" i="11"/>
  <c r="B2056" i="106" s="1"/>
  <c r="D2056" i="106" s="1"/>
  <c r="F69" i="34"/>
  <c r="G33" i="108"/>
  <c r="D36" i="108"/>
  <c r="J23" i="12"/>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7252" i="106" l="1"/>
  <c r="G6" i="4"/>
  <c r="B2604" i="106" s="1"/>
  <c r="D2604" i="106" s="1"/>
  <c r="B5770" i="106"/>
  <c r="D5770" i="106" s="1"/>
  <c r="M23" i="3"/>
  <c r="B273" i="106"/>
  <c r="D273" i="106" s="1"/>
  <c r="B1328" i="106"/>
  <c r="D1328" i="106" s="1"/>
  <c r="B1266" i="106"/>
  <c r="D1266" i="106" s="1"/>
  <c r="D41" i="108"/>
  <c r="E43" i="108" s="1"/>
  <c r="B7235" i="106"/>
  <c r="D7235" i="106" s="1"/>
  <c r="H77" i="4"/>
  <c r="B3299" i="106" s="1"/>
  <c r="D3299" i="106" s="1"/>
  <c r="C4" i="4"/>
  <c r="B2551" i="106" s="1"/>
  <c r="D2551" i="106" s="1"/>
  <c r="F41" i="108"/>
  <c r="G43" i="108" s="1"/>
  <c r="F66" i="34"/>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B7243" i="106" s="1"/>
  <c r="D7243" i="106"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279" i="106"/>
  <c r="D279" i="106" s="1"/>
  <c r="B7224" i="106"/>
  <c r="D7224" i="106" s="1"/>
  <c r="F24" i="37"/>
  <c r="J17" i="4"/>
  <c r="B6227" i="106" s="1"/>
  <c r="D6227" i="106" s="1"/>
  <c r="B7051" i="106"/>
  <c r="D7051" i="106" s="1"/>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J19" i="4" l="1"/>
  <c r="B6229" i="106" s="1"/>
  <c r="D6229" i="106" s="1"/>
  <c r="M41" i="3"/>
  <c r="B280" i="106"/>
  <c r="D280" i="106" s="1"/>
  <c r="J20" i="4"/>
  <c r="J78" i="4" s="1"/>
  <c r="F8" i="4"/>
  <c r="D8" i="146" s="1"/>
  <c r="D8" i="4"/>
  <c r="D10" i="4" s="1"/>
  <c r="B4123" i="106" s="1"/>
  <c r="D4123" i="106" s="1"/>
  <c r="B6223" i="106"/>
  <c r="D6223" i="106" s="1"/>
  <c r="K17" i="4"/>
  <c r="K19" i="4" s="1"/>
  <c r="B4144" i="106" s="1"/>
  <c r="D4144" i="106" s="1"/>
  <c r="B3678" i="106"/>
  <c r="D3678" i="106" s="1"/>
  <c r="F76" i="34"/>
  <c r="J10" i="4"/>
  <c r="B6225" i="106" s="1"/>
  <c r="D6225" i="106" s="1"/>
  <c r="B2658" i="106"/>
  <c r="D2658" i="106" s="1"/>
  <c r="H10" i="4"/>
  <c r="B4127" i="106" s="1"/>
  <c r="D4127" i="106" s="1"/>
  <c r="B2917" i="106"/>
  <c r="D2917" i="106" s="1"/>
  <c r="D53" i="36"/>
  <c r="D10" i="17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B6230" i="106"/>
  <c r="D6230" i="106" s="1"/>
  <c r="B3575" i="106"/>
  <c r="D3575" i="106" s="1"/>
  <c r="B281" i="106"/>
  <c r="D281" i="106" s="1"/>
  <c r="D54" i="36"/>
  <c r="F10" i="4"/>
  <c r="B4125" i="106" s="1"/>
  <c r="D4125" i="106" s="1"/>
  <c r="H13" i="118"/>
  <c r="D20" i="4"/>
  <c r="B2574" i="106" s="1"/>
  <c r="D2574" i="106" s="1"/>
  <c r="D19" i="171"/>
  <c r="D32" i="171" s="1"/>
  <c r="D49" i="171" s="1"/>
  <c r="K20" i="4"/>
  <c r="K78" i="4" s="1"/>
  <c r="B2595" i="106"/>
  <c r="D2595" i="106" s="1"/>
  <c r="B2568" i="106"/>
  <c r="D2568"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B6263" i="106"/>
  <c r="D6263" i="106" s="1"/>
  <c r="C10" i="146" l="1"/>
  <c r="F8" i="146"/>
  <c r="D78" i="4"/>
  <c r="D81" i="4" s="1"/>
  <c r="B3576" i="106"/>
  <c r="D3576" i="106" s="1"/>
  <c r="F179" i="34"/>
  <c r="F79" i="34"/>
  <c r="J41" i="3"/>
  <c r="B6215" i="106"/>
  <c r="D6215"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81" i="34"/>
  <c r="F183" i="34" s="1"/>
  <c r="D51" i="36"/>
  <c r="B6216" i="106"/>
  <c r="D6216" i="106" s="1"/>
  <c r="B123" i="106"/>
  <c r="D123" i="106" s="1"/>
  <c r="D41" i="3"/>
  <c r="B3567" i="106"/>
  <c r="D3567" i="106" s="1"/>
  <c r="K41" i="3"/>
  <c r="B212" i="106"/>
  <c r="D212" i="106" s="1"/>
  <c r="H41" i="3"/>
  <c r="B2912" i="106"/>
  <c r="D2912" i="106" s="1"/>
  <c r="I41" i="3"/>
  <c r="B3278" i="106"/>
  <c r="D3278" i="106" s="1"/>
  <c r="E81" i="4"/>
  <c r="N21" i="3" s="1"/>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<sst xmlns="http://schemas.openxmlformats.org/spreadsheetml/2006/main" count="5422" uniqueCount="2236">
  <si>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</si>
  <si>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</si>
  <si>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</si>
  <si>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</si>
  <si>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</si>
  <si>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</si>
  <si>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</si>
  <si>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</si>
  <si>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</si>
  <si>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</si>
  <si>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</si>
  <si>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</si>
  <si>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</si>
  <si>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</si>
  <si>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</si>
  <si>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</si>
  <si>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</si>
  <si>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</si>
  <si>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</si>
  <si>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</si>
  <si>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</si>
  <si>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</si>
  <si>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</si>
  <si>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</si>
  <si>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</si>
  <si>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</si>
  <si>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</si>
  <si>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</si>
  <si>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</si>
  <si>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</si>
  <si>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</si>
  <si>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</si>
  <si>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</si>
  <si>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</si>
  <si>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</si>
  <si>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</si>
  <si>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</si>
  <si>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</si>
  <si>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</si>
  <si>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</si>
  <si>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</si>
  <si>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</si>
  <si>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</si>
  <si>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</si>
  <si>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</si>
  <si>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</si>
  <si>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</si>
  <si>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</si>
  <si>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</si>
  <si>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</si>
  <si>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</si>
  <si>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</si>
  <si>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</si>
  <si>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</si>
  <si>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</si>
  <si>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</si>
  <si>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</si>
  <si>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</si>
  <si>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</si>
  <si>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</si>
  <si>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</si>
  <si>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</si>
  <si>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</si>
  <si>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</si>
  <si>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</si>
  <si>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</si>
  <si>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</si>
  <si>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</si>
  <si>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</si>
  <si>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</si>
  <si>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</si>
  <si>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</si>
  <si>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</si>
  <si>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</si>
  <si>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</si>
  <si>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</si>
  <si>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</si>
  <si>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</si>
  <si>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</si>
  <si>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</si>
  <si>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</si>
  <si>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</si>
  <si>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</si>
  <si>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</si>
  <si>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</si>
  <si>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</si>
  <si>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</si>
  <si>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</si>
  <si>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</si>
  <si>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</si>
  <si>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</si>
  <si>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</si>
  <si>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</si>
  <si>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</si>
  <si>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</si>
  <si>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</si>
  <si>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</si>
  <si>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</si>
  <si>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</si>
  <si>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</si>
  <si>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</si>
  <si>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</si>
  <si>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</si>
  <si>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</si>
  <si>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</si>
  <si>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</si>
  <si>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</si>
  <si>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</si>
  <si>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</si>
  <si>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</si>
  <si>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</si>
  <si>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</si>
  <si>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</si>
  <si>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</si>
  <si>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</si>
  <si>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</si>
  <si>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</si>
  <si>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</si>
  <si>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</si>
  <si>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</si>
  <si>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</si>
  <si>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</si>
  <si>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</si>
  <si>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</si>
  <si>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</si>
  <si>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</si>
  <si>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</si>
  <si>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</si>
  <si>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</si>
  <si>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</si>
  <si>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</si>
  <si>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</si>
  <si>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</si>
  <si>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</si>
  <si>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</si>
  <si>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</si>
  <si>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</si>
  <si>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</si>
  <si>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</si>
  <si>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</si>
  <si>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</si>
  <si>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</si>
  <si>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</si>
  <si>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</si>
  <si>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</si>
  <si>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</si>
  <si>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</si>
  <si>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</si>
  <si>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</si>
  <si>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</si>
  <si>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</si>
  <si>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</si>
  <si>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</si>
  <si>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</si>
  <si>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</si>
  <si>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</si>
  <si>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</si>
  <si>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</si>
  <si>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</si>
  <si>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</si>
  <si>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</si>
  <si>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</si>
  <si>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</si>
  <si>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</si>
  <si>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</si>
  <si>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</si>
  <si>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</si>
  <si>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</si>
  <si>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</si>
  <si>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</si>
  <si>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</si>
  <si>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</si>
  <si>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</si>
  <si>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</si>
  <si>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</si>
  <si>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</si>
  <si>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</si>
  <si>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</si>
  <si>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</si>
  <si>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</si>
  <si>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</si>
  <si>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</si>
  <si>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</si>
  <si>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</si>
  <si>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</si>
  <si>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</si>
  <si>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</si>
  <si>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</si>
  <si>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</si>
  <si>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</si>
  <si>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</si>
  <si>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</si>
  <si>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</si>
  <si>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</si>
  <si>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</si>
  <si>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</si>
  <si>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</si>
  <si>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</si>
  <si>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</si>
  <si>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</si>
  <si>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</si>
  <si>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</si>
  <si>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</si>
  <si>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</si>
  <si>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</si>
  <si>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</si>
  <si>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</si>
  <si>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</si>
  <si>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</si>
  <si>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</si>
  <si>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</si>
  <si>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</si>
  <si>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</si>
  <si>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</si>
  <si>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</si>
  <si>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</si>
  <si>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</si>
  <si>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</si>
  <si>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</si>
  <si>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</si>
  <si>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</si>
  <si>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</si>
  <si>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</si>
  <si>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</si>
  <si>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</si>
  <si>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</si>
  <si>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</si>
  <si>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</si>
  <si>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</si>
  <si>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</si>
  <si>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</si>
  <si>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</si>
  <si>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</si>
  <si>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</si>
  <si>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</si>
  <si>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</si>
  <si>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</si>
  <si>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</si>
  <si>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</si>
  <si>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</si>
  <si>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</si>
  <si>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</si>
  <si>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</si>
  <si>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</si>
  <si>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</si>
  <si>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</si>
  <si>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</si>
  <si>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</si>
  <si>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</si>
  <si>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</si>
  <si>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</si>
  <si>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</si>
  <si>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</si>
  <si>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</si>
  <si>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</si>
  <si>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</si>
  <si>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</si>
  <si>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</si>
  <si>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</si>
  <si>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</si>
  <si>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</si>
  <si>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</si>
  <si>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</si>
  <si>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</si>
  <si>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</si>
  <si>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</si>
  <si>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</si>
  <si>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</si>
  <si>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</si>
  <si>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</si>
  <si>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</si>
  <si>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</si>
  <si>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</si>
  <si>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</si>
  <si>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</si>
  <si>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</si>
  <si>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</si>
  <si>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</si>
  <si>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</si>
  <si>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</si>
  <si>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</si>
  <si>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</si>
  <si>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</si>
  <si>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</si>
  <si>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</si>
  <si>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</si>
  <si>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</si>
  <si>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</si>
  <si>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</si>
  <si>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</si>
  <si>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</si>
  <si>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</si>
  <si>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</si>
  <si>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</si>
  <si>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</si>
  <si>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</si>
  <si>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</si>
  <si>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</si>
  <si>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</si>
  <si>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</si>
  <si>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</si>
  <si>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</si>
  <si>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</si>
  <si>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</si>
  <si>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</si>
  <si>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</si>
  <si>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</si>
  <si>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</si>
  <si>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</si>
  <si>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</si>
  <si>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</si>
  <si>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</si>
  <si>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</si>
  <si>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</si>
  <si>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</si>
  <si>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</si>
  <si>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</si>
  <si>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</si>
  <si>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</si>
  <si>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</si>
  <si>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</si>
  <si>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</si>
  <si>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</si>
  <si>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</si>
  <si>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</si>
  <si>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</si>
  <si>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</si>
  <si>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</si>
  <si>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</si>
  <si>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</si>
  <si>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</si>
  <si>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</si>
  <si>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</si>
  <si>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</si>
  <si>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</si>
  <si>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</si>
  <si>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</si>
  <si>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</si>
  <si>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</si>
  <si>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</si>
  <si>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</si>
  <si>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</si>
  <si>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</si>
  <si>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</si>
  <si>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</si>
  <si>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</si>
  <si>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</si>
  <si>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</si>
  <si>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</si>
  <si>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</si>
  <si>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</si>
  <si>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</si>
  <si>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</si>
  <si>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</si>
  <si>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</si>
  <si>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</si>
  <si>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</si>
  <si>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</si>
  <si>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</si>
  <si>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</si>
  <si>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</si>
  <si>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</si>
  <si>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</si>
  <si>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</si>
  <si>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</si>
  <si>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</si>
  <si>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</si>
  <si>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</si>
  <si>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</si>
  <si>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</si>
  <si>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</si>
  <si>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</si>
  <si>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</si>
  <si>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</si>
  <si>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</si>
  <si>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</si>
  <si>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</si>
  <si>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</si>
  <si>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</si>
  <si>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</si>
  <si>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</si>
  <si>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</si>
  <si>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</si>
  <si>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</si>
  <si>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</si>
  <si>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</si>
  <si>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</si>
  <si>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</si>
  <si>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</si>
  <si>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</si>
  <si>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</si>
  <si>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</si>
  <si>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</si>
  <si>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</si>
  <si>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</si>
  <si>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</si>
  <si>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</si>
  <si>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</si>
  <si>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</si>
  <si>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</si>
  <si>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</si>
  <si>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</si>
  <si>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</si>
  <si>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</si>
  <si>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</si>
  <si>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</si>
  <si>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</si>
  <si>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</si>
  <si>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</si>
  <si>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</si>
  <si>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</si>
  <si>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</si>
  <si>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</si>
  <si>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</si>
  <si>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</si>
  <si>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</si>
  <si>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</si>
  <si>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</si>
  <si>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</si>
  <si>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</si>
  <si>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</si>
  <si>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</si>
  <si>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</si>
  <si>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</si>
  <si>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</si>
  <si>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</si>
  <si>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</si>
  <si>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</si>
  <si>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</si>
  <si>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</si>
  <si>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</si>
  <si>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</si>
  <si>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</si>
  <si>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</si>
  <si>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</si>
  <si>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</si>
  <si>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</si>
  <si>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</si>
  <si>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</si>
  <si>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</si>
  <si>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</si>
  <si>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</si>
  <si>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</si>
  <si>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</si>
  <si>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</si>
  <si>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</si>
  <si>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</si>
  <si>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</si>
  <si>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</si>
  <si>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</si>
  <si>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</si>
  <si>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</si>
  <si>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</si>
  <si>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</si>
  <si>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</si>
  <si>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</si>
  <si>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</si>
  <si>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</si>
  <si>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</si>
  <si>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</si>
  <si>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</si>
  <si>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</si>
  <si>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</si>
  <si>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</si>
  <si>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</si>
  <si>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</si>
  <si>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</si>
  <si>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</si>
  <si>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</si>
  <si>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</si>
  <si>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</si>
  <si>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</si>
  <si>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</si>
  <si>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</si>
  <si>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</si>
  <si>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</si>
  <si>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</si>
  <si>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</si>
  <si>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</si>
  <si>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</si>
  <si>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</si>
  <si>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</si>
  <si>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</si>
  <si>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</si>
  <si>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</si>
  <si>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</si>
  <si>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</si>
  <si>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</si>
  <si>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</si>
  <si>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</si>
  <si>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</si>
  <si>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</si>
  <si>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</si>
  <si>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</si>
  <si>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</si>
  <si>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</si>
  <si>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</si>
  <si>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</si>
  <si>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</si>
  <si>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</si>
  <si>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</si>
  <si>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</si>
  <si>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</si>
  <si>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</si>
  <si>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</si>
  <si>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</si>
  <si>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</si>
  <si>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</si>
  <si>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</si>
  <si>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</si>
  <si>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</si>
  <si>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</si>
  <si>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</si>
  <si>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</si>
  <si>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</si>
  <si>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</si>
  <si>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</si>
  <si>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</si>
  <si>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</si>
  <si>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</si>
  <si>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</si>
  <si>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</si>
  <si>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</si>
  <si>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</si>
  <si>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</si>
  <si>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</si>
  <si>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</si>
  <si>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</si>
  <si>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</si>
  <si>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</si>
  <si>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</si>
  <si>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</si>
  <si>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</si>
  <si>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</si>
  <si>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</si>
  <si>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</si>
  <si>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</si>
  <si>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</si>
  <si>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</si>
  <si>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</si>
  <si>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</si>
  <si>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</si>
  <si>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</si>
  <si>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</si>
  <si>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</si>
  <si>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</si>
  <si>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</si>
  <si>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</si>
  <si>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</si>
  <si>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</si>
  <si>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</si>
  <si>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</si>
  <si>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</si>
  <si>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</si>
  <si>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</si>
  <si>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</si>
  <si>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</si>
  <si>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</si>
  <si>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</si>
  <si>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</si>
  <si>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</si>
  <si>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</si>
  <si>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</si>
  <si>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</si>
  <si>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</si>
  <si>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</si>
  <si>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</si>
  <si>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</si>
  <si>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</si>
  <si>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</si>
  <si>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</si>
  <si>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</si>
  <si>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</si>
  <si>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</si>
  <si>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</si>
  <si>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</si>
  <si>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</si>
  <si>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</si>
  <si>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</si>
  <si>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</si>
  <si>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</si>
  <si>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</si>
  <si>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</si>
  <si>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</si>
  <si>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</si>
  <si>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</si>
  <si>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</si>
  <si>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</si>
  <si>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</si>
  <si>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</si>
  <si>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</si>
  <si>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</si>
  <si>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</si>
  <si>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</si>
  <si>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</si>
  <si>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</si>
  <si>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</si>
  <si>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</si>
  <si>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</si>
  <si>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</si>
  <si>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</si>
  <si>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</si>
  <si>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</si>
  <si>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</si>
  <si>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</si>
  <si>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</si>
  <si>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</si>
  <si>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</si>
  <si>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</si>
  <si>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</si>
  <si>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</si>
  <si>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</si>
  <si>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</si>
  <si>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</si>
  <si>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</si>
  <si>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</si>
  <si>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</si>
  <si>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</si>
  <si>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</si>
  <si>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</si>
  <si>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</si>
  <si>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</si>
  <si>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</si>
  <si>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</si>
  <si>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</si>
  <si>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</si>
  <si>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</si>
  <si>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</si>
  <si>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</si>
  <si>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</si>
  <si>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</si>
  <si>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</si>
  <si>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</si>
  <si>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</si>
  <si>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</si>
  <si>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</si>
  <si>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</si>
  <si>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</si>
  <si>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</si>
  <si>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</si>
  <si>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</si>
  <si>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</si>
  <si>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</si>
  <si>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</si>
  <si>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</si>
  <si>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</si>
  <si>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</si>
  <si>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</si>
  <si>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</si>
  <si>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</si>
  <si>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</si>
  <si>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</si>
  <si>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</si>
  <si>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</si>
  <si>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</si>
  <si>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</si>
  <si>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</si>
  <si>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</si>
  <si>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</si>
  <si>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</si>
  <si>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</si>
  <si>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</si>
  <si>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</si>
  <si>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</si>
  <si>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</si>
  <si>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</si>
  <si>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</si>
  <si>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</si>
  <si>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</si>
  <si>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</si>
  <si>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</si>
  <si>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</si>
  <si>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</si>
  <si>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</si>
  <si>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</si>
  <si>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</si>
  <si>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</si>
  <si>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</si>
  <si>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</si>
  <si>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</si>
  <si>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</si>
  <si>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</si>
  <si>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</si>
  <si>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</si>
  <si>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</si>
  <si>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</si>
  <si>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</si>
  <si>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</si>
  <si>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</si>
  <si>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</si>
  <si>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</si>
  <si>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</si>
  <si>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</si>
  <si>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</si>
  <si>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</si>
  <si>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</si>
  <si>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</si>
  <si>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</si>
  <si>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</si>
  <si>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</si>
  <si>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</si>
  <si>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</si>
  <si>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</si>
  <si>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</si>
  <si>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</si>
  <si>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</si>
  <si>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</si>
  <si>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</si>
  <si>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</si>
  <si>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</si>
  <si>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</si>
  <si>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</si>
  <si>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</si>
  <si>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</si>
  <si>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</si>
  <si>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</si>
  <si>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</si>
  <si>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</si>
  <si>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</si>
  <si>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</si>
  <si>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</si>
  <si>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</si>
  <si>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</si>
  <si>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</si>
  <si>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</si>
  <si>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</si>
  <si>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</si>
  <si>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</si>
  <si>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</si>
  <si>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</si>
  <si>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</si>
  <si>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</si>
  <si>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</si>
  <si>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</si>
  <si>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</si>
  <si>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</si>
  <si>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</si>
  <si>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</si>
  <si>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</si>
  <si>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</si>
  <si>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</si>
  <si>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</si>
  <si>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</si>
  <si>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</si>
  <si>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</si>
  <si>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</si>
  <si>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</si>
  <si>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</si>
  <si>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</si>
  <si>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</si>
  <si>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</si>
  <si>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</si>
  <si>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</si>
  <si>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</si>
  <si>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</si>
  <si>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</si>
  <si>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</si>
  <si>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</si>
  <si>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</si>
  <si>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</si>
  <si>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</si>
  <si>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</si>
  <si>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</si>
  <si>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</si>
  <si>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</si>
  <si>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</si>
  <si>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</si>
  <si>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</si>
  <si>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</si>
  <si>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</si>
  <si>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</si>
  <si>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</si>
  <si>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</si>
  <si>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</si>
  <si>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</si>
  <si>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</si>
  <si>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</si>
  <si>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</si>
  <si>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</si>
  <si>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</si>
  <si>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</si>
  <si>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</si>
  <si>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</si>
  <si>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</si>
  <si>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</si>
  <si>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</si>
  <si>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</si>
  <si>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</si>
  <si>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</si>
  <si>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</si>
  <si>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</si>
  <si>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</si>
  <si>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</si>
  <si>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</si>
  <si>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</si>
  <si>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</si>
  <si>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</si>
  <si>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</si>
  <si>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</si>
  <si>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</si>
  <si>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</si>
  <si>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</si>
  <si>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</si>
  <si>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</si>
  <si>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</si>
  <si>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</si>
  <si>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</si>
  <si>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</si>
  <si>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</si>
  <si>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</si>
  <si>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</si>
  <si>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</si>
  <si>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</si>
  <si>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</si>
  <si>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</si>
  <si>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</si>
  <si>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</si>
  <si>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</si>
  <si>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</si>
  <si>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</si>
  <si>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</si>
  <si>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</si>
  <si>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</si>
  <si>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</si>
  <si>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</si>
  <si>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</si>
  <si>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</si>
  <si>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</si>
  <si>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</si>
  <si>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</si>
  <si>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</si>
  <si>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</si>
  <si>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</si>
  <si>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</si>
  <si>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</si>
  <si>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</si>
  <si>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</si>
  <si>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</si>
  <si>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</si>
  <si>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</si>
  <si>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</si>
  <si>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</si>
  <si>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</si>
  <si>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</si>
  <si>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</si>
  <si>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</si>
  <si>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</si>
  <si>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</si>
  <si>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</si>
  <si>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</si>
  <si>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</si>
  <si>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</si>
  <si>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</si>
  <si>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</si>
  <si>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</si>
  <si>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</si>
  <si>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</si>
  <si>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</si>
  <si>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</si>
  <si>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</si>
  <si>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</si>
  <si>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</si>
  <si>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</si>
  <si>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</si>
  <si>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</si>
  <si>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</si>
  <si>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</si>
  <si>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</si>
  <si>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</si>
  <si>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</si>
  <si>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</si>
  <si>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</si>
  <si>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</si>
  <si>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</si>
  <si>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</si>
  <si>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</si>
  <si>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</si>
  <si>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</si>
  <si>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</si>
  <si>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</si>
  <si>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</si>
  <si>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</si>
  <si>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</si>
  <si>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</si>
  <si>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</si>
  <si>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</si>
  <si>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</si>
  <si>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</si>
  <si>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</si>
  <si>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</si>
  <si>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</si>
  <si>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</si>
  <si>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</si>
  <si>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</si>
  <si>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</si>
  <si>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</si>
  <si>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</si>
  <si>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</si>
  <si>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</si>
  <si>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</si>
  <si>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</si>
  <si>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</si>
  <si>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</si>
  <si>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</si>
  <si>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</si>
  <si>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</si>
  <si>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</si>
  <si>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</si>
  <si>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</si>
  <si>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</si>
  <si>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</si>
  <si>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</si>
  <si>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</si>
  <si>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</si>
  <si>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</si>
  <si>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</si>
  <si>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</si>
  <si>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</si>
  <si>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</si>
  <si>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</si>
  <si>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</si>
  <si>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</si>
  <si>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</si>
  <si>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</si>
  <si>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</si>
  <si>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</si>
  <si>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</si>
  <si>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</si>
  <si>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</si>
  <si>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</si>
  <si>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</si>
  <si>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</si>
  <si>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</si>
  <si>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</si>
  <si>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</si>
  <si>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</si>
  <si>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</si>
  <si>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</si>
  <si>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</si>
  <si>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</si>
  <si>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</si>
  <si>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</si>
  <si>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</si>
  <si>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</si>
  <si>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</si>
  <si>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</si>
  <si>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</si>
  <si>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</si>
  <si>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</si>
  <si>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</si>
  <si>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</si>
  <si>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</si>
  <si>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</si>
  <si>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</si>
  <si>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</si>
  <si>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</si>
  <si>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</si>
  <si>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</si>
  <si>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</si>
  <si>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</si>
  <si>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</si>
  <si>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</si>
  <si>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</si>
  <si>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</si>
  <si>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</si>
  <si>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</si>
  <si>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</si>
  <si>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</si>
  <si>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</si>
  <si>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</si>
  <si>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</si>
  <si>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</si>
  <si>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</si>
  <si>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</si>
  <si>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</si>
  <si>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</si>
  <si>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</si>
  <si>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</si>
  <si>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</si>
  <si>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</si>
  <si>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</si>
  <si>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</si>
  <si>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</si>
  <si>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</si>
  <si>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</si>
  <si>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</si>
  <si>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</si>
  <si>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</si>
  <si>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</si>
  <si>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</si>
  <si>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</si>
  <si>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</si>
  <si>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</si>
  <si>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</si>
  <si>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</si>
  <si>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</si>
  <si>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</si>
  <si>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</si>
  <si>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</si>
  <si>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</si>
  <si>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</si>
  <si>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</si>
  <si>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</si>
  <si>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</si>
  <si>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</si>
  <si>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</si>
  <si>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</si>
  <si>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</si>
  <si>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</si>
  <si>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</si>
  <si>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</si>
  <si>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</si>
  <si>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</si>
  <si>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</si>
  <si>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</si>
  <si>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</si>
  <si>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</si>
  <si>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</si>
  <si>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</si>
  <si>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</si>
  <si>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</si>
  <si>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</si>
  <si>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</si>
  <si>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</si>
  <si>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</si>
  <si>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</si>
  <si>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</si>
  <si>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</si>
  <si>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</si>
  <si>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</si>
  <si>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</si>
  <si>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</si>
  <si>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</si>
  <si>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</si>
  <si>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</si>
  <si>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</si>
  <si>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</si>
  <si>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</si>
  <si>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</si>
  <si>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</si>
  <si>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</si>
  <si>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</si>
  <si>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</si>
  <si>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</si>
  <si>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</si>
  <si>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</si>
  <si>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</si>
  <si>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</si>
  <si>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</si>
  <si>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</si>
  <si>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</si>
  <si>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</si>
  <si>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</si>
  <si>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</si>
  <si>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</si>
  <si>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</si>
  <si>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</si>
  <si>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</si>
  <si>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</si>
  <si>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</si>
  <si>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</si>
  <si>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</si>
  <si>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</si>
  <si>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</si>
  <si>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</si>
  <si>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</si>
  <si>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</si>
  <si>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</si>
  <si>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</si>
  <si>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</si>
  <si>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</si>
  <si>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</si>
  <si>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</si>
  <si>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</si>
  <si>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</si>
  <si>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</si>
  <si>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</si>
  <si>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</si>
  <si>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</si>
  <si>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</si>
  <si>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</si>
  <si>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</si>
  <si>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</si>
  <si>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</si>
  <si>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</si>
  <si>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</si>
  <si>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</si>
  <si>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</si>
  <si>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</si>
  <si>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</si>
  <si>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</si>
  <si>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</si>
  <si>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</si>
  <si>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</si>
  <si>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</si>
  <si>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</si>
  <si>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</si>
  <si>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</si>
  <si>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</si>
  <si>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</si>
  <si>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</si>
  <si>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</si>
  <si>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</si>
  <si>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</si>
  <si>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</si>
  <si>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</si>
  <si>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</si>
  <si>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</si>
  <si>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</si>
  <si>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</si>
  <si>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</si>
  <si>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</si>
  <si>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</si>
  <si>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</si>
  <si>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</si>
  <si>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</si>
  <si>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</si>
  <si>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</si>
  <si>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</si>
  <si>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</si>
  <si>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</si>
  <si>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</si>
  <si>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</si>
  <si>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</si>
  <si>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</si>
  <si>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</si>
  <si>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</si>
  <si>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</si>
  <si>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</si>
  <si>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</si>
  <si>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</si>
  <si>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</si>
  <si>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</si>
  <si>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</si>
  <si>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</si>
  <si>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</si>
  <si>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</si>
  <si>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</si>
  <si>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</si>
  <si>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</si>
  <si>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</si>
  <si>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</si>
  <si>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</si>
  <si>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</si>
  <si>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</si>
  <si>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</si>
  <si>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</si>
  <si>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</si>
  <si>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</si>
  <si>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</si>
  <si>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</si>
  <si>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</si>
  <si>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</si>
  <si>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</si>
  <si>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</si>
  <si>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</si>
  <si>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</si>
  <si>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</si>
  <si>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</si>
  <si>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</si>
  <si>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</si>
  <si>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</si>
  <si>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</si>
  <si>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</si>
  <si>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</si>
  <si>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</si>
  <si>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</si>
  <si>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</si>
  <si>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</si>
  <si>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</si>
  <si>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</si>
  <si>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</si>
  <si>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</si>
  <si>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</si>
  <si>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</si>
  <si>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</si>
  <si>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</si>
  <si>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</si>
  <si>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</si>
  <si>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</si>
  <si>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</si>
  <si>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</si>
  <si>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</si>
  <si>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</si>
  <si>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</si>
  <si>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</si>
  <si>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</si>
  <si>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</si>
  <si>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</si>
  <si>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</si>
  <si>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</si>
  <si>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</si>
  <si>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</si>
  <si>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</si>
  <si>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</si>
  <si>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</si>
  <si>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</si>
  <si>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</si>
  <si>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</si>
  <si>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</si>
  <si>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</si>
  <si>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</si>
  <si>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</si>
  <si>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</si>
  <si>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</si>
  <si>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</si>
  <si>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</si>
  <si>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</si>
  <si>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</si>
  <si>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</si>
  <si>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</si>
  <si>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</si>
  <si>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</si>
  <si>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</si>
  <si>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</si>
  <si>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</si>
  <si>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</si>
  <si>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</si>
  <si>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</si>
  <si>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</si>
  <si>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</si>
  <si>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</si>
  <si>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</si>
  <si>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</si>
  <si>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</si>
  <si>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</si>
  <si>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</si>
  <si>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</si>
  <si>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</si>
  <si>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</si>
  <si>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</si>
  <si>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</si>
  <si>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</si>
  <si>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</si>
  <si>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</si>
  <si>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</si>
  <si>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</si>
  <si>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</si>
  <si>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</si>
  <si>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</si>
  <si>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</si>
  <si>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</si>
  <si>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</si>
  <si>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</si>
  <si>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</si>
  <si>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</si>
  <si>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</si>
  <si>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</si>
  <si>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</si>
  <si>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</si>
  <si>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</si>
  <si>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</si>
  <si>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</si>
  <si>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</si>
  <si>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</si>
  <si>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</si>
  <si>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</si>
  <si>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</si>
  <si>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</si>
  <si>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</si>
  <si>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</si>
  <si>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</si>
  <si>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</si>
  <si>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</si>
  <si>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</si>
  <si>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</si>
  <si>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</si>
  <si>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</si>
  <si>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</si>
  <si>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</si>
  <si>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</si>
  <si>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</si>
  <si>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</si>
  <si>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</si>
  <si>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</si>
  <si>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</si>
  <si>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</si>
  <si>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</si>
  <si>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</si>
  <si>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</si>
  <si>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</si>
  <si>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</si>
  <si>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</si>
  <si>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</si>
  <si>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</si>
  <si>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</si>
  <si>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</si>
  <si>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</si>
  <si>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</si>
  <si>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</si>
  <si>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</si>
  <si>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</si>
  <si>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</si>
  <si>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</si>
  <si>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</si>
  <si>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</si>
  <si>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</si>
  <si>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</si>
  <si>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</si>
  <si>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</si>
  <si>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</si>
  <si>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</si>
  <si>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</si>
  <si>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</si>
  <si>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</si>
  <si>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</si>
  <si>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</si>
  <si>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</si>
  <si>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</si>
  <si>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</si>
  <si>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</si>
  <si>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</si>
  <si>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</si>
  <si>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</si>
  <si>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</si>
  <si>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</si>
  <si>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</si>
  <si>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</si>
  <si>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</si>
  <si>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</si>
  <si>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</si>
  <si>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</si>
  <si>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</si>
  <si>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</si>
  <si>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</si>
  <si>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</si>
  <si>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</si>
  <si>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</si>
  <si>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</si>
  <si>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</si>
  <si>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</si>
  <si>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</si>
  <si>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</si>
  <si>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</si>
  <si>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</si>
  <si>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</si>
  <si>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</si>
  <si>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</si>
  <si>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</si>
  <si>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</si>
  <si>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</si>
  <si>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</si>
  <si>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</si>
  <si>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</si>
  <si>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</si>
  <si>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</si>
  <si>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</si>
  <si>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</si>
  <si>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</si>
  <si>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</si>
  <si>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</si>
  <si>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</si>
  <si>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</si>
  <si>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</si>
  <si>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</si>
  <si>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</si>
  <si>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</si>
  <si>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</si>
  <si>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</si>
  <si>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</si>
  <si>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</si>
  <si>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</si>
  <si>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</si>
  <si>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</si>
  <si>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</si>
  <si>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</si>
  <si>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</si>
  <si>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</si>
  <si>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</si>
  <si>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</si>
  <si>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</si>
  <si>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</si>
  <si>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</si>
  <si>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</si>
  <si>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</si>
  <si>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</si>
  <si>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</si>
  <si>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</si>
  <si>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</si>
  <si>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</si>
  <si>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</si>
  <si>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</si>
  <si>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</si>
  <si>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</si>
  <si>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</si>
  <si>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</si>
  <si>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</si>
  <si>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</si>
  <si>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</si>
  <si>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</si>
  <si>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</si>
  <si>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</si>
  <si>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</si>
  <si>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</si>
  <si>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</si>
  <si>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</si>
  <si>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</si>
  <si>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</si>
  <si>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</si>
  <si>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</si>
  <si>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</si>
  <si>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</si>
  <si>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</si>
  <si>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</si>
  <si>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</si>
  <si>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</si>
  <si>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</si>
  <si>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</si>
  <si>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</si>
  <si>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</si>
  <si>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</si>
  <si>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</si>
  <si>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</si>
  <si>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</si>
  <si>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</si>
  <si>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</si>
  <si>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</si>
  <si>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</si>
  <si>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</si>
  <si>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</si>
  <si>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</si>
  <si>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</si>
  <si>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</si>
  <si>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</si>
  <si>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</si>
  <si>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</si>
  <si>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</si>
  <si>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</si>
  <si>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</si>
  <si>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</si>
  <si>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</si>
  <si>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</si>
  <si>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</si>
  <si>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</si>
  <si>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</si>
  <si>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</si>
  <si>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</si>
  <si>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</si>
  <si>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</si>
  <si>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</si>
  <si>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</si>
  <si>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</si>
  <si>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</si>
  <si>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</si>
  <si>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</si>
  <si>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</si>
  <si>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</si>
  <si>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</si>
  <si>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</si>
  <si>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</si>
  <si>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</si>
  <si>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</si>
  <si>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</si>
  <si>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</si>
  <si>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</si>
  <si>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</si>
  <si>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</si>
  <si>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</si>
  <si>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</si>
  <si>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</si>
  <si>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</si>
  <si>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</si>
  <si>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</si>
  <si>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</si>
  <si>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</si>
  <si>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</si>
  <si>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</si>
  <si>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</si>
  <si>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</si>
  <si>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</si>
  <si>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</si>
  <si>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</si>
  <si>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</si>
  <si>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</si>
  <si>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</si>
  <si>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</si>
  <si>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</si>
  <si>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</si>
  <si>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</si>
  <si>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</si>
  <si>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</si>
  <si>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</si>
  <si>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</si>
  <si>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</si>
  <si>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</si>
  <si>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</si>
  <si>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</si>
  <si>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</si>
  <si>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</si>
  <si>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</si>
  <si>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</si>
  <si>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</si>
  <si>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</si>
  <si>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</si>
  <si>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</si>
  <si>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</si>
  <si>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</si>
  <si>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</si>
  <si>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</si>
  <si>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</si>
  <si>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</si>
  <si>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</si>
  <si>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</si>
  <si>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</si>
  <si>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</si>
  <si>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</si>
  <si>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</si>
  <si>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</si>
  <si>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</si>
  <si>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</si>
  <si>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</si>
  <si>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</si>
  <si>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</si>
  <si>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</si>
  <si>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</si>
  <si>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</si>
  <si>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</si>
  <si>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</si>
  <si>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</si>
  <si>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</si>
  <si>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</si>
  <si>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</si>
  <si>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</si>
  <si>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</si>
  <si>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</si>
  <si>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</si>
  <si>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</si>
  <si>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</si>
  <si>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</si>
  <si>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</si>
  <si>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</si>
  <si>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</si>
  <si>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</si>
  <si>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</si>
  <si>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</si>
  <si>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</si>
  <si>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</si>
  <si>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</si>
  <si>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</si>
  <si>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</si>
  <si>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</si>
  <si>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</si>
  <si>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</si>
  <si>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</si>
  <si>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</si>
  <si>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</si>
  <si>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</si>
  <si>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</si>
  <si>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</si>
  <si>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</si>
  <si>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</si>
  <si>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</si>
  <si>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</si>
  <si>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</si>
  <si>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</si>
  <si>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</si>
  <si>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</si>
  <si>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</si>
  <si>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</si>
  <si>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</si>
  <si>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</si>
  <si>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</si>
  <si>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</si>
  <si>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</si>
  <si>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</si>
  <si>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</si>
  <si>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</si>
  <si>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</si>
  <si>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</si>
  <si>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</si>
  <si>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</si>
  <si>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</si>
  <si>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</si>
  <si>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</si>
  <si>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</si>
  <si>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</si>
  <si>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</si>
  <si>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</si>
  <si>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</si>
  <si>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</si>
  <si>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</si>
  <si>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</si>
  <si>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</si>
  <si>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</si>
  <si>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</si>
  <si>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</si>
  <si>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</si>
  <si>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</si>
  <si>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</si>
  <si>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</si>
  <si>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</si>
  <si>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</si>
  <si>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</si>
  <si>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</si>
  <si>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</si>
  <si>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</si>
  <si>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</si>
  <si>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</si>
  <si>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</si>
  <si>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</si>
  <si>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</si>
  <si>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</si>
  <si>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</si>
  <si>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</si>
  <si>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</si>
  <si>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</si>
  <si>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</si>
  <si>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</si>
  <si>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</si>
  <si>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</si>
  <si>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</si>
  <si>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</si>
  <si>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</si>
  <si>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</si>
  <si>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</si>
  <si>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</si>
  <si>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</si>
  <si>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</si>
  <si>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</si>
  <si>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</si>
  <si>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</si>
  <si>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</si>
  <si>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</si>
  <si>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</si>
  <si>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</si>
  <si>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</si>
  <si>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</si>
  <si>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</si>
  <si>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</si>
  <si>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</si>
  <si>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</si>
  <si>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</si>
  <si>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</si>
  <si>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</si>
  <si>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</si>
  <si>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</si>
  <si>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</si>
  <si>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</si>
  <si>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</si>
  <si>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</si>
  <si>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</si>
  <si>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</si>
  <si>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</si>
  <si>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</si>
  <si>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</si>
  <si>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</si>
  <si>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</si>
  <si>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</si>
  <si>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</si>
  <si>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</si>
  <si>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</si>
  <si>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</si>
  <si>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</si>
  <si>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</si>
  <si>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</si>
  <si>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</si>
  <si>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</si>
  <si>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</si>
  <si>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</si>
  <si>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</si>
  <si>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</si>
  <si>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</si>
  <si>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</si>
  <si>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</si>
  <si>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</si>
  <si>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</si>
  <si>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</si>
  <si>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</si>
  <si>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</si>
  <si>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</si>
  <si>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</si>
  <si>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</si>
  <si>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</si>
  <si>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</si>
  <si>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</si>
  <si>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</si>
  <si>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</si>
  <si>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</si>
  <si>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</si>
  <si>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</si>
  <si>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</si>
  <si>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</si>
  <si>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</si>
  <si>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</si>
  <si>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</si>
  <si>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</si>
  <si>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</si>
  <si>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</si>
  <si>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</si>
  <si>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</si>
  <si>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</si>
  <si>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</si>
  <si>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</si>
  <si>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</si>
  <si>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</si>
  <si>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</si>
  <si>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</si>
  <si>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</si>
  <si>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</si>
  <si>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</si>
  <si>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</si>
  <si>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</si>
  <si>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</si>
  <si>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</si>
  <si>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</si>
  <si>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</si>
  <si>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</si>
  <si>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</si>
  <si>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</si>
  <si>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</si>
  <si>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</si>
  <si>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</si>
  <si>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</si>
  <si>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</si>
  <si>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</si>
  <si>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</si>
  <si>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</si>
  <si>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</si>
  <si>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</si>
  <si>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</si>
  <si>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</si>
  <si>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</si>
  <si>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</si>
  <si>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</si>
  <si>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</si>
  <si>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</si>
  <si>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</si>
  <si>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</si>
  <si>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</si>
  <si>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</si>
  <si>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</si>
  <si>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</si>
  <si>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</si>
  <si>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</si>
  <si>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</si>
  <si>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</si>
  <si>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</si>
  <si>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</si>
  <si>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</si>
  <si>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</si>
  <si>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</si>
  <si>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</si>
  <si>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</si>
  <si>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</si>
  <si>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</si>
  <si>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</si>
  <si>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</si>
  <si>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</si>
  <si>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</si>
  <si>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</si>
  <si>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</si>
  <si>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</si>
  <si>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</si>
  <si>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</si>
  <si>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</si>
  <si>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</si>
  <si>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</si>
  <si>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</si>
  <si>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</si>
  <si>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</si>
  <si>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</si>
  <si>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</si>
  <si>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</si>
  <si>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</si>
  <si>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</si>
  <si>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</si>
  <si>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</si>
  <si>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</si>
  <si>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</si>
  <si>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</si>
  <si>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</si>
  <si>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</si>
  <si>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</si>
  <si>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</si>
  <si>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</si>
  <si>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</si>
  <si>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</si>
  <si>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</si>
  <si>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</si>
  <si>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</si>
  <si>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</si>
  <si>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</si>
  <si>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</si>
  <si>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</si>
  <si>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</si>
  <si>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</si>
  <si>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</si>
  <si>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</si>
  <si>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</si>
  <si>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</si>
  <si>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</si>
  <si>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</si>
  <si>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</si>
  <si>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</si>
  <si>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</si>
  <si>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</si>
  <si>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</si>
  <si>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</si>
  <si>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</si>
  <si>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</si>
  <si>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</si>
  <si>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</si>
  <si>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</si>
  <si>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</si>
  <si>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</si>
  <si>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</si>
  <si>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</si>
  <si>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</si>
  <si>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</si>
  <si>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</si>
  <si>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</si>
  <si>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</si>
  <si>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</si>
  <si>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</si>
  <si>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</si>
  <si>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</si>
  <si>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</si>
  <si>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</si>
  <si>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</si>
  <si>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</si>
  <si>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</si>
  <si>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</si>
  <si>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</si>
  <si>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</si>
  <si>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</si>
  <si>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</si>
  <si>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</si>
  <si>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</si>
  <si>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</si>
  <si>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</si>
  <si>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</si>
  <si>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</si>
  <si>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</si>
  <si>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</si>
  <si>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</si>
  <si>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</si>
  <si>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</si>
  <si>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</si>
  <si>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</si>
  <si>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</si>
  <si>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</si>
  <si>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</si>
  <si>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</si>
  <si>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</si>
  <si>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</si>
  <si>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</si>
  <si>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</si>
  <si>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</si>
  <si>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</si>
  <si>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</si>
  <si>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</si>
  <si>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</si>
  <si>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</si>
  <si>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</si>
  <si>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</si>
  <si>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</si>
  <si>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</si>
  <si>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</si>
  <si>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</si>
  <si>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</si>
  <si>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</si>
  <si>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</si>
  <si>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</si>
  <si>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</si>
  <si>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</si>
  <si>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</si>
  <si>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</si>
  <si>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</si>
  <si>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</si>
  <si>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</si>
  <si>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</si>
  <si>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</si>
  <si>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</si>
  <si>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</si>
  <si>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</si>
  <si>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</si>
  <si>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</si>
  <si>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</si>
  <si>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</si>
  <si>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</si>
  <si>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</si>
  <si>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</si>
  <si>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</si>
  <si>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</si>
  <si>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</si>
  <si>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</si>
  <si>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</si>
  <si>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</si>
  <si>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</si>
  <si>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</si>
  <si>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</si>
  <si>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</si>
  <si>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</si>
  <si>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</si>
  <si>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</si>
  <si>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</si>
  <si>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</si>
  <si>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</si>
  <si>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</si>
  <si>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</si>
  <si>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</si>
  <si>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</si>
  <si>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</si>
  <si>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</si>
  <si>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</si>
  <si>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</si>
  <si>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</si>
  <si>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</si>
  <si>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</si>
  <si>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</si>
  <si>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</si>
  <si>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</si>
  <si>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</si>
  <si>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</si>
  <si>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</si>
  <si>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</si>
  <si>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</si>
  <si>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</si>
  <si>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</si>
  <si>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</si>
  <si>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</si>
  <si>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</si>
  <si>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</si>
  <si>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</si>
  <si>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</si>
  <si>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</si>
  <si>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</si>
  <si>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</si>
  <si>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</si>
  <si>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</si>
  <si>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</si>
  <si>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</si>
  <si>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</si>
  <si>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</si>
  <si>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</si>
  <si>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</si>
  <si>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</si>
  <si>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</si>
  <si>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</si>
  <si>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</si>
  <si>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</si>
  <si>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</si>
  <si>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</si>
  <si>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</si>
  <si>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</si>
  <si>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</si>
  <si>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</si>
  <si>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</si>
  <si>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</si>
  <si>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</si>
  <si>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</si>
  <si>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</si>
  <si>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</si>
  <si>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</si>
  <si>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</si>
  <si>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</si>
  <si>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</si>
  <si>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</si>
  <si>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</si>
  <si>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</si>
  <si>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</si>
  <si>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</si>
  <si>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</si>
  <si>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</si>
  <si>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</si>
  <si>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</si>
  <si>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</si>
  <si>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</si>
  <si>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</si>
  <si>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</si>
  <si>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</si>
  <si>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</si>
  <si>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</si>
  <si>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</si>
  <si>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</si>
  <si>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</si>
  <si>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</si>
  <si>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</si>
  <si>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</si>
  <si>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</si>
  <si>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</si>
  <si>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</si>
  <si>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</si>
  <si>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</si>
  <si>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</si>
  <si>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</si>
  <si>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</si>
  <si>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</si>
  <si>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</si>
  <si>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</si>
  <si>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</si>
  <si>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</si>
  <si>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</si>
  <si>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</si>
  <si>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</si>
  <si>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</si>
  <si>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</si>
  <si>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</si>
  <si>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</si>
  <si>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</si>
  <si>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</si>
  <si>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</si>
  <si>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</si>
  <si>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</si>
  <si>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</si>
  <si>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</si>
  <si>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</si>
  <si>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</si>
  <si>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</si>
  <si>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</si>
  <si>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</si>
  <si>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</si>
  <si>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</si>
  <si>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</si>
  <si>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</si>
  <si>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</si>
  <si>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</si>
  <si>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</si>
  <si>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</si>
  <si>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</si>
  <si>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</si>
  <si>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</si>
  <si>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</si>
  <si>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</si>
  <si>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</si>
  <si>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</si>
  <si>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</si>
  <si>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</si>
  <si>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</si>
  <si>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</si>
  <si>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</si>
  <si>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</si>
  <si>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</si>
  <si>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</si>
  <si>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</si>
  <si>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</si>
  <si>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</si>
  <si>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</si>
  <si>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</si>
  <si>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</si>
  <si>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</si>
  <si>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</si>
  <si>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</si>
  <si>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</si>
  <si>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</si>
  <si>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</si>
  <si>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</si>
  <si>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</si>
  <si>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</si>
  <si>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</si>
  <si>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</si>
  <si>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</si>
  <si>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</si>
  <si>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</si>
  <si>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</si>
  <si>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</si>
  <si>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</si>
  <si>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</si>
  <si>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</si>
  <si>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</si>
  <si>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</si>
  <si>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</si>
  <si>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</si>
  <si>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</si>
  <si>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</si>
  <si>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</si>
  <si>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</si>
  <si>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</si>
  <si>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</si>
  <si>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</si>
  <si>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</si>
  <si>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</si>
  <si>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</si>
  <si>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</si>
  <si>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</si>
  <si>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</si>
  <si>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</si>
  <si>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MAINE TOWNSHIP HIGH SCHOOL DISTRICT 207</t>
  </si>
  <si>
    <t>1177 SOUTH DEE ROAD</t>
  </si>
  <si>
    <t>PARK RIDGE</t>
  </si>
  <si>
    <t>MKALOU@MAINE207.ORG</t>
  </si>
  <si>
    <t>X</t>
  </si>
  <si>
    <t>DR. KENNETH WALLACE</t>
  </si>
  <si>
    <t>KWALLACE@MAINE207.ORG</t>
  </si>
  <si>
    <t>847-696-3254</t>
  </si>
  <si>
    <t>THOMAS AHLBECK</t>
  </si>
  <si>
    <t>TAHLBECK@AHLBECK.COM</t>
  </si>
  <si>
    <t>847-824-1812</t>
  </si>
  <si>
    <t>847-824-4012</t>
  </si>
  <si>
    <t>MAINE TOWNSHIP</t>
  </si>
  <si>
    <t>EDER, CASELLA &amp; CO.</t>
  </si>
  <si>
    <t>ANTHONY MICHELOTTI</t>
  </si>
  <si>
    <t>5400 WEST ELM STREET, SUITE 203</t>
  </si>
  <si>
    <t>MCHENRY</t>
  </si>
  <si>
    <t>IL</t>
  </si>
  <si>
    <t>814-344-1300</t>
  </si>
  <si>
    <t>815-344-1320</t>
  </si>
  <si>
    <t>066-005142</t>
  </si>
  <si>
    <t>CPAS@EDERCASELLA.COM</t>
  </si>
  <si>
    <t>Refunding Bonds - Series 2011</t>
  </si>
  <si>
    <t>Refunding Bonds - Series 2012</t>
  </si>
  <si>
    <t>GO Bonds - Series 2016A</t>
  </si>
  <si>
    <t>Refunding Bonds - Series 2016B</t>
  </si>
  <si>
    <t>None</t>
  </si>
  <si>
    <t>NA</t>
  </si>
  <si>
    <t>Unmodified</t>
  </si>
  <si>
    <t>Title I Grants to Local Educational Agencies</t>
  </si>
  <si>
    <t>Rehabilitation Services - Vocational Rehabilitation Grants to States</t>
  </si>
  <si>
    <t>US Department of Education passed through</t>
  </si>
  <si>
    <t xml:space="preserve">  Illinois State Board of Education</t>
  </si>
  <si>
    <t xml:space="preserve">    Title II - Teacher Quality</t>
  </si>
  <si>
    <t xml:space="preserve">    Title II - Teacher Quality **</t>
  </si>
  <si>
    <t xml:space="preserve">    Title III - LIPLEP</t>
  </si>
  <si>
    <t xml:space="preserve">    Title III - LIPLEP **</t>
  </si>
  <si>
    <t>** 8/31 Project Year</t>
  </si>
  <si>
    <t>*** 9/30 Project Year</t>
  </si>
  <si>
    <t>84.010A</t>
  </si>
  <si>
    <t>84.367A</t>
  </si>
  <si>
    <t>84.365A</t>
  </si>
  <si>
    <t>84.027A</t>
  </si>
  <si>
    <t>Education Fund</t>
  </si>
  <si>
    <t>R1719</t>
  </si>
  <si>
    <t>R1790</t>
  </si>
  <si>
    <t>R1829</t>
  </si>
  <si>
    <t>R1993</t>
  </si>
  <si>
    <t>R1999</t>
  </si>
  <si>
    <t>R3999</t>
  </si>
  <si>
    <t>R4999</t>
  </si>
  <si>
    <t>2490-100</t>
  </si>
  <si>
    <t>2490-200</t>
  </si>
  <si>
    <t>2900-300</t>
  </si>
  <si>
    <t>2190-100</t>
  </si>
  <si>
    <t>2190-200</t>
  </si>
  <si>
    <t>2900-400</t>
  </si>
  <si>
    <t>Debt Service Fund</t>
  </si>
  <si>
    <t>5400-300</t>
  </si>
  <si>
    <t>IMRF/SS Fund</t>
  </si>
  <si>
    <t>Payroll Benefits</t>
  </si>
  <si>
    <t>Bookstore Deposits</t>
  </si>
  <si>
    <t>Health Center Reimbursements</t>
  </si>
  <si>
    <t>WIA Revenue</t>
  </si>
  <si>
    <t>Clerical Salaries</t>
  </si>
  <si>
    <t>Clerical Payroll Benefits</t>
  </si>
  <si>
    <t>Administrator Salaries</t>
  </si>
  <si>
    <t>Administrator Payroll Benefits</t>
  </si>
  <si>
    <t>Health Services for Homeless Student</t>
  </si>
  <si>
    <t>Exam Registration Fees for MV Student</t>
  </si>
  <si>
    <t>Debt Service Fees</t>
  </si>
  <si>
    <t>Library fines, Bus passes, Parking stickers</t>
  </si>
  <si>
    <t>Athletic Admissions</t>
  </si>
  <si>
    <t>Health center service fees</t>
  </si>
  <si>
    <t>Secondary School Cooperative Risk Management Program</t>
  </si>
  <si>
    <t>Maine Township Treasurer</t>
  </si>
  <si>
    <t>District 62, District 63, District 64</t>
  </si>
  <si>
    <t>District 62</t>
  </si>
  <si>
    <t>North Suburban Educational Region for Vocational Education</t>
  </si>
  <si>
    <t>School Resource Officer - City of Des Plaines, City of Park Ridge</t>
  </si>
  <si>
    <t xml:space="preserve">    Title III - Immigrant Education Program</t>
  </si>
  <si>
    <t xml:space="preserve">    Title IVA Student Support &amp; Academic Enrich</t>
  </si>
  <si>
    <t>17-4300-00</t>
  </si>
  <si>
    <t>18-4300-00</t>
  </si>
  <si>
    <t>17-4909-00</t>
  </si>
  <si>
    <t>18-4909-00</t>
  </si>
  <si>
    <t>17-4935-00</t>
  </si>
  <si>
    <t>18-4932-00</t>
  </si>
  <si>
    <t>17-4625-00</t>
  </si>
  <si>
    <t>18-4625-00</t>
  </si>
  <si>
    <t>17-4620-00</t>
  </si>
  <si>
    <t>18-4620-00</t>
  </si>
  <si>
    <t xml:space="preserve">  North Suburban Educational Region for </t>
  </si>
  <si>
    <t xml:space="preserve">   Vocational Education</t>
  </si>
  <si>
    <t xml:space="preserve">     Perkins</t>
  </si>
  <si>
    <t xml:space="preserve">     Perkins **</t>
  </si>
  <si>
    <t>17-4745-00</t>
  </si>
  <si>
    <t>18-4745-00</t>
  </si>
  <si>
    <t xml:space="preserve">  Illinois Department of Human Services</t>
  </si>
  <si>
    <t>17-4950-00</t>
  </si>
  <si>
    <t>18-4950-00</t>
  </si>
  <si>
    <t>US Department of Health and Human Services</t>
  </si>
  <si>
    <t xml:space="preserve">  passed through the Illinois Department of </t>
  </si>
  <si>
    <t xml:space="preserve">  Healthcare and Family Services</t>
  </si>
  <si>
    <t>17-4999-00</t>
  </si>
  <si>
    <t xml:space="preserve">      Title XX - SHC - Social Services Block Grant </t>
  </si>
  <si>
    <t>17-4799-00</t>
  </si>
  <si>
    <t xml:space="preserve">      Title V - SHC - Maternal &amp; Child Health</t>
  </si>
  <si>
    <t>18-4999-00</t>
  </si>
  <si>
    <t xml:space="preserve">      Medicaid Administrative Outreach</t>
  </si>
  <si>
    <t>17-4991-00</t>
  </si>
  <si>
    <t>18-4991-00</t>
  </si>
  <si>
    <t>Total CFDA  "84"</t>
  </si>
  <si>
    <t>Total CFDA "93"</t>
  </si>
  <si>
    <t xml:space="preserve">US Department of Agriculture </t>
  </si>
  <si>
    <t xml:space="preserve">  passed through Illinois State Board of </t>
  </si>
  <si>
    <t xml:space="preserve">  Education</t>
  </si>
  <si>
    <t xml:space="preserve">     Special Milk Program</t>
  </si>
  <si>
    <t>17-4215-00</t>
  </si>
  <si>
    <t>18-4215-00</t>
  </si>
  <si>
    <t>US Department of Labor</t>
  </si>
  <si>
    <t xml:space="preserve">    WIA Youth Activities</t>
  </si>
  <si>
    <t>Total CFDA "10"</t>
  </si>
  <si>
    <t>Total CFDA "17"</t>
  </si>
  <si>
    <t>17-4505-00</t>
  </si>
  <si>
    <t>18-4505-00</t>
  </si>
  <si>
    <t>18-4905-00</t>
  </si>
  <si>
    <t>18-4400-00</t>
  </si>
  <si>
    <t xml:space="preserve">     Special Milk Program **</t>
  </si>
  <si>
    <t xml:space="preserve">    WIA Youth Activities **</t>
  </si>
  <si>
    <t xml:space="preserve">      Medicaid Administrative Outreach **</t>
  </si>
  <si>
    <t xml:space="preserve">      Title V - SHC - Maternal &amp; Child Health **</t>
  </si>
  <si>
    <t>Total Federal Assistance</t>
  </si>
  <si>
    <t>Capital Projects Fund</t>
  </si>
  <si>
    <t>Page 25, Line 10, Column K</t>
  </si>
  <si>
    <t>Driver's Education Fees</t>
  </si>
  <si>
    <t xml:space="preserve">Com Ed Energy Efficiency Program Incentives </t>
  </si>
  <si>
    <t xml:space="preserve">    Spec Education - IDEA - Flow Thru </t>
  </si>
  <si>
    <t xml:space="preserve">    Spec Education - IDEA - Flow Thru **</t>
  </si>
  <si>
    <t xml:space="preserve">    Spec Education - IDEA - Room &amp; Board </t>
  </si>
  <si>
    <t xml:space="preserve">    Spec Education - IDEA - Room &amp; Board **</t>
  </si>
  <si>
    <t xml:space="preserve">    Title I - Low Income (M)</t>
  </si>
  <si>
    <t xml:space="preserve">    Title I - Low Income  (M)**</t>
  </si>
  <si>
    <t xml:space="preserve">     Secondary Transitional Experience Program (M)</t>
  </si>
  <si>
    <t xml:space="preserve">     Secondary Transitional Experience Program (M)**</t>
  </si>
  <si>
    <t>Other Changes in Fund Balances</t>
  </si>
  <si>
    <t>Education Fund - adjustment for payable that was incorrectly recorded in the prior year</t>
  </si>
  <si>
    <t>IMRF/SS Fund - adjustment for payable that was incorrectly recorded in the prior year</t>
  </si>
  <si>
    <r>
      <t xml:space="preserve">The accompanying Schedule of Expenditures of Federal Awards includes the federal grant activity of </t>
    </r>
    <r>
      <rPr>
        <b/>
        <sz val="9"/>
        <rFont val="Calibri"/>
        <family val="2"/>
        <scheme val="minor"/>
      </rPr>
      <t>MAINE TOWNSHIP HIGH SCHOOL DISTRICT NO. 207</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</si>
  <si>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MAINE TOWNSHIP HIGH SCHOOL DISTRICT NO. 207</t>
    </r>
    <r>
      <rPr>
        <sz val="9"/>
        <rFont val="Calibri"/>
        <family val="2"/>
        <scheme val="minor"/>
      </rPr>
      <t xml:space="preserve"> provided federal awards to subrecipients as follows:</t>
    </r>
  </si>
  <si>
    <t>UNMODIFIED</t>
  </si>
  <si>
    <t>Education - Instruction - Purchased Services</t>
  </si>
  <si>
    <t>Education - Instruction - Supplies</t>
  </si>
  <si>
    <t>10-1000-300</t>
  </si>
  <si>
    <t>10-1000-400</t>
  </si>
  <si>
    <t>Document Technologies</t>
  </si>
  <si>
    <t>Floodlight Design</t>
  </si>
  <si>
    <t>Tableau Software</t>
  </si>
  <si>
    <t>847-696-3600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</si>
</sst>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1" fillId="0" borderId="22" xfId="3" quotePrefix="1" applyNumberFormat="1" applyFont="1" applyBorder="1" applyAlignment="1" applyProtection="1">
      <alignment horizontal="left" vertical="center" wrapText="1"/>
      <protection locked="0"/>
    </xf>
    <xf numFmtId="164" fontId="56" fillId="0" borderId="0" xfId="0" applyNumberFormat="1" applyFont="1" applyFill="1"/>
    <xf numFmtId="3"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860">
    <cellStyle name="1" xfId="27" xr:uid="{00000000-0005-0000-0000-000000000000}"/>
    <cellStyle name="10" xfId="28" xr:uid="{00000000-0005-0000-0000-000001000000}"/>
    <cellStyle name="12" xfId="26" xr:uid="{00000000-0005-0000-0000-000002000000}"/>
    <cellStyle name="12 10" xfId="250" xr:uid="{00000000-0005-0000-0000-000003000000}"/>
    <cellStyle name="12 11" xfId="251" xr:uid="{00000000-0005-0000-0000-000004000000}"/>
    <cellStyle name="12 12" xfId="252" xr:uid="{00000000-0005-0000-0000-000005000000}"/>
    <cellStyle name="12 13" xfId="253" xr:uid="{00000000-0005-0000-0000-000006000000}"/>
    <cellStyle name="12 14" xfId="254" xr:uid="{00000000-0005-0000-0000-000007000000}"/>
    <cellStyle name="12 15" xfId="255" xr:uid="{00000000-0005-0000-0000-000008000000}"/>
    <cellStyle name="12 16" xfId="256" xr:uid="{00000000-0005-0000-0000-000009000000}"/>
    <cellStyle name="12 17" xfId="257" xr:uid="{00000000-0005-0000-0000-00000A000000}"/>
    <cellStyle name="12 18" xfId="258" xr:uid="{00000000-0005-0000-0000-00000B000000}"/>
    <cellStyle name="12 19" xfId="259" xr:uid="{00000000-0005-0000-0000-00000C000000}"/>
    <cellStyle name="12 2" xfId="29" xr:uid="{00000000-0005-0000-0000-00000D000000}"/>
    <cellStyle name="12 20" xfId="260" xr:uid="{00000000-0005-0000-0000-00000E000000}"/>
    <cellStyle name="12 21" xfId="261" xr:uid="{00000000-0005-0000-0000-00000F000000}"/>
    <cellStyle name="12 22" xfId="262" xr:uid="{00000000-0005-0000-0000-000010000000}"/>
    <cellStyle name="12 23" xfId="263" xr:uid="{00000000-0005-0000-0000-000011000000}"/>
    <cellStyle name="12 24" xfId="264" xr:uid="{00000000-0005-0000-0000-000012000000}"/>
    <cellStyle name="12 25" xfId="265" xr:uid="{00000000-0005-0000-0000-000013000000}"/>
    <cellStyle name="12 26" xfId="266" xr:uid="{00000000-0005-0000-0000-000014000000}"/>
    <cellStyle name="12 27" xfId="267" xr:uid="{00000000-0005-0000-0000-000015000000}"/>
    <cellStyle name="12 28" xfId="268" xr:uid="{00000000-0005-0000-0000-000016000000}"/>
    <cellStyle name="12 29" xfId="269" xr:uid="{00000000-0005-0000-0000-000017000000}"/>
    <cellStyle name="12 3" xfId="31" xr:uid="{00000000-0005-0000-0000-000018000000}"/>
    <cellStyle name="12 30" xfId="270" xr:uid="{00000000-0005-0000-0000-000019000000}"/>
    <cellStyle name="12 31" xfId="271" xr:uid="{00000000-0005-0000-0000-00001A000000}"/>
    <cellStyle name="12 32" xfId="272" xr:uid="{00000000-0005-0000-0000-00001B000000}"/>
    <cellStyle name="12 33" xfId="273" xr:uid="{00000000-0005-0000-0000-00001C000000}"/>
    <cellStyle name="12 34" xfId="274" xr:uid="{00000000-0005-0000-0000-00001D000000}"/>
    <cellStyle name="12 35" xfId="275" xr:uid="{00000000-0005-0000-0000-00001E000000}"/>
    <cellStyle name="12 36" xfId="276" xr:uid="{00000000-0005-0000-0000-00001F000000}"/>
    <cellStyle name="12 37" xfId="277" xr:uid="{00000000-0005-0000-0000-000020000000}"/>
    <cellStyle name="12 38" xfId="278" xr:uid="{00000000-0005-0000-0000-000021000000}"/>
    <cellStyle name="12 4" xfId="32" xr:uid="{00000000-0005-0000-0000-000022000000}"/>
    <cellStyle name="12 5" xfId="33" xr:uid="{00000000-0005-0000-0000-000023000000}"/>
    <cellStyle name="12 6" xfId="34" xr:uid="{00000000-0005-0000-0000-000024000000}"/>
    <cellStyle name="12 7" xfId="35" xr:uid="{00000000-0005-0000-0000-000025000000}"/>
    <cellStyle name="12 8" xfId="36" xr:uid="{00000000-0005-0000-0000-000026000000}"/>
    <cellStyle name="12 9" xfId="39" xr:uid="{00000000-0005-0000-0000-000027000000}"/>
    <cellStyle name="12 9 2" xfId="280" xr:uid="{00000000-0005-0000-0000-000028000000}"/>
    <cellStyle name="12 9 3" xfId="279" xr:uid="{00000000-0005-0000-0000-000029000000}"/>
    <cellStyle name="2" xfId="37" xr:uid="{00000000-0005-0000-0000-00002A000000}"/>
    <cellStyle name="20% - Accent1 10 2" xfId="281" xr:uid="{00000000-0005-0000-0000-00002B000000}"/>
    <cellStyle name="20% - Accent1 10 3" xfId="282" xr:uid="{00000000-0005-0000-0000-00002C000000}"/>
    <cellStyle name="20% - Accent1 10 4" xfId="283" xr:uid="{00000000-0005-0000-0000-00002D000000}"/>
    <cellStyle name="20% - Accent1 10 5" xfId="284" xr:uid="{00000000-0005-0000-0000-00002E000000}"/>
    <cellStyle name="20% - Accent1 10 6" xfId="285" xr:uid="{00000000-0005-0000-0000-00002F000000}"/>
    <cellStyle name="20% - Accent1 11 2" xfId="286" xr:uid="{00000000-0005-0000-0000-000030000000}"/>
    <cellStyle name="20% - Accent1 11 3" xfId="287" xr:uid="{00000000-0005-0000-0000-000031000000}"/>
    <cellStyle name="20% - Accent1 11 4" xfId="288" xr:uid="{00000000-0005-0000-0000-000032000000}"/>
    <cellStyle name="20% - Accent1 11 5" xfId="289" xr:uid="{00000000-0005-0000-0000-000033000000}"/>
    <cellStyle name="20% - Accent1 11 6" xfId="290" xr:uid="{00000000-0005-0000-0000-000034000000}"/>
    <cellStyle name="20% - Accent1 2" xfId="291" xr:uid="{00000000-0005-0000-0000-000035000000}"/>
    <cellStyle name="20% - Accent1 2 2" xfId="292" xr:uid="{00000000-0005-0000-0000-000036000000}"/>
    <cellStyle name="20% - Accent1 2 3" xfId="293" xr:uid="{00000000-0005-0000-0000-000037000000}"/>
    <cellStyle name="20% - Accent1 2 4" xfId="294" xr:uid="{00000000-0005-0000-0000-000038000000}"/>
    <cellStyle name="20% - Accent1 2 5" xfId="295" xr:uid="{00000000-0005-0000-0000-000039000000}"/>
    <cellStyle name="20% - Accent1 2 6" xfId="296" xr:uid="{00000000-0005-0000-0000-00003A000000}"/>
    <cellStyle name="20% - Accent1 3" xfId="297" xr:uid="{00000000-0005-0000-0000-00003B000000}"/>
    <cellStyle name="20% - Accent1 3 2" xfId="298" xr:uid="{00000000-0005-0000-0000-00003C000000}"/>
    <cellStyle name="20% - Accent1 3 3" xfId="299" xr:uid="{00000000-0005-0000-0000-00003D000000}"/>
    <cellStyle name="20% - Accent1 3 4" xfId="300" xr:uid="{00000000-0005-0000-0000-00003E000000}"/>
    <cellStyle name="20% - Accent1 3 5" xfId="301" xr:uid="{00000000-0005-0000-0000-00003F000000}"/>
    <cellStyle name="20% - Accent1 3 6" xfId="302" xr:uid="{00000000-0005-0000-0000-000040000000}"/>
    <cellStyle name="20% - Accent1 4 2" xfId="303" xr:uid="{00000000-0005-0000-0000-000041000000}"/>
    <cellStyle name="20% - Accent1 4 3" xfId="304" xr:uid="{00000000-0005-0000-0000-000042000000}"/>
    <cellStyle name="20% - Accent1 4 4" xfId="305" xr:uid="{00000000-0005-0000-0000-000043000000}"/>
    <cellStyle name="20% - Accent1 4 5" xfId="306" xr:uid="{00000000-0005-0000-0000-000044000000}"/>
    <cellStyle name="20% - Accent1 4 6" xfId="307" xr:uid="{00000000-0005-0000-0000-000045000000}"/>
    <cellStyle name="20% - Accent1 5 2" xfId="308" xr:uid="{00000000-0005-0000-0000-000046000000}"/>
    <cellStyle name="20% - Accent1 5 3" xfId="309" xr:uid="{00000000-0005-0000-0000-000047000000}"/>
    <cellStyle name="20% - Accent1 5 4" xfId="310" xr:uid="{00000000-0005-0000-0000-000048000000}"/>
    <cellStyle name="20% - Accent1 5 5" xfId="311" xr:uid="{00000000-0005-0000-0000-000049000000}"/>
    <cellStyle name="20% - Accent1 5 6" xfId="312" xr:uid="{00000000-0005-0000-0000-00004A000000}"/>
    <cellStyle name="20% - Accent1 6 2" xfId="313" xr:uid="{00000000-0005-0000-0000-00004B000000}"/>
    <cellStyle name="20% - Accent1 6 3" xfId="314" xr:uid="{00000000-0005-0000-0000-00004C000000}"/>
    <cellStyle name="20% - Accent1 6 4" xfId="315" xr:uid="{00000000-0005-0000-0000-00004D000000}"/>
    <cellStyle name="20% - Accent1 6 5" xfId="316" xr:uid="{00000000-0005-0000-0000-00004E000000}"/>
    <cellStyle name="20% - Accent1 6 6" xfId="317" xr:uid="{00000000-0005-0000-0000-00004F000000}"/>
    <cellStyle name="20% - Accent1 7 2" xfId="318" xr:uid="{00000000-0005-0000-0000-000050000000}"/>
    <cellStyle name="20% - Accent1 7 3" xfId="319" xr:uid="{00000000-0005-0000-0000-000051000000}"/>
    <cellStyle name="20% - Accent1 7 4" xfId="320" xr:uid="{00000000-0005-0000-0000-000052000000}"/>
    <cellStyle name="20% - Accent1 7 5" xfId="321" xr:uid="{00000000-0005-0000-0000-000053000000}"/>
    <cellStyle name="20% - Accent1 7 6" xfId="322" xr:uid="{00000000-0005-0000-0000-000054000000}"/>
    <cellStyle name="20% - Accent1 8 2" xfId="323" xr:uid="{00000000-0005-0000-0000-000055000000}"/>
    <cellStyle name="20% - Accent1 8 3" xfId="324" xr:uid="{00000000-0005-0000-0000-000056000000}"/>
    <cellStyle name="20% - Accent1 8 4" xfId="325" xr:uid="{00000000-0005-0000-0000-000057000000}"/>
    <cellStyle name="20% - Accent1 8 5" xfId="326" xr:uid="{00000000-0005-0000-0000-000058000000}"/>
    <cellStyle name="20% - Accent1 8 6" xfId="327" xr:uid="{00000000-0005-0000-0000-000059000000}"/>
    <cellStyle name="20% - Accent1 9 2" xfId="328" xr:uid="{00000000-0005-0000-0000-00005A000000}"/>
    <cellStyle name="20% - Accent1 9 3" xfId="329" xr:uid="{00000000-0005-0000-0000-00005B000000}"/>
    <cellStyle name="20% - Accent1 9 4" xfId="330" xr:uid="{00000000-0005-0000-0000-00005C000000}"/>
    <cellStyle name="20% - Accent1 9 5" xfId="331" xr:uid="{00000000-0005-0000-0000-00005D000000}"/>
    <cellStyle name="20% - Accent1 9 6" xfId="332" xr:uid="{00000000-0005-0000-0000-00005E000000}"/>
    <cellStyle name="20% - Accent2 10 2" xfId="333" xr:uid="{00000000-0005-0000-0000-00005F000000}"/>
    <cellStyle name="20% - Accent2 10 3" xfId="334" xr:uid="{00000000-0005-0000-0000-000060000000}"/>
    <cellStyle name="20% - Accent2 10 4" xfId="335" xr:uid="{00000000-0005-0000-0000-000061000000}"/>
    <cellStyle name="20% - Accent2 10 5" xfId="336" xr:uid="{00000000-0005-0000-0000-000062000000}"/>
    <cellStyle name="20% - Accent2 10 6" xfId="337" xr:uid="{00000000-0005-0000-0000-000063000000}"/>
    <cellStyle name="20% - Accent2 11 2" xfId="338" xr:uid="{00000000-0005-0000-0000-000064000000}"/>
    <cellStyle name="20% - Accent2 11 3" xfId="339" xr:uid="{00000000-0005-0000-0000-000065000000}"/>
    <cellStyle name="20% - Accent2 11 4" xfId="340" xr:uid="{00000000-0005-0000-0000-000066000000}"/>
    <cellStyle name="20% - Accent2 11 5" xfId="341" xr:uid="{00000000-0005-0000-0000-000067000000}"/>
    <cellStyle name="20% - Accent2 11 6" xfId="342" xr:uid="{00000000-0005-0000-0000-000068000000}"/>
    <cellStyle name="20% - Accent2 2" xfId="343" xr:uid="{00000000-0005-0000-0000-000069000000}"/>
    <cellStyle name="20% - Accent2 2 2" xfId="344" xr:uid="{00000000-0005-0000-0000-00006A000000}"/>
    <cellStyle name="20% - Accent2 2 3" xfId="345" xr:uid="{00000000-0005-0000-0000-00006B000000}"/>
    <cellStyle name="20% - Accent2 2 4" xfId="346" xr:uid="{00000000-0005-0000-0000-00006C000000}"/>
    <cellStyle name="20% - Accent2 2 5" xfId="347" xr:uid="{00000000-0005-0000-0000-00006D000000}"/>
    <cellStyle name="20% - Accent2 2 6" xfId="348" xr:uid="{00000000-0005-0000-0000-00006E000000}"/>
    <cellStyle name="20% - Accent2 3" xfId="349" xr:uid="{00000000-0005-0000-0000-00006F000000}"/>
    <cellStyle name="20% - Accent2 3 2" xfId="350" xr:uid="{00000000-0005-0000-0000-000070000000}"/>
    <cellStyle name="20% - Accent2 3 3" xfId="351" xr:uid="{00000000-0005-0000-0000-000071000000}"/>
    <cellStyle name="20% - Accent2 3 4" xfId="352" xr:uid="{00000000-0005-0000-0000-000072000000}"/>
    <cellStyle name="20% - Accent2 3 5" xfId="353" xr:uid="{00000000-0005-0000-0000-000073000000}"/>
    <cellStyle name="20% - Accent2 3 6" xfId="354" xr:uid="{00000000-0005-0000-0000-000074000000}"/>
    <cellStyle name="20% - Accent2 4 2" xfId="355" xr:uid="{00000000-0005-0000-0000-000075000000}"/>
    <cellStyle name="20% - Accent2 4 3" xfId="356" xr:uid="{00000000-0005-0000-0000-000076000000}"/>
    <cellStyle name="20% - Accent2 4 4" xfId="357" xr:uid="{00000000-0005-0000-0000-000077000000}"/>
    <cellStyle name="20% - Accent2 4 5" xfId="358" xr:uid="{00000000-0005-0000-0000-000078000000}"/>
    <cellStyle name="20% - Accent2 4 6" xfId="359" xr:uid="{00000000-0005-0000-0000-000079000000}"/>
    <cellStyle name="20% - Accent2 5 2" xfId="360" xr:uid="{00000000-0005-0000-0000-00007A000000}"/>
    <cellStyle name="20% - Accent2 5 3" xfId="361" xr:uid="{00000000-0005-0000-0000-00007B000000}"/>
    <cellStyle name="20% - Accent2 5 4" xfId="362" xr:uid="{00000000-0005-0000-0000-00007C000000}"/>
    <cellStyle name="20% - Accent2 5 5" xfId="363" xr:uid="{00000000-0005-0000-0000-00007D000000}"/>
    <cellStyle name="20% - Accent2 5 6" xfId="364" xr:uid="{00000000-0005-0000-0000-00007E000000}"/>
    <cellStyle name="20% - Accent2 6 2" xfId="365" xr:uid="{00000000-0005-0000-0000-00007F000000}"/>
    <cellStyle name="20% - Accent2 6 3" xfId="366" xr:uid="{00000000-0005-0000-0000-000080000000}"/>
    <cellStyle name="20% - Accent2 6 4" xfId="367" xr:uid="{00000000-0005-0000-0000-000081000000}"/>
    <cellStyle name="20% - Accent2 6 5" xfId="368" xr:uid="{00000000-0005-0000-0000-000082000000}"/>
    <cellStyle name="20% - Accent2 6 6" xfId="369" xr:uid="{00000000-0005-0000-0000-000083000000}"/>
    <cellStyle name="20% - Accent2 7 2" xfId="370" xr:uid="{00000000-0005-0000-0000-000084000000}"/>
    <cellStyle name="20% - Accent2 7 3" xfId="371" xr:uid="{00000000-0005-0000-0000-000085000000}"/>
    <cellStyle name="20% - Accent2 7 4" xfId="372" xr:uid="{00000000-0005-0000-0000-000086000000}"/>
    <cellStyle name="20% - Accent2 7 5" xfId="373" xr:uid="{00000000-0005-0000-0000-000087000000}"/>
    <cellStyle name="20% - Accent2 7 6" xfId="374" xr:uid="{00000000-0005-0000-0000-000088000000}"/>
    <cellStyle name="20% - Accent2 8 2" xfId="375" xr:uid="{00000000-0005-0000-0000-000089000000}"/>
    <cellStyle name="20% - Accent2 8 3" xfId="376" xr:uid="{00000000-0005-0000-0000-00008A000000}"/>
    <cellStyle name="20% - Accent2 8 4" xfId="377" xr:uid="{00000000-0005-0000-0000-00008B000000}"/>
    <cellStyle name="20% - Accent2 8 5" xfId="378" xr:uid="{00000000-0005-0000-0000-00008C000000}"/>
    <cellStyle name="20% - Accent2 8 6" xfId="379" xr:uid="{00000000-0005-0000-0000-00008D000000}"/>
    <cellStyle name="20% - Accent2 9 2" xfId="380" xr:uid="{00000000-0005-0000-0000-00008E000000}"/>
    <cellStyle name="20% - Accent2 9 3" xfId="381" xr:uid="{00000000-0005-0000-0000-00008F000000}"/>
    <cellStyle name="20% - Accent2 9 4" xfId="382" xr:uid="{00000000-0005-0000-0000-000090000000}"/>
    <cellStyle name="20% - Accent2 9 5" xfId="383" xr:uid="{00000000-0005-0000-0000-000091000000}"/>
    <cellStyle name="20% - Accent2 9 6" xfId="384" xr:uid="{00000000-0005-0000-0000-000092000000}"/>
    <cellStyle name="20% - Accent3 10 2" xfId="385" xr:uid="{00000000-0005-0000-0000-000093000000}"/>
    <cellStyle name="20% - Accent3 10 3" xfId="386" xr:uid="{00000000-0005-0000-0000-000094000000}"/>
    <cellStyle name="20% - Accent3 10 4" xfId="387" xr:uid="{00000000-0005-0000-0000-000095000000}"/>
    <cellStyle name="20% - Accent3 10 5" xfId="388" xr:uid="{00000000-0005-0000-0000-000096000000}"/>
    <cellStyle name="20% - Accent3 10 6" xfId="389" xr:uid="{00000000-0005-0000-0000-000097000000}"/>
    <cellStyle name="20% - Accent3 11 2" xfId="390" xr:uid="{00000000-0005-0000-0000-000098000000}"/>
    <cellStyle name="20% - Accent3 11 3" xfId="391" xr:uid="{00000000-0005-0000-0000-000099000000}"/>
    <cellStyle name="20% - Accent3 11 4" xfId="392" xr:uid="{00000000-0005-0000-0000-00009A000000}"/>
    <cellStyle name="20% - Accent3 11 5" xfId="393" xr:uid="{00000000-0005-0000-0000-00009B000000}"/>
    <cellStyle name="20% - Accent3 11 6" xfId="394" xr:uid="{00000000-0005-0000-0000-00009C000000}"/>
    <cellStyle name="20% - Accent3 2" xfId="395" xr:uid="{00000000-0005-0000-0000-00009D000000}"/>
    <cellStyle name="20% - Accent3 2 2" xfId="396" xr:uid="{00000000-0005-0000-0000-00009E000000}"/>
    <cellStyle name="20% - Accent3 2 3" xfId="397" xr:uid="{00000000-0005-0000-0000-00009F000000}"/>
    <cellStyle name="20% - Accent3 2 4" xfId="398" xr:uid="{00000000-0005-0000-0000-0000A0000000}"/>
    <cellStyle name="20% - Accent3 2 5" xfId="399" xr:uid="{00000000-0005-0000-0000-0000A1000000}"/>
    <cellStyle name="20% - Accent3 2 6" xfId="400" xr:uid="{00000000-0005-0000-0000-0000A2000000}"/>
    <cellStyle name="20% - Accent3 3" xfId="401" xr:uid="{00000000-0005-0000-0000-0000A3000000}"/>
    <cellStyle name="20% - Accent3 3 2" xfId="402" xr:uid="{00000000-0005-0000-0000-0000A4000000}"/>
    <cellStyle name="20% - Accent3 3 3" xfId="403" xr:uid="{00000000-0005-0000-0000-0000A5000000}"/>
    <cellStyle name="20% - Accent3 3 4" xfId="404" xr:uid="{00000000-0005-0000-0000-0000A6000000}"/>
    <cellStyle name="20% - Accent3 3 5" xfId="405" xr:uid="{00000000-0005-0000-0000-0000A7000000}"/>
    <cellStyle name="20% - Accent3 3 6" xfId="406" xr:uid="{00000000-0005-0000-0000-0000A8000000}"/>
    <cellStyle name="20% - Accent3 4 2" xfId="407" xr:uid="{00000000-0005-0000-0000-0000A9000000}"/>
    <cellStyle name="20% - Accent3 4 3" xfId="408" xr:uid="{00000000-0005-0000-0000-0000AA000000}"/>
    <cellStyle name="20% - Accent3 4 4" xfId="409" xr:uid="{00000000-0005-0000-0000-0000AB000000}"/>
    <cellStyle name="20% - Accent3 4 5" xfId="410" xr:uid="{00000000-0005-0000-0000-0000AC000000}"/>
    <cellStyle name="20% - Accent3 4 6" xfId="411" xr:uid="{00000000-0005-0000-0000-0000AD000000}"/>
    <cellStyle name="20% - Accent3 5 2" xfId="412" xr:uid="{00000000-0005-0000-0000-0000AE000000}"/>
    <cellStyle name="20% - Accent3 5 3" xfId="413" xr:uid="{00000000-0005-0000-0000-0000AF000000}"/>
    <cellStyle name="20% - Accent3 5 4" xfId="414" xr:uid="{00000000-0005-0000-0000-0000B0000000}"/>
    <cellStyle name="20% - Accent3 5 5" xfId="415" xr:uid="{00000000-0005-0000-0000-0000B1000000}"/>
    <cellStyle name="20% - Accent3 5 6" xfId="416" xr:uid="{00000000-0005-0000-0000-0000B2000000}"/>
    <cellStyle name="20% - Accent3 6 2" xfId="417" xr:uid="{00000000-0005-0000-0000-0000B3000000}"/>
    <cellStyle name="20% - Accent3 6 3" xfId="418" xr:uid="{00000000-0005-0000-0000-0000B4000000}"/>
    <cellStyle name="20% - Accent3 6 4" xfId="419" xr:uid="{00000000-0005-0000-0000-0000B5000000}"/>
    <cellStyle name="20% - Accent3 6 5" xfId="420" xr:uid="{00000000-0005-0000-0000-0000B6000000}"/>
    <cellStyle name="20% - Accent3 6 6" xfId="421" xr:uid="{00000000-0005-0000-0000-0000B7000000}"/>
    <cellStyle name="20% - Accent3 7 2" xfId="422" xr:uid="{00000000-0005-0000-0000-0000B8000000}"/>
    <cellStyle name="20% - Accent3 7 3" xfId="423" xr:uid="{00000000-0005-0000-0000-0000B9000000}"/>
    <cellStyle name="20% - Accent3 7 4" xfId="424" xr:uid="{00000000-0005-0000-0000-0000BA000000}"/>
    <cellStyle name="20% - Accent3 7 5" xfId="425" xr:uid="{00000000-0005-0000-0000-0000BB000000}"/>
    <cellStyle name="20% - Accent3 7 6" xfId="426" xr:uid="{00000000-0005-0000-0000-0000BC000000}"/>
    <cellStyle name="20% - Accent3 8 2" xfId="427" xr:uid="{00000000-0005-0000-0000-0000BD000000}"/>
    <cellStyle name="20% - Accent3 8 3" xfId="428" xr:uid="{00000000-0005-0000-0000-0000BE000000}"/>
    <cellStyle name="20% - Accent3 8 4" xfId="429" xr:uid="{00000000-0005-0000-0000-0000BF000000}"/>
    <cellStyle name="20% - Accent3 8 5" xfId="430" xr:uid="{00000000-0005-0000-0000-0000C0000000}"/>
    <cellStyle name="20% - Accent3 8 6" xfId="431" xr:uid="{00000000-0005-0000-0000-0000C1000000}"/>
    <cellStyle name="20% - Accent3 9 2" xfId="432" xr:uid="{00000000-0005-0000-0000-0000C2000000}"/>
    <cellStyle name="20% - Accent3 9 3" xfId="433" xr:uid="{00000000-0005-0000-0000-0000C3000000}"/>
    <cellStyle name="20% - Accent3 9 4" xfId="434" xr:uid="{00000000-0005-0000-0000-0000C4000000}"/>
    <cellStyle name="20% - Accent3 9 5" xfId="435" xr:uid="{00000000-0005-0000-0000-0000C5000000}"/>
    <cellStyle name="20% - Accent3 9 6" xfId="436" xr:uid="{00000000-0005-0000-0000-0000C6000000}"/>
    <cellStyle name="20% - Accent4 10 2" xfId="437" xr:uid="{00000000-0005-0000-0000-0000C7000000}"/>
    <cellStyle name="20% - Accent4 10 3" xfId="438" xr:uid="{00000000-0005-0000-0000-0000C8000000}"/>
    <cellStyle name="20% - Accent4 10 4" xfId="439" xr:uid="{00000000-0005-0000-0000-0000C9000000}"/>
    <cellStyle name="20% - Accent4 10 5" xfId="440" xr:uid="{00000000-0005-0000-0000-0000CA000000}"/>
    <cellStyle name="20% - Accent4 10 6" xfId="441" xr:uid="{00000000-0005-0000-0000-0000CB000000}"/>
    <cellStyle name="20% - Accent4 11 2" xfId="442" xr:uid="{00000000-0005-0000-0000-0000CC000000}"/>
    <cellStyle name="20% - Accent4 11 3" xfId="443" xr:uid="{00000000-0005-0000-0000-0000CD000000}"/>
    <cellStyle name="20% - Accent4 11 4" xfId="444" xr:uid="{00000000-0005-0000-0000-0000CE000000}"/>
    <cellStyle name="20% - Accent4 11 5" xfId="445" xr:uid="{00000000-0005-0000-0000-0000CF000000}"/>
    <cellStyle name="20% - Accent4 11 6" xfId="446" xr:uid="{00000000-0005-0000-0000-0000D0000000}"/>
    <cellStyle name="20% - Accent4 2" xfId="447" xr:uid="{00000000-0005-0000-0000-0000D1000000}"/>
    <cellStyle name="20% - Accent4 2 2" xfId="448" xr:uid="{00000000-0005-0000-0000-0000D2000000}"/>
    <cellStyle name="20% - Accent4 2 3" xfId="449" xr:uid="{00000000-0005-0000-0000-0000D3000000}"/>
    <cellStyle name="20% - Accent4 2 4" xfId="450" xr:uid="{00000000-0005-0000-0000-0000D4000000}"/>
    <cellStyle name="20% - Accent4 2 5" xfId="451" xr:uid="{00000000-0005-0000-0000-0000D5000000}"/>
    <cellStyle name="20% - Accent4 2 6" xfId="452" xr:uid="{00000000-0005-0000-0000-0000D6000000}"/>
    <cellStyle name="20% - Accent4 3" xfId="453" xr:uid="{00000000-0005-0000-0000-0000D7000000}"/>
    <cellStyle name="20% - Accent4 3 2" xfId="454" xr:uid="{00000000-0005-0000-0000-0000D8000000}"/>
    <cellStyle name="20% - Accent4 3 3" xfId="455" xr:uid="{00000000-0005-0000-0000-0000D9000000}"/>
    <cellStyle name="20% - Accent4 3 4" xfId="456" xr:uid="{00000000-0005-0000-0000-0000DA000000}"/>
    <cellStyle name="20% - Accent4 3 5" xfId="457" xr:uid="{00000000-0005-0000-0000-0000DB000000}"/>
    <cellStyle name="20% - Accent4 3 6" xfId="458" xr:uid="{00000000-0005-0000-0000-0000DC000000}"/>
    <cellStyle name="20% - Accent4 4 2" xfId="459" xr:uid="{00000000-0005-0000-0000-0000DD000000}"/>
    <cellStyle name="20% - Accent4 4 3" xfId="460" xr:uid="{00000000-0005-0000-0000-0000DE000000}"/>
    <cellStyle name="20% - Accent4 4 4" xfId="461" xr:uid="{00000000-0005-0000-0000-0000DF000000}"/>
    <cellStyle name="20% - Accent4 4 5" xfId="462" xr:uid="{00000000-0005-0000-0000-0000E0000000}"/>
    <cellStyle name="20% - Accent4 4 6" xfId="463" xr:uid="{00000000-0005-0000-0000-0000E1000000}"/>
    <cellStyle name="20% - Accent4 5 2" xfId="464" xr:uid="{00000000-0005-0000-0000-0000E2000000}"/>
    <cellStyle name="20% - Accent4 5 3" xfId="465" xr:uid="{00000000-0005-0000-0000-0000E3000000}"/>
    <cellStyle name="20% - Accent4 5 4" xfId="466" xr:uid="{00000000-0005-0000-0000-0000E4000000}"/>
    <cellStyle name="20% - Accent4 5 5" xfId="467" xr:uid="{00000000-0005-0000-0000-0000E5000000}"/>
    <cellStyle name="20% - Accent4 5 6" xfId="468" xr:uid="{00000000-0005-0000-0000-0000E6000000}"/>
    <cellStyle name="20% - Accent4 6 2" xfId="469" xr:uid="{00000000-0005-0000-0000-0000E7000000}"/>
    <cellStyle name="20% - Accent4 6 3" xfId="470" xr:uid="{00000000-0005-0000-0000-0000E8000000}"/>
    <cellStyle name="20% - Accent4 6 4" xfId="471" xr:uid="{00000000-0005-0000-0000-0000E9000000}"/>
    <cellStyle name="20% - Accent4 6 5" xfId="472" xr:uid="{00000000-0005-0000-0000-0000EA000000}"/>
    <cellStyle name="20% - Accent4 6 6" xfId="473" xr:uid="{00000000-0005-0000-0000-0000EB000000}"/>
    <cellStyle name="20% - Accent4 7 2" xfId="474" xr:uid="{00000000-0005-0000-0000-0000EC000000}"/>
    <cellStyle name="20% - Accent4 7 3" xfId="475" xr:uid="{00000000-0005-0000-0000-0000ED000000}"/>
    <cellStyle name="20% - Accent4 7 4" xfId="476" xr:uid="{00000000-0005-0000-0000-0000EE000000}"/>
    <cellStyle name="20% - Accent4 7 5" xfId="477" xr:uid="{00000000-0005-0000-0000-0000EF000000}"/>
    <cellStyle name="20% - Accent4 7 6" xfId="478" xr:uid="{00000000-0005-0000-0000-0000F0000000}"/>
    <cellStyle name="20% - Accent4 8 2" xfId="479" xr:uid="{00000000-0005-0000-0000-0000F1000000}"/>
    <cellStyle name="20% - Accent4 8 3" xfId="480" xr:uid="{00000000-0005-0000-0000-0000F2000000}"/>
    <cellStyle name="20% - Accent4 8 4" xfId="481" xr:uid="{00000000-0005-0000-0000-0000F3000000}"/>
    <cellStyle name="20% - Accent4 8 5" xfId="482" xr:uid="{00000000-0005-0000-0000-0000F4000000}"/>
    <cellStyle name="20% - Accent4 8 6" xfId="483" xr:uid="{00000000-0005-0000-0000-0000F5000000}"/>
    <cellStyle name="20% - Accent4 9 2" xfId="484" xr:uid="{00000000-0005-0000-0000-0000F6000000}"/>
    <cellStyle name="20% - Accent4 9 3" xfId="485" xr:uid="{00000000-0005-0000-0000-0000F7000000}"/>
    <cellStyle name="20% - Accent4 9 4" xfId="486" xr:uid="{00000000-0005-0000-0000-0000F8000000}"/>
    <cellStyle name="20% - Accent4 9 5" xfId="487" xr:uid="{00000000-0005-0000-0000-0000F9000000}"/>
    <cellStyle name="20% - Accent4 9 6" xfId="488" xr:uid="{00000000-0005-0000-0000-0000FA000000}"/>
    <cellStyle name="20% - Accent5 10 2" xfId="489" xr:uid="{00000000-0005-0000-0000-0000FB000000}"/>
    <cellStyle name="20% - Accent5 10 3" xfId="490" xr:uid="{00000000-0005-0000-0000-0000FC000000}"/>
    <cellStyle name="20% - Accent5 10 4" xfId="491" xr:uid="{00000000-0005-0000-0000-0000FD000000}"/>
    <cellStyle name="20% - Accent5 10 5" xfId="492" xr:uid="{00000000-0005-0000-0000-0000FE000000}"/>
    <cellStyle name="20% - Accent5 10 6" xfId="493" xr:uid="{00000000-0005-0000-0000-0000FF000000}"/>
    <cellStyle name="20% - Accent5 11 2" xfId="494" xr:uid="{00000000-0005-0000-0000-000000010000}"/>
    <cellStyle name="20% - Accent5 11 3" xfId="495" xr:uid="{00000000-0005-0000-0000-000001010000}"/>
    <cellStyle name="20% - Accent5 11 4" xfId="496" xr:uid="{00000000-0005-0000-0000-000002010000}"/>
    <cellStyle name="20% - Accent5 11 5" xfId="497" xr:uid="{00000000-0005-0000-0000-000003010000}"/>
    <cellStyle name="20% - Accent5 11 6" xfId="498" xr:uid="{00000000-0005-0000-0000-000004010000}"/>
    <cellStyle name="20% - Accent5 2" xfId="499" xr:uid="{00000000-0005-0000-0000-000005010000}"/>
    <cellStyle name="20% - Accent5 2 2" xfId="500" xr:uid="{00000000-0005-0000-0000-000006010000}"/>
    <cellStyle name="20% - Accent5 2 3" xfId="501" xr:uid="{00000000-0005-0000-0000-000007010000}"/>
    <cellStyle name="20% - Accent5 2 4" xfId="502" xr:uid="{00000000-0005-0000-0000-000008010000}"/>
    <cellStyle name="20% - Accent5 2 5" xfId="503" xr:uid="{00000000-0005-0000-0000-000009010000}"/>
    <cellStyle name="20% - Accent5 2 6" xfId="504" xr:uid="{00000000-0005-0000-0000-00000A010000}"/>
    <cellStyle name="20% - Accent5 3" xfId="505" xr:uid="{00000000-0005-0000-0000-00000B010000}"/>
    <cellStyle name="20% - Accent5 3 2" xfId="506" xr:uid="{00000000-0005-0000-0000-00000C010000}"/>
    <cellStyle name="20% - Accent5 3 3" xfId="507" xr:uid="{00000000-0005-0000-0000-00000D010000}"/>
    <cellStyle name="20% - Accent5 3 4" xfId="508" xr:uid="{00000000-0005-0000-0000-00000E010000}"/>
    <cellStyle name="20% - Accent5 3 5" xfId="509" xr:uid="{00000000-0005-0000-0000-00000F010000}"/>
    <cellStyle name="20% - Accent5 3 6" xfId="510" xr:uid="{00000000-0005-0000-0000-000010010000}"/>
    <cellStyle name="20% - Accent5 4 2" xfId="511" xr:uid="{00000000-0005-0000-0000-000011010000}"/>
    <cellStyle name="20% - Accent5 4 3" xfId="512" xr:uid="{00000000-0005-0000-0000-000012010000}"/>
    <cellStyle name="20% - Accent5 4 4" xfId="513" xr:uid="{00000000-0005-0000-0000-000013010000}"/>
    <cellStyle name="20% - Accent5 4 5" xfId="514" xr:uid="{00000000-0005-0000-0000-000014010000}"/>
    <cellStyle name="20% - Accent5 4 6" xfId="515" xr:uid="{00000000-0005-0000-0000-000015010000}"/>
    <cellStyle name="20% - Accent5 5 2" xfId="516" xr:uid="{00000000-0005-0000-0000-000016010000}"/>
    <cellStyle name="20% - Accent5 5 3" xfId="517" xr:uid="{00000000-0005-0000-0000-000017010000}"/>
    <cellStyle name="20% - Accent5 5 4" xfId="518" xr:uid="{00000000-0005-0000-0000-000018010000}"/>
    <cellStyle name="20% - Accent5 5 5" xfId="519" xr:uid="{00000000-0005-0000-0000-000019010000}"/>
    <cellStyle name="20% - Accent5 5 6" xfId="520" xr:uid="{00000000-0005-0000-0000-00001A010000}"/>
    <cellStyle name="20% - Accent5 6 2" xfId="521" xr:uid="{00000000-0005-0000-0000-00001B010000}"/>
    <cellStyle name="20% - Accent5 6 3" xfId="522" xr:uid="{00000000-0005-0000-0000-00001C010000}"/>
    <cellStyle name="20% - Accent5 6 4" xfId="523" xr:uid="{00000000-0005-0000-0000-00001D010000}"/>
    <cellStyle name="20% - Accent5 6 5" xfId="524" xr:uid="{00000000-0005-0000-0000-00001E010000}"/>
    <cellStyle name="20% - Accent5 6 6" xfId="525" xr:uid="{00000000-0005-0000-0000-00001F010000}"/>
    <cellStyle name="20% - Accent5 7 2" xfId="526" xr:uid="{00000000-0005-0000-0000-000020010000}"/>
    <cellStyle name="20% - Accent5 7 3" xfId="527" xr:uid="{00000000-0005-0000-0000-000021010000}"/>
    <cellStyle name="20% - Accent5 7 4" xfId="528" xr:uid="{00000000-0005-0000-0000-000022010000}"/>
    <cellStyle name="20% - Accent5 7 5" xfId="529" xr:uid="{00000000-0005-0000-0000-000023010000}"/>
    <cellStyle name="20% - Accent5 7 6" xfId="530" xr:uid="{00000000-0005-0000-0000-000024010000}"/>
    <cellStyle name="20% - Accent5 8 2" xfId="531" xr:uid="{00000000-0005-0000-0000-000025010000}"/>
    <cellStyle name="20% - Accent5 8 3" xfId="532" xr:uid="{00000000-0005-0000-0000-000026010000}"/>
    <cellStyle name="20% - Accent5 8 4" xfId="533" xr:uid="{00000000-0005-0000-0000-000027010000}"/>
    <cellStyle name="20% - Accent5 8 5" xfId="534" xr:uid="{00000000-0005-0000-0000-000028010000}"/>
    <cellStyle name="20% - Accent5 8 6" xfId="535" xr:uid="{00000000-0005-0000-0000-000029010000}"/>
    <cellStyle name="20% - Accent5 9 2" xfId="536" xr:uid="{00000000-0005-0000-0000-00002A010000}"/>
    <cellStyle name="20% - Accent5 9 3" xfId="537" xr:uid="{00000000-0005-0000-0000-00002B010000}"/>
    <cellStyle name="20% - Accent5 9 4" xfId="538" xr:uid="{00000000-0005-0000-0000-00002C010000}"/>
    <cellStyle name="20% - Accent5 9 5" xfId="539" xr:uid="{00000000-0005-0000-0000-00002D010000}"/>
    <cellStyle name="20% - Accent5 9 6" xfId="540" xr:uid="{00000000-0005-0000-0000-00002E010000}"/>
    <cellStyle name="20% - Accent6 10 2" xfId="541" xr:uid="{00000000-0005-0000-0000-00002F010000}"/>
    <cellStyle name="20% - Accent6 10 3" xfId="542" xr:uid="{00000000-0005-0000-0000-000030010000}"/>
    <cellStyle name="20% - Accent6 10 4" xfId="543" xr:uid="{00000000-0005-0000-0000-000031010000}"/>
    <cellStyle name="20% - Accent6 10 5" xfId="544" xr:uid="{00000000-0005-0000-0000-000032010000}"/>
    <cellStyle name="20% - Accent6 10 6" xfId="545" xr:uid="{00000000-0005-0000-0000-000033010000}"/>
    <cellStyle name="20% - Accent6 11 2" xfId="546" xr:uid="{00000000-0005-0000-0000-000034010000}"/>
    <cellStyle name="20% - Accent6 11 3" xfId="547" xr:uid="{00000000-0005-0000-0000-000035010000}"/>
    <cellStyle name="20% - Accent6 11 4" xfId="548" xr:uid="{00000000-0005-0000-0000-000036010000}"/>
    <cellStyle name="20% - Accent6 11 5" xfId="549" xr:uid="{00000000-0005-0000-0000-000037010000}"/>
    <cellStyle name="20% - Accent6 11 6" xfId="550" xr:uid="{00000000-0005-0000-0000-000038010000}"/>
    <cellStyle name="20% - Accent6 2" xfId="551" xr:uid="{00000000-0005-0000-0000-000039010000}"/>
    <cellStyle name="20% - Accent6 2 2" xfId="552" xr:uid="{00000000-0005-0000-0000-00003A010000}"/>
    <cellStyle name="20% - Accent6 2 3" xfId="553" xr:uid="{00000000-0005-0000-0000-00003B010000}"/>
    <cellStyle name="20% - Accent6 2 4" xfId="554" xr:uid="{00000000-0005-0000-0000-00003C010000}"/>
    <cellStyle name="20% - Accent6 2 5" xfId="555" xr:uid="{00000000-0005-0000-0000-00003D010000}"/>
    <cellStyle name="20% - Accent6 2 6" xfId="556" xr:uid="{00000000-0005-0000-0000-00003E010000}"/>
    <cellStyle name="20% - Accent6 3" xfId="557" xr:uid="{00000000-0005-0000-0000-00003F010000}"/>
    <cellStyle name="20% - Accent6 3 2" xfId="558" xr:uid="{00000000-0005-0000-0000-000040010000}"/>
    <cellStyle name="20% - Accent6 3 3" xfId="559" xr:uid="{00000000-0005-0000-0000-000041010000}"/>
    <cellStyle name="20% - Accent6 3 4" xfId="560" xr:uid="{00000000-0005-0000-0000-000042010000}"/>
    <cellStyle name="20% - Accent6 3 5" xfId="561" xr:uid="{00000000-0005-0000-0000-000043010000}"/>
    <cellStyle name="20% - Accent6 3 6" xfId="562" xr:uid="{00000000-0005-0000-0000-000044010000}"/>
    <cellStyle name="20% - Accent6 4 2" xfId="563" xr:uid="{00000000-0005-0000-0000-000045010000}"/>
    <cellStyle name="20% - Accent6 4 3" xfId="564" xr:uid="{00000000-0005-0000-0000-000046010000}"/>
    <cellStyle name="20% - Accent6 4 4" xfId="565" xr:uid="{00000000-0005-0000-0000-000047010000}"/>
    <cellStyle name="20% - Accent6 4 5" xfId="566" xr:uid="{00000000-0005-0000-0000-000048010000}"/>
    <cellStyle name="20% - Accent6 4 6" xfId="567" xr:uid="{00000000-0005-0000-0000-000049010000}"/>
    <cellStyle name="20% - Accent6 5 2" xfId="568" xr:uid="{00000000-0005-0000-0000-00004A010000}"/>
    <cellStyle name="20% - Accent6 5 3" xfId="569" xr:uid="{00000000-0005-0000-0000-00004B010000}"/>
    <cellStyle name="20% - Accent6 5 4" xfId="570" xr:uid="{00000000-0005-0000-0000-00004C010000}"/>
    <cellStyle name="20% - Accent6 5 5" xfId="571" xr:uid="{00000000-0005-0000-0000-00004D010000}"/>
    <cellStyle name="20% - Accent6 5 6" xfId="572" xr:uid="{00000000-0005-0000-0000-00004E010000}"/>
    <cellStyle name="20% - Accent6 6 2" xfId="573" xr:uid="{00000000-0005-0000-0000-00004F010000}"/>
    <cellStyle name="20% - Accent6 6 3" xfId="574" xr:uid="{00000000-0005-0000-0000-000050010000}"/>
    <cellStyle name="20% - Accent6 6 4" xfId="575" xr:uid="{00000000-0005-0000-0000-000051010000}"/>
    <cellStyle name="20% - Accent6 6 5" xfId="576" xr:uid="{00000000-0005-0000-0000-000052010000}"/>
    <cellStyle name="20% - Accent6 6 6" xfId="577" xr:uid="{00000000-0005-0000-0000-000053010000}"/>
    <cellStyle name="20% - Accent6 7 2" xfId="578" xr:uid="{00000000-0005-0000-0000-000054010000}"/>
    <cellStyle name="20% - Accent6 7 3" xfId="579" xr:uid="{00000000-0005-0000-0000-000055010000}"/>
    <cellStyle name="20% - Accent6 7 4" xfId="580" xr:uid="{00000000-0005-0000-0000-000056010000}"/>
    <cellStyle name="20% - Accent6 7 5" xfId="581" xr:uid="{00000000-0005-0000-0000-000057010000}"/>
    <cellStyle name="20% - Accent6 7 6" xfId="582" xr:uid="{00000000-0005-0000-0000-000058010000}"/>
    <cellStyle name="20% - Accent6 8 2" xfId="583" xr:uid="{00000000-0005-0000-0000-000059010000}"/>
    <cellStyle name="20% - Accent6 8 3" xfId="584" xr:uid="{00000000-0005-0000-0000-00005A010000}"/>
    <cellStyle name="20% - Accent6 8 4" xfId="585" xr:uid="{00000000-0005-0000-0000-00005B010000}"/>
    <cellStyle name="20% - Accent6 8 5" xfId="586" xr:uid="{00000000-0005-0000-0000-00005C010000}"/>
    <cellStyle name="20% - Accent6 8 6" xfId="587" xr:uid="{00000000-0005-0000-0000-00005D010000}"/>
    <cellStyle name="20% - Accent6 9 2" xfId="588" xr:uid="{00000000-0005-0000-0000-00005E010000}"/>
    <cellStyle name="20% - Accent6 9 3" xfId="589" xr:uid="{00000000-0005-0000-0000-00005F010000}"/>
    <cellStyle name="20% - Accent6 9 4" xfId="590" xr:uid="{00000000-0005-0000-0000-000060010000}"/>
    <cellStyle name="20% - Accent6 9 5" xfId="591" xr:uid="{00000000-0005-0000-0000-000061010000}"/>
    <cellStyle name="20% - Accent6 9 6" xfId="592" xr:uid="{00000000-0005-0000-0000-000062010000}"/>
    <cellStyle name="3" xfId="38" xr:uid="{00000000-0005-0000-0000-000063010000}"/>
    <cellStyle name="4" xfId="40" xr:uid="{00000000-0005-0000-0000-000064010000}"/>
    <cellStyle name="40% - Accent1 10 2" xfId="593" xr:uid="{00000000-0005-0000-0000-000065010000}"/>
    <cellStyle name="40% - Accent1 10 3" xfId="594" xr:uid="{00000000-0005-0000-0000-000066010000}"/>
    <cellStyle name="40% - Accent1 10 4" xfId="595" xr:uid="{00000000-0005-0000-0000-000067010000}"/>
    <cellStyle name="40% - Accent1 10 5" xfId="596" xr:uid="{00000000-0005-0000-0000-000068010000}"/>
    <cellStyle name="40% - Accent1 10 6" xfId="597" xr:uid="{00000000-0005-0000-0000-000069010000}"/>
    <cellStyle name="40% - Accent1 11 2" xfId="598" xr:uid="{00000000-0005-0000-0000-00006A010000}"/>
    <cellStyle name="40% - Accent1 11 3" xfId="599" xr:uid="{00000000-0005-0000-0000-00006B010000}"/>
    <cellStyle name="40% - Accent1 11 4" xfId="600" xr:uid="{00000000-0005-0000-0000-00006C010000}"/>
    <cellStyle name="40% - Accent1 11 5" xfId="601" xr:uid="{00000000-0005-0000-0000-00006D010000}"/>
    <cellStyle name="40% - Accent1 11 6" xfId="602" xr:uid="{00000000-0005-0000-0000-00006E010000}"/>
    <cellStyle name="40% - Accent1 2" xfId="603" xr:uid="{00000000-0005-0000-0000-00006F010000}"/>
    <cellStyle name="40% - Accent1 2 2" xfId="604" xr:uid="{00000000-0005-0000-0000-000070010000}"/>
    <cellStyle name="40% - Accent1 2 3" xfId="605" xr:uid="{00000000-0005-0000-0000-000071010000}"/>
    <cellStyle name="40% - Accent1 2 4" xfId="606" xr:uid="{00000000-0005-0000-0000-000072010000}"/>
    <cellStyle name="40% - Accent1 2 5" xfId="607" xr:uid="{00000000-0005-0000-0000-000073010000}"/>
    <cellStyle name="40% - Accent1 2 6" xfId="608" xr:uid="{00000000-0005-0000-0000-000074010000}"/>
    <cellStyle name="40% - Accent1 3" xfId="609" xr:uid="{00000000-0005-0000-0000-000075010000}"/>
    <cellStyle name="40% - Accent1 3 2" xfId="610" xr:uid="{00000000-0005-0000-0000-000076010000}"/>
    <cellStyle name="40% - Accent1 3 3" xfId="611" xr:uid="{00000000-0005-0000-0000-000077010000}"/>
    <cellStyle name="40% - Accent1 3 4" xfId="612" xr:uid="{00000000-0005-0000-0000-000078010000}"/>
    <cellStyle name="40% - Accent1 3 5" xfId="613" xr:uid="{00000000-0005-0000-0000-000079010000}"/>
    <cellStyle name="40% - Accent1 3 6" xfId="614" xr:uid="{00000000-0005-0000-0000-00007A010000}"/>
    <cellStyle name="40% - Accent1 4 2" xfId="615" xr:uid="{00000000-0005-0000-0000-00007B010000}"/>
    <cellStyle name="40% - Accent1 4 3" xfId="616" xr:uid="{00000000-0005-0000-0000-00007C010000}"/>
    <cellStyle name="40% - Accent1 4 4" xfId="617" xr:uid="{00000000-0005-0000-0000-00007D010000}"/>
    <cellStyle name="40% - Accent1 4 5" xfId="618" xr:uid="{00000000-0005-0000-0000-00007E010000}"/>
    <cellStyle name="40% - Accent1 4 6" xfId="619" xr:uid="{00000000-0005-0000-0000-00007F010000}"/>
    <cellStyle name="40% - Accent1 5 2" xfId="620" xr:uid="{00000000-0005-0000-0000-000080010000}"/>
    <cellStyle name="40% - Accent1 5 3" xfId="621" xr:uid="{00000000-0005-0000-0000-000081010000}"/>
    <cellStyle name="40% - Accent1 5 4" xfId="622" xr:uid="{00000000-0005-0000-0000-000082010000}"/>
    <cellStyle name="40% - Accent1 5 5" xfId="623" xr:uid="{00000000-0005-0000-0000-000083010000}"/>
    <cellStyle name="40% - Accent1 5 6" xfId="624" xr:uid="{00000000-0005-0000-0000-000084010000}"/>
    <cellStyle name="40% - Accent1 6 2" xfId="625" xr:uid="{00000000-0005-0000-0000-000085010000}"/>
    <cellStyle name="40% - Accent1 6 3" xfId="626" xr:uid="{00000000-0005-0000-0000-000086010000}"/>
    <cellStyle name="40% - Accent1 6 4" xfId="627" xr:uid="{00000000-0005-0000-0000-000087010000}"/>
    <cellStyle name="40% - Accent1 6 5" xfId="628" xr:uid="{00000000-0005-0000-0000-000088010000}"/>
    <cellStyle name="40% - Accent1 6 6" xfId="629" xr:uid="{00000000-0005-0000-0000-000089010000}"/>
    <cellStyle name="40% - Accent1 7 2" xfId="630" xr:uid="{00000000-0005-0000-0000-00008A010000}"/>
    <cellStyle name="40% - Accent1 7 3" xfId="631" xr:uid="{00000000-0005-0000-0000-00008B010000}"/>
    <cellStyle name="40% - Accent1 7 4" xfId="632" xr:uid="{00000000-0005-0000-0000-00008C010000}"/>
    <cellStyle name="40% - Accent1 7 5" xfId="633" xr:uid="{00000000-0005-0000-0000-00008D010000}"/>
    <cellStyle name="40% - Accent1 7 6" xfId="634" xr:uid="{00000000-0005-0000-0000-00008E010000}"/>
    <cellStyle name="40% - Accent1 8 2" xfId="635" xr:uid="{00000000-0005-0000-0000-00008F010000}"/>
    <cellStyle name="40% - Accent1 8 3" xfId="636" xr:uid="{00000000-0005-0000-0000-000090010000}"/>
    <cellStyle name="40% - Accent1 8 4" xfId="637" xr:uid="{00000000-0005-0000-0000-000091010000}"/>
    <cellStyle name="40% - Accent1 8 5" xfId="638" xr:uid="{00000000-0005-0000-0000-000092010000}"/>
    <cellStyle name="40% - Accent1 8 6" xfId="639" xr:uid="{00000000-0005-0000-0000-000093010000}"/>
    <cellStyle name="40% - Accent1 9 2" xfId="640" xr:uid="{00000000-0005-0000-0000-000094010000}"/>
    <cellStyle name="40% - Accent1 9 3" xfId="641" xr:uid="{00000000-0005-0000-0000-000095010000}"/>
    <cellStyle name="40% - Accent1 9 4" xfId="642" xr:uid="{00000000-0005-0000-0000-000096010000}"/>
    <cellStyle name="40% - Accent1 9 5" xfId="643" xr:uid="{00000000-0005-0000-0000-000097010000}"/>
    <cellStyle name="40% - Accent1 9 6" xfId="644" xr:uid="{00000000-0005-0000-0000-000098010000}"/>
    <cellStyle name="40% - Accent2 10 2" xfId="645" xr:uid="{00000000-0005-0000-0000-000099010000}"/>
    <cellStyle name="40% - Accent2 10 3" xfId="646" xr:uid="{00000000-0005-0000-0000-00009A010000}"/>
    <cellStyle name="40% - Accent2 10 4" xfId="647" xr:uid="{00000000-0005-0000-0000-00009B010000}"/>
    <cellStyle name="40% - Accent2 10 5" xfId="648" xr:uid="{00000000-0005-0000-0000-00009C010000}"/>
    <cellStyle name="40% - Accent2 10 6" xfId="649" xr:uid="{00000000-0005-0000-0000-00009D010000}"/>
    <cellStyle name="40% - Accent2 11 2" xfId="650" xr:uid="{00000000-0005-0000-0000-00009E010000}"/>
    <cellStyle name="40% - Accent2 11 3" xfId="651" xr:uid="{00000000-0005-0000-0000-00009F010000}"/>
    <cellStyle name="40% - Accent2 11 4" xfId="652" xr:uid="{00000000-0005-0000-0000-0000A0010000}"/>
    <cellStyle name="40% - Accent2 11 5" xfId="653" xr:uid="{00000000-0005-0000-0000-0000A1010000}"/>
    <cellStyle name="40% - Accent2 11 6" xfId="654" xr:uid="{00000000-0005-0000-0000-0000A2010000}"/>
    <cellStyle name="40% - Accent2 2" xfId="655" xr:uid="{00000000-0005-0000-0000-0000A3010000}"/>
    <cellStyle name="40% - Accent2 2 2" xfId="656" xr:uid="{00000000-0005-0000-0000-0000A4010000}"/>
    <cellStyle name="40% - Accent2 2 3" xfId="657" xr:uid="{00000000-0005-0000-0000-0000A5010000}"/>
    <cellStyle name="40% - Accent2 2 4" xfId="658" xr:uid="{00000000-0005-0000-0000-0000A6010000}"/>
    <cellStyle name="40% - Accent2 2 5" xfId="659" xr:uid="{00000000-0005-0000-0000-0000A7010000}"/>
    <cellStyle name="40% - Accent2 2 6" xfId="660" xr:uid="{00000000-0005-0000-0000-0000A8010000}"/>
    <cellStyle name="40% - Accent2 3" xfId="661" xr:uid="{00000000-0005-0000-0000-0000A9010000}"/>
    <cellStyle name="40% - Accent2 3 2" xfId="662" xr:uid="{00000000-0005-0000-0000-0000AA010000}"/>
    <cellStyle name="40% - Accent2 3 3" xfId="663" xr:uid="{00000000-0005-0000-0000-0000AB010000}"/>
    <cellStyle name="40% - Accent2 3 4" xfId="664" xr:uid="{00000000-0005-0000-0000-0000AC010000}"/>
    <cellStyle name="40% - Accent2 3 5" xfId="665" xr:uid="{00000000-0005-0000-0000-0000AD010000}"/>
    <cellStyle name="40% - Accent2 3 6" xfId="666" xr:uid="{00000000-0005-0000-0000-0000AE010000}"/>
    <cellStyle name="40% - Accent2 4 2" xfId="667" xr:uid="{00000000-0005-0000-0000-0000AF010000}"/>
    <cellStyle name="40% - Accent2 4 3" xfId="668" xr:uid="{00000000-0005-0000-0000-0000B0010000}"/>
    <cellStyle name="40% - Accent2 4 4" xfId="669" xr:uid="{00000000-0005-0000-0000-0000B1010000}"/>
    <cellStyle name="40% - Accent2 4 5" xfId="670" xr:uid="{00000000-0005-0000-0000-0000B2010000}"/>
    <cellStyle name="40% - Accent2 4 6" xfId="671" xr:uid="{00000000-0005-0000-0000-0000B3010000}"/>
    <cellStyle name="40% - Accent2 5 2" xfId="672" xr:uid="{00000000-0005-0000-0000-0000B4010000}"/>
    <cellStyle name="40% - Accent2 5 3" xfId="673" xr:uid="{00000000-0005-0000-0000-0000B5010000}"/>
    <cellStyle name="40% - Accent2 5 4" xfId="674" xr:uid="{00000000-0005-0000-0000-0000B6010000}"/>
    <cellStyle name="40% - Accent2 5 5" xfId="675" xr:uid="{00000000-0005-0000-0000-0000B7010000}"/>
    <cellStyle name="40% - Accent2 5 6" xfId="676" xr:uid="{00000000-0005-0000-0000-0000B8010000}"/>
    <cellStyle name="40% - Accent2 6 2" xfId="677" xr:uid="{00000000-0005-0000-0000-0000B9010000}"/>
    <cellStyle name="40% - Accent2 6 3" xfId="678" xr:uid="{00000000-0005-0000-0000-0000BA010000}"/>
    <cellStyle name="40% - Accent2 6 4" xfId="679" xr:uid="{00000000-0005-0000-0000-0000BB010000}"/>
    <cellStyle name="40% - Accent2 6 5" xfId="680" xr:uid="{00000000-0005-0000-0000-0000BC010000}"/>
    <cellStyle name="40% - Accent2 6 6" xfId="681" xr:uid="{00000000-0005-0000-0000-0000BD010000}"/>
    <cellStyle name="40% - Accent2 7 2" xfId="682" xr:uid="{00000000-0005-0000-0000-0000BE010000}"/>
    <cellStyle name="40% - Accent2 7 3" xfId="683" xr:uid="{00000000-0005-0000-0000-0000BF010000}"/>
    <cellStyle name="40% - Accent2 7 4" xfId="684" xr:uid="{00000000-0005-0000-0000-0000C0010000}"/>
    <cellStyle name="40% - Accent2 7 5" xfId="685" xr:uid="{00000000-0005-0000-0000-0000C1010000}"/>
    <cellStyle name="40% - Accent2 7 6" xfId="686" xr:uid="{00000000-0005-0000-0000-0000C2010000}"/>
    <cellStyle name="40% - Accent2 8 2" xfId="687" xr:uid="{00000000-0005-0000-0000-0000C3010000}"/>
    <cellStyle name="40% - Accent2 8 3" xfId="688" xr:uid="{00000000-0005-0000-0000-0000C4010000}"/>
    <cellStyle name="40% - Accent2 8 4" xfId="689" xr:uid="{00000000-0005-0000-0000-0000C5010000}"/>
    <cellStyle name="40% - Accent2 8 5" xfId="690" xr:uid="{00000000-0005-0000-0000-0000C6010000}"/>
    <cellStyle name="40% - Accent2 8 6" xfId="691" xr:uid="{00000000-0005-0000-0000-0000C7010000}"/>
    <cellStyle name="40% - Accent2 9 2" xfId="692" xr:uid="{00000000-0005-0000-0000-0000C8010000}"/>
    <cellStyle name="40% - Accent2 9 3" xfId="693" xr:uid="{00000000-0005-0000-0000-0000C9010000}"/>
    <cellStyle name="40% - Accent2 9 4" xfId="694" xr:uid="{00000000-0005-0000-0000-0000CA010000}"/>
    <cellStyle name="40% - Accent2 9 5" xfId="695" xr:uid="{00000000-0005-0000-0000-0000CB010000}"/>
    <cellStyle name="40% - Accent2 9 6" xfId="696" xr:uid="{00000000-0005-0000-0000-0000CC010000}"/>
    <cellStyle name="40% - Accent3 10 2" xfId="697" xr:uid="{00000000-0005-0000-0000-0000CD010000}"/>
    <cellStyle name="40% - Accent3 10 3" xfId="698" xr:uid="{00000000-0005-0000-0000-0000CE010000}"/>
    <cellStyle name="40% - Accent3 10 4" xfId="699" xr:uid="{00000000-0005-0000-0000-0000CF010000}"/>
    <cellStyle name="40% - Accent3 10 5" xfId="700" xr:uid="{00000000-0005-0000-0000-0000D0010000}"/>
    <cellStyle name="40% - Accent3 10 6" xfId="701" xr:uid="{00000000-0005-0000-0000-0000D1010000}"/>
    <cellStyle name="40% - Accent3 11 2" xfId="702" xr:uid="{00000000-0005-0000-0000-0000D2010000}"/>
    <cellStyle name="40% - Accent3 11 3" xfId="703" xr:uid="{00000000-0005-0000-0000-0000D3010000}"/>
    <cellStyle name="40% - Accent3 11 4" xfId="704" xr:uid="{00000000-0005-0000-0000-0000D4010000}"/>
    <cellStyle name="40% - Accent3 11 5" xfId="705" xr:uid="{00000000-0005-0000-0000-0000D5010000}"/>
    <cellStyle name="40% - Accent3 11 6" xfId="706" xr:uid="{00000000-0005-0000-0000-0000D6010000}"/>
    <cellStyle name="40% - Accent3 2" xfId="707" xr:uid="{00000000-0005-0000-0000-0000D7010000}"/>
    <cellStyle name="40% - Accent3 2 2" xfId="708" xr:uid="{00000000-0005-0000-0000-0000D8010000}"/>
    <cellStyle name="40% - Accent3 2 3" xfId="709" xr:uid="{00000000-0005-0000-0000-0000D9010000}"/>
    <cellStyle name="40% - Accent3 2 4" xfId="710" xr:uid="{00000000-0005-0000-0000-0000DA010000}"/>
    <cellStyle name="40% - Accent3 2 5" xfId="711" xr:uid="{00000000-0005-0000-0000-0000DB010000}"/>
    <cellStyle name="40% - Accent3 2 6" xfId="712" xr:uid="{00000000-0005-0000-0000-0000DC010000}"/>
    <cellStyle name="40% - Accent3 3" xfId="713" xr:uid="{00000000-0005-0000-0000-0000DD010000}"/>
    <cellStyle name="40% - Accent3 3 2" xfId="714" xr:uid="{00000000-0005-0000-0000-0000DE010000}"/>
    <cellStyle name="40% - Accent3 3 3" xfId="715" xr:uid="{00000000-0005-0000-0000-0000DF010000}"/>
    <cellStyle name="40% - Accent3 3 4" xfId="716" xr:uid="{00000000-0005-0000-0000-0000E0010000}"/>
    <cellStyle name="40% - Accent3 3 5" xfId="717" xr:uid="{00000000-0005-0000-0000-0000E1010000}"/>
    <cellStyle name="40% - Accent3 3 6" xfId="718" xr:uid="{00000000-0005-0000-0000-0000E2010000}"/>
    <cellStyle name="40% - Accent3 4 2" xfId="719" xr:uid="{00000000-0005-0000-0000-0000E3010000}"/>
    <cellStyle name="40% - Accent3 4 3" xfId="720" xr:uid="{00000000-0005-0000-0000-0000E4010000}"/>
    <cellStyle name="40% - Accent3 4 4" xfId="721" xr:uid="{00000000-0005-0000-0000-0000E5010000}"/>
    <cellStyle name="40% - Accent3 4 5" xfId="722" xr:uid="{00000000-0005-0000-0000-0000E6010000}"/>
    <cellStyle name="40% - Accent3 4 6" xfId="723" xr:uid="{00000000-0005-0000-0000-0000E7010000}"/>
    <cellStyle name="40% - Accent3 5 2" xfId="724" xr:uid="{00000000-0005-0000-0000-0000E8010000}"/>
    <cellStyle name="40% - Accent3 5 3" xfId="725" xr:uid="{00000000-0005-0000-0000-0000E9010000}"/>
    <cellStyle name="40% - Accent3 5 4" xfId="726" xr:uid="{00000000-0005-0000-0000-0000EA010000}"/>
    <cellStyle name="40% - Accent3 5 5" xfId="727" xr:uid="{00000000-0005-0000-0000-0000EB010000}"/>
    <cellStyle name="40% - Accent3 5 6" xfId="728" xr:uid="{00000000-0005-0000-0000-0000EC010000}"/>
    <cellStyle name="40% - Accent3 6 2" xfId="729" xr:uid="{00000000-0005-0000-0000-0000ED010000}"/>
    <cellStyle name="40% - Accent3 6 3" xfId="730" xr:uid="{00000000-0005-0000-0000-0000EE010000}"/>
    <cellStyle name="40% - Accent3 6 4" xfId="731" xr:uid="{00000000-0005-0000-0000-0000EF010000}"/>
    <cellStyle name="40% - Accent3 6 5" xfId="732" xr:uid="{00000000-0005-0000-0000-0000F0010000}"/>
    <cellStyle name="40% - Accent3 6 6" xfId="733" xr:uid="{00000000-0005-0000-0000-0000F1010000}"/>
    <cellStyle name="40% - Accent3 7 2" xfId="734" xr:uid="{00000000-0005-0000-0000-0000F2010000}"/>
    <cellStyle name="40% - Accent3 7 3" xfId="735" xr:uid="{00000000-0005-0000-0000-0000F3010000}"/>
    <cellStyle name="40% - Accent3 7 4" xfId="736" xr:uid="{00000000-0005-0000-0000-0000F4010000}"/>
    <cellStyle name="40% - Accent3 7 5" xfId="737" xr:uid="{00000000-0005-0000-0000-0000F5010000}"/>
    <cellStyle name="40% - Accent3 7 6" xfId="738" xr:uid="{00000000-0005-0000-0000-0000F6010000}"/>
    <cellStyle name="40% - Accent3 8 2" xfId="739" xr:uid="{00000000-0005-0000-0000-0000F7010000}"/>
    <cellStyle name="40% - Accent3 8 3" xfId="740" xr:uid="{00000000-0005-0000-0000-0000F8010000}"/>
    <cellStyle name="40% - Accent3 8 4" xfId="741" xr:uid="{00000000-0005-0000-0000-0000F9010000}"/>
    <cellStyle name="40% - Accent3 8 5" xfId="742" xr:uid="{00000000-0005-0000-0000-0000FA010000}"/>
    <cellStyle name="40% - Accent3 8 6" xfId="743" xr:uid="{00000000-0005-0000-0000-0000FB010000}"/>
    <cellStyle name="40% - Accent3 9 2" xfId="744" xr:uid="{00000000-0005-0000-0000-0000FC010000}"/>
    <cellStyle name="40% - Accent3 9 3" xfId="745" xr:uid="{00000000-0005-0000-0000-0000FD010000}"/>
    <cellStyle name="40% - Accent3 9 4" xfId="746" xr:uid="{00000000-0005-0000-0000-0000FE010000}"/>
    <cellStyle name="40% - Accent3 9 5" xfId="747" xr:uid="{00000000-0005-0000-0000-0000FF010000}"/>
    <cellStyle name="40% - Accent3 9 6" xfId="748" xr:uid="{00000000-0005-0000-0000-000000020000}"/>
    <cellStyle name="40% - Accent4 10 2" xfId="749" xr:uid="{00000000-0005-0000-0000-000001020000}"/>
    <cellStyle name="40% - Accent4 10 3" xfId="750" xr:uid="{00000000-0005-0000-0000-000002020000}"/>
    <cellStyle name="40% - Accent4 10 4" xfId="751" xr:uid="{00000000-0005-0000-0000-000003020000}"/>
    <cellStyle name="40% - Accent4 10 5" xfId="752" xr:uid="{00000000-0005-0000-0000-000004020000}"/>
    <cellStyle name="40% - Accent4 10 6" xfId="753" xr:uid="{00000000-0005-0000-0000-000005020000}"/>
    <cellStyle name="40% - Accent4 11 2" xfId="754" xr:uid="{00000000-0005-0000-0000-000006020000}"/>
    <cellStyle name="40% - Accent4 11 3" xfId="755" xr:uid="{00000000-0005-0000-0000-000007020000}"/>
    <cellStyle name="40% - Accent4 11 4" xfId="756" xr:uid="{00000000-0005-0000-0000-000008020000}"/>
    <cellStyle name="40% - Accent4 11 5" xfId="757" xr:uid="{00000000-0005-0000-0000-000009020000}"/>
    <cellStyle name="40% - Accent4 11 6" xfId="758" xr:uid="{00000000-0005-0000-0000-00000A020000}"/>
    <cellStyle name="40% - Accent4 2" xfId="759" xr:uid="{00000000-0005-0000-0000-00000B020000}"/>
    <cellStyle name="40% - Accent4 2 2" xfId="760" xr:uid="{00000000-0005-0000-0000-00000C020000}"/>
    <cellStyle name="40% - Accent4 2 3" xfId="761" xr:uid="{00000000-0005-0000-0000-00000D020000}"/>
    <cellStyle name="40% - Accent4 2 4" xfId="762" xr:uid="{00000000-0005-0000-0000-00000E020000}"/>
    <cellStyle name="40% - Accent4 2 5" xfId="763" xr:uid="{00000000-0005-0000-0000-00000F020000}"/>
    <cellStyle name="40% - Accent4 2 6" xfId="764" xr:uid="{00000000-0005-0000-0000-000010020000}"/>
    <cellStyle name="40% - Accent4 3" xfId="765" xr:uid="{00000000-0005-0000-0000-000011020000}"/>
    <cellStyle name="40% - Accent4 3 2" xfId="766" xr:uid="{00000000-0005-0000-0000-000012020000}"/>
    <cellStyle name="40% - Accent4 3 3" xfId="767" xr:uid="{00000000-0005-0000-0000-000013020000}"/>
    <cellStyle name="40% - Accent4 3 4" xfId="768" xr:uid="{00000000-0005-0000-0000-000014020000}"/>
    <cellStyle name="40% - Accent4 3 5" xfId="769" xr:uid="{00000000-0005-0000-0000-000015020000}"/>
    <cellStyle name="40% - Accent4 3 6" xfId="770" xr:uid="{00000000-0005-0000-0000-000016020000}"/>
    <cellStyle name="40% - Accent4 4 2" xfId="771" xr:uid="{00000000-0005-0000-0000-000017020000}"/>
    <cellStyle name="40% - Accent4 4 3" xfId="772" xr:uid="{00000000-0005-0000-0000-000018020000}"/>
    <cellStyle name="40% - Accent4 4 4" xfId="773" xr:uid="{00000000-0005-0000-0000-000019020000}"/>
    <cellStyle name="40% - Accent4 4 5" xfId="774" xr:uid="{00000000-0005-0000-0000-00001A020000}"/>
    <cellStyle name="40% - Accent4 4 6" xfId="775" xr:uid="{00000000-0005-0000-0000-00001B020000}"/>
    <cellStyle name="40% - Accent4 5 2" xfId="776" xr:uid="{00000000-0005-0000-0000-00001C020000}"/>
    <cellStyle name="40% - Accent4 5 3" xfId="777" xr:uid="{00000000-0005-0000-0000-00001D020000}"/>
    <cellStyle name="40% - Accent4 5 4" xfId="778" xr:uid="{00000000-0005-0000-0000-00001E020000}"/>
    <cellStyle name="40% - Accent4 5 5" xfId="779" xr:uid="{00000000-0005-0000-0000-00001F020000}"/>
    <cellStyle name="40% - Accent4 5 6" xfId="780" xr:uid="{00000000-0005-0000-0000-000020020000}"/>
    <cellStyle name="40% - Accent4 6 2" xfId="781" xr:uid="{00000000-0005-0000-0000-000021020000}"/>
    <cellStyle name="40% - Accent4 6 3" xfId="782" xr:uid="{00000000-0005-0000-0000-000022020000}"/>
    <cellStyle name="40% - Accent4 6 4" xfId="783" xr:uid="{00000000-0005-0000-0000-000023020000}"/>
    <cellStyle name="40% - Accent4 6 5" xfId="784" xr:uid="{00000000-0005-0000-0000-000024020000}"/>
    <cellStyle name="40% - Accent4 6 6" xfId="785" xr:uid="{00000000-0005-0000-0000-000025020000}"/>
    <cellStyle name="40% - Accent4 7 2" xfId="786" xr:uid="{00000000-0005-0000-0000-000026020000}"/>
    <cellStyle name="40% - Accent4 7 3" xfId="787" xr:uid="{00000000-0005-0000-0000-000027020000}"/>
    <cellStyle name="40% - Accent4 7 4" xfId="788" xr:uid="{00000000-0005-0000-0000-000028020000}"/>
    <cellStyle name="40% - Accent4 7 5" xfId="789" xr:uid="{00000000-0005-0000-0000-000029020000}"/>
    <cellStyle name="40% - Accent4 7 6" xfId="790" xr:uid="{00000000-0005-0000-0000-00002A020000}"/>
    <cellStyle name="40% - Accent4 8 2" xfId="791" xr:uid="{00000000-0005-0000-0000-00002B020000}"/>
    <cellStyle name="40% - Accent4 8 3" xfId="792" xr:uid="{00000000-0005-0000-0000-00002C020000}"/>
    <cellStyle name="40% - Accent4 8 4" xfId="793" xr:uid="{00000000-0005-0000-0000-00002D020000}"/>
    <cellStyle name="40% - Accent4 8 5" xfId="794" xr:uid="{00000000-0005-0000-0000-00002E020000}"/>
    <cellStyle name="40% - Accent4 8 6" xfId="795" xr:uid="{00000000-0005-0000-0000-00002F020000}"/>
    <cellStyle name="40% - Accent4 9 2" xfId="796" xr:uid="{00000000-0005-0000-0000-000030020000}"/>
    <cellStyle name="40% - Accent4 9 3" xfId="797" xr:uid="{00000000-0005-0000-0000-000031020000}"/>
    <cellStyle name="40% - Accent4 9 4" xfId="798" xr:uid="{00000000-0005-0000-0000-000032020000}"/>
    <cellStyle name="40% - Accent4 9 5" xfId="799" xr:uid="{00000000-0005-0000-0000-000033020000}"/>
    <cellStyle name="40% - Accent4 9 6" xfId="800" xr:uid="{00000000-0005-0000-0000-000034020000}"/>
    <cellStyle name="40% - Accent5 10 2" xfId="801" xr:uid="{00000000-0005-0000-0000-000035020000}"/>
    <cellStyle name="40% - Accent5 10 3" xfId="802" xr:uid="{00000000-0005-0000-0000-000036020000}"/>
    <cellStyle name="40% - Accent5 10 4" xfId="803" xr:uid="{00000000-0005-0000-0000-000037020000}"/>
    <cellStyle name="40% - Accent5 10 5" xfId="804" xr:uid="{00000000-0005-0000-0000-000038020000}"/>
    <cellStyle name="40% - Accent5 10 6" xfId="805" xr:uid="{00000000-0005-0000-0000-000039020000}"/>
    <cellStyle name="40% - Accent5 11 2" xfId="806" xr:uid="{00000000-0005-0000-0000-00003A020000}"/>
    <cellStyle name="40% - Accent5 11 3" xfId="807" xr:uid="{00000000-0005-0000-0000-00003B020000}"/>
    <cellStyle name="40% - Accent5 11 4" xfId="808" xr:uid="{00000000-0005-0000-0000-00003C020000}"/>
    <cellStyle name="40% - Accent5 11 5" xfId="809" xr:uid="{00000000-0005-0000-0000-00003D020000}"/>
    <cellStyle name="40% - Accent5 11 6" xfId="810" xr:uid="{00000000-0005-0000-0000-00003E020000}"/>
    <cellStyle name="40% - Accent5 2" xfId="811" xr:uid="{00000000-0005-0000-0000-00003F020000}"/>
    <cellStyle name="40% - Accent5 2 2" xfId="812" xr:uid="{00000000-0005-0000-0000-000040020000}"/>
    <cellStyle name="40% - Accent5 2 3" xfId="813" xr:uid="{00000000-0005-0000-0000-000041020000}"/>
    <cellStyle name="40% - Accent5 2 4" xfId="814" xr:uid="{00000000-0005-0000-0000-000042020000}"/>
    <cellStyle name="40% - Accent5 2 5" xfId="815" xr:uid="{00000000-0005-0000-0000-000043020000}"/>
    <cellStyle name="40% - Accent5 2 6" xfId="816" xr:uid="{00000000-0005-0000-0000-000044020000}"/>
    <cellStyle name="40% - Accent5 3" xfId="817" xr:uid="{00000000-0005-0000-0000-000045020000}"/>
    <cellStyle name="40% - Accent5 3 2" xfId="818" xr:uid="{00000000-0005-0000-0000-000046020000}"/>
    <cellStyle name="40% - Accent5 3 3" xfId="819" xr:uid="{00000000-0005-0000-0000-000047020000}"/>
    <cellStyle name="40% - Accent5 3 4" xfId="820" xr:uid="{00000000-0005-0000-0000-000048020000}"/>
    <cellStyle name="40% - Accent5 3 5" xfId="821" xr:uid="{00000000-0005-0000-0000-000049020000}"/>
    <cellStyle name="40% - Accent5 3 6" xfId="822" xr:uid="{00000000-0005-0000-0000-00004A020000}"/>
    <cellStyle name="40% - Accent5 4 2" xfId="823" xr:uid="{00000000-0005-0000-0000-00004B020000}"/>
    <cellStyle name="40% - Accent5 4 3" xfId="824" xr:uid="{00000000-0005-0000-0000-00004C020000}"/>
    <cellStyle name="40% - Accent5 4 4" xfId="825" xr:uid="{00000000-0005-0000-0000-00004D020000}"/>
    <cellStyle name="40% - Accent5 4 5" xfId="826" xr:uid="{00000000-0005-0000-0000-00004E020000}"/>
    <cellStyle name="40% - Accent5 4 6" xfId="827" xr:uid="{00000000-0005-0000-0000-00004F020000}"/>
    <cellStyle name="40% - Accent5 5 2" xfId="828" xr:uid="{00000000-0005-0000-0000-000050020000}"/>
    <cellStyle name="40% - Accent5 5 3" xfId="829" xr:uid="{00000000-0005-0000-0000-000051020000}"/>
    <cellStyle name="40% - Accent5 5 4" xfId="830" xr:uid="{00000000-0005-0000-0000-000052020000}"/>
    <cellStyle name="40% - Accent5 5 5" xfId="831" xr:uid="{00000000-0005-0000-0000-000053020000}"/>
    <cellStyle name="40% - Accent5 5 6" xfId="832" xr:uid="{00000000-0005-0000-0000-000054020000}"/>
    <cellStyle name="40% - Accent5 6 2" xfId="833" xr:uid="{00000000-0005-0000-0000-000055020000}"/>
    <cellStyle name="40% - Accent5 6 3" xfId="834" xr:uid="{00000000-0005-0000-0000-000056020000}"/>
    <cellStyle name="40% - Accent5 6 4" xfId="835" xr:uid="{00000000-0005-0000-0000-000057020000}"/>
    <cellStyle name="40% - Accent5 6 5" xfId="836" xr:uid="{00000000-0005-0000-0000-000058020000}"/>
    <cellStyle name="40% - Accent5 6 6" xfId="837" xr:uid="{00000000-0005-0000-0000-000059020000}"/>
    <cellStyle name="40% - Accent5 7 2" xfId="838" xr:uid="{00000000-0005-0000-0000-00005A020000}"/>
    <cellStyle name="40% - Accent5 7 3" xfId="839" xr:uid="{00000000-0005-0000-0000-00005B020000}"/>
    <cellStyle name="40% - Accent5 7 4" xfId="840" xr:uid="{00000000-0005-0000-0000-00005C020000}"/>
    <cellStyle name="40% - Accent5 7 5" xfId="841" xr:uid="{00000000-0005-0000-0000-00005D020000}"/>
    <cellStyle name="40% - Accent5 7 6" xfId="842" xr:uid="{00000000-0005-0000-0000-00005E020000}"/>
    <cellStyle name="40% - Accent5 8 2" xfId="843" xr:uid="{00000000-0005-0000-0000-00005F020000}"/>
    <cellStyle name="40% - Accent5 8 3" xfId="844" xr:uid="{00000000-0005-0000-0000-000060020000}"/>
    <cellStyle name="40% - Accent5 8 4" xfId="845" xr:uid="{00000000-0005-0000-0000-000061020000}"/>
    <cellStyle name="40% - Accent5 8 5" xfId="846" xr:uid="{00000000-0005-0000-0000-000062020000}"/>
    <cellStyle name="40% - Accent5 8 6" xfId="847" xr:uid="{00000000-0005-0000-0000-000063020000}"/>
    <cellStyle name="40% - Accent5 9 2" xfId="848" xr:uid="{00000000-0005-0000-0000-000064020000}"/>
    <cellStyle name="40% - Accent5 9 3" xfId="849" xr:uid="{00000000-0005-0000-0000-000065020000}"/>
    <cellStyle name="40% - Accent5 9 4" xfId="850" xr:uid="{00000000-0005-0000-0000-000066020000}"/>
    <cellStyle name="40% - Accent5 9 5" xfId="851" xr:uid="{00000000-0005-0000-0000-000067020000}"/>
    <cellStyle name="40% - Accent5 9 6" xfId="852" xr:uid="{00000000-0005-0000-0000-000068020000}"/>
    <cellStyle name="40% - Accent6 10 2" xfId="853" xr:uid="{00000000-0005-0000-0000-000069020000}"/>
    <cellStyle name="40% - Accent6 10 3" xfId="854" xr:uid="{00000000-0005-0000-0000-00006A020000}"/>
    <cellStyle name="40% - Accent6 10 4" xfId="855" xr:uid="{00000000-0005-0000-0000-00006B020000}"/>
    <cellStyle name="40% - Accent6 10 5" xfId="856" xr:uid="{00000000-0005-0000-0000-00006C020000}"/>
    <cellStyle name="40% - Accent6 10 6" xfId="857" xr:uid="{00000000-0005-0000-0000-00006D020000}"/>
    <cellStyle name="40% - Accent6 11 2" xfId="858" xr:uid="{00000000-0005-0000-0000-00006E020000}"/>
    <cellStyle name="40% - Accent6 11 3" xfId="859" xr:uid="{00000000-0005-0000-0000-00006F020000}"/>
    <cellStyle name="40% - Accent6 11 4" xfId="860" xr:uid="{00000000-0005-0000-0000-000070020000}"/>
    <cellStyle name="40% - Accent6 11 5" xfId="861" xr:uid="{00000000-0005-0000-0000-000071020000}"/>
    <cellStyle name="40% - Accent6 11 6" xfId="862" xr:uid="{00000000-0005-0000-0000-000072020000}"/>
    <cellStyle name="40% - Accent6 2" xfId="863" xr:uid="{00000000-0005-0000-0000-000073020000}"/>
    <cellStyle name="40% - Accent6 2 2" xfId="864" xr:uid="{00000000-0005-0000-0000-000074020000}"/>
    <cellStyle name="40% - Accent6 2 3" xfId="865" xr:uid="{00000000-0005-0000-0000-000075020000}"/>
    <cellStyle name="40% - Accent6 2 4" xfId="866" xr:uid="{00000000-0005-0000-0000-000076020000}"/>
    <cellStyle name="40% - Accent6 2 5" xfId="867" xr:uid="{00000000-0005-0000-0000-000077020000}"/>
    <cellStyle name="40% - Accent6 2 6" xfId="868" xr:uid="{00000000-0005-0000-0000-000078020000}"/>
    <cellStyle name="40% - Accent6 3" xfId="869" xr:uid="{00000000-0005-0000-0000-000079020000}"/>
    <cellStyle name="40% - Accent6 3 2" xfId="870" xr:uid="{00000000-0005-0000-0000-00007A020000}"/>
    <cellStyle name="40% - Accent6 3 3" xfId="871" xr:uid="{00000000-0005-0000-0000-00007B020000}"/>
    <cellStyle name="40% - Accent6 3 4" xfId="872" xr:uid="{00000000-0005-0000-0000-00007C020000}"/>
    <cellStyle name="40% - Accent6 3 5" xfId="873" xr:uid="{00000000-0005-0000-0000-00007D020000}"/>
    <cellStyle name="40% - Accent6 3 6" xfId="874" xr:uid="{00000000-0005-0000-0000-00007E020000}"/>
    <cellStyle name="40% - Accent6 4 2" xfId="875" xr:uid="{00000000-0005-0000-0000-00007F020000}"/>
    <cellStyle name="40% - Accent6 4 3" xfId="876" xr:uid="{00000000-0005-0000-0000-000080020000}"/>
    <cellStyle name="40% - Accent6 4 4" xfId="877" xr:uid="{00000000-0005-0000-0000-000081020000}"/>
    <cellStyle name="40% - Accent6 4 5" xfId="878" xr:uid="{00000000-0005-0000-0000-000082020000}"/>
    <cellStyle name="40% - Accent6 4 6" xfId="879" xr:uid="{00000000-0005-0000-0000-000083020000}"/>
    <cellStyle name="40% - Accent6 5 2" xfId="880" xr:uid="{00000000-0005-0000-0000-000084020000}"/>
    <cellStyle name="40% - Accent6 5 3" xfId="881" xr:uid="{00000000-0005-0000-0000-000085020000}"/>
    <cellStyle name="40% - Accent6 5 4" xfId="882" xr:uid="{00000000-0005-0000-0000-000086020000}"/>
    <cellStyle name="40% - Accent6 5 5" xfId="883" xr:uid="{00000000-0005-0000-0000-000087020000}"/>
    <cellStyle name="40% - Accent6 5 6" xfId="884" xr:uid="{00000000-0005-0000-0000-000088020000}"/>
    <cellStyle name="40% - Accent6 6 2" xfId="885" xr:uid="{00000000-0005-0000-0000-000089020000}"/>
    <cellStyle name="40% - Accent6 6 3" xfId="886" xr:uid="{00000000-0005-0000-0000-00008A020000}"/>
    <cellStyle name="40% - Accent6 6 4" xfId="887" xr:uid="{00000000-0005-0000-0000-00008B020000}"/>
    <cellStyle name="40% - Accent6 6 5" xfId="888" xr:uid="{00000000-0005-0000-0000-00008C020000}"/>
    <cellStyle name="40% - Accent6 6 6" xfId="889" xr:uid="{00000000-0005-0000-0000-00008D020000}"/>
    <cellStyle name="40% - Accent6 7 2" xfId="890" xr:uid="{00000000-0005-0000-0000-00008E020000}"/>
    <cellStyle name="40% - Accent6 7 3" xfId="891" xr:uid="{00000000-0005-0000-0000-00008F020000}"/>
    <cellStyle name="40% - Accent6 7 4" xfId="892" xr:uid="{00000000-0005-0000-0000-000090020000}"/>
    <cellStyle name="40% - Accent6 7 5" xfId="893" xr:uid="{00000000-0005-0000-0000-000091020000}"/>
    <cellStyle name="40% - Accent6 7 6" xfId="894" xr:uid="{00000000-0005-0000-0000-000092020000}"/>
    <cellStyle name="40% - Accent6 8 2" xfId="895" xr:uid="{00000000-0005-0000-0000-000093020000}"/>
    <cellStyle name="40% - Accent6 8 3" xfId="896" xr:uid="{00000000-0005-0000-0000-000094020000}"/>
    <cellStyle name="40% - Accent6 8 4" xfId="897" xr:uid="{00000000-0005-0000-0000-000095020000}"/>
    <cellStyle name="40% - Accent6 8 5" xfId="898" xr:uid="{00000000-0005-0000-0000-000096020000}"/>
    <cellStyle name="40% - Accent6 8 6" xfId="899" xr:uid="{00000000-0005-0000-0000-000097020000}"/>
    <cellStyle name="40% - Accent6 9 2" xfId="900" xr:uid="{00000000-0005-0000-0000-000098020000}"/>
    <cellStyle name="40% - Accent6 9 3" xfId="901" xr:uid="{00000000-0005-0000-0000-000099020000}"/>
    <cellStyle name="40% - Accent6 9 4" xfId="902" xr:uid="{00000000-0005-0000-0000-00009A020000}"/>
    <cellStyle name="40% - Accent6 9 5" xfId="903" xr:uid="{00000000-0005-0000-0000-00009B020000}"/>
    <cellStyle name="40% - Accent6 9 6" xfId="904" xr:uid="{00000000-0005-0000-0000-00009C020000}"/>
    <cellStyle name="5" xfId="41" xr:uid="{00000000-0005-0000-0000-00009D020000}"/>
    <cellStyle name="6" xfId="42" xr:uid="{00000000-0005-0000-0000-00009E020000}"/>
    <cellStyle name="60% - Accent1 10 2" xfId="905" xr:uid="{00000000-0005-0000-0000-00009F020000}"/>
    <cellStyle name="60% - Accent1 10 3" xfId="906" xr:uid="{00000000-0005-0000-0000-0000A0020000}"/>
    <cellStyle name="60% - Accent1 10 4" xfId="907" xr:uid="{00000000-0005-0000-0000-0000A1020000}"/>
    <cellStyle name="60% - Accent1 10 5" xfId="908" xr:uid="{00000000-0005-0000-0000-0000A2020000}"/>
    <cellStyle name="60% - Accent1 10 6" xfId="909" xr:uid="{00000000-0005-0000-0000-0000A3020000}"/>
    <cellStyle name="60% - Accent1 11 2" xfId="910" xr:uid="{00000000-0005-0000-0000-0000A4020000}"/>
    <cellStyle name="60% - Accent1 11 3" xfId="911" xr:uid="{00000000-0005-0000-0000-0000A5020000}"/>
    <cellStyle name="60% - Accent1 11 4" xfId="912" xr:uid="{00000000-0005-0000-0000-0000A6020000}"/>
    <cellStyle name="60% - Accent1 11 5" xfId="913" xr:uid="{00000000-0005-0000-0000-0000A7020000}"/>
    <cellStyle name="60% - Accent1 11 6" xfId="914" xr:uid="{00000000-0005-0000-0000-0000A8020000}"/>
    <cellStyle name="60% - Accent1 2" xfId="915" xr:uid="{00000000-0005-0000-0000-0000A9020000}"/>
    <cellStyle name="60% - Accent1 2 2" xfId="916" xr:uid="{00000000-0005-0000-0000-0000AA020000}"/>
    <cellStyle name="60% - Accent1 2 3" xfId="917" xr:uid="{00000000-0005-0000-0000-0000AB020000}"/>
    <cellStyle name="60% - Accent1 2 4" xfId="918" xr:uid="{00000000-0005-0000-0000-0000AC020000}"/>
    <cellStyle name="60% - Accent1 2 5" xfId="919" xr:uid="{00000000-0005-0000-0000-0000AD020000}"/>
    <cellStyle name="60% - Accent1 2 6" xfId="920" xr:uid="{00000000-0005-0000-0000-0000AE020000}"/>
    <cellStyle name="60% - Accent1 3" xfId="921" xr:uid="{00000000-0005-0000-0000-0000AF020000}"/>
    <cellStyle name="60% - Accent1 3 2" xfId="922" xr:uid="{00000000-0005-0000-0000-0000B0020000}"/>
    <cellStyle name="60% - Accent1 3 3" xfId="923" xr:uid="{00000000-0005-0000-0000-0000B1020000}"/>
    <cellStyle name="60% - Accent1 3 4" xfId="924" xr:uid="{00000000-0005-0000-0000-0000B2020000}"/>
    <cellStyle name="60% - Accent1 3 5" xfId="925" xr:uid="{00000000-0005-0000-0000-0000B3020000}"/>
    <cellStyle name="60% - Accent1 3 6" xfId="926" xr:uid="{00000000-0005-0000-0000-0000B4020000}"/>
    <cellStyle name="60% - Accent1 4 2" xfId="927" xr:uid="{00000000-0005-0000-0000-0000B5020000}"/>
    <cellStyle name="60% - Accent1 4 3" xfId="928" xr:uid="{00000000-0005-0000-0000-0000B6020000}"/>
    <cellStyle name="60% - Accent1 4 4" xfId="929" xr:uid="{00000000-0005-0000-0000-0000B7020000}"/>
    <cellStyle name="60% - Accent1 4 5" xfId="930" xr:uid="{00000000-0005-0000-0000-0000B8020000}"/>
    <cellStyle name="60% - Accent1 4 6" xfId="931" xr:uid="{00000000-0005-0000-0000-0000B9020000}"/>
    <cellStyle name="60% - Accent1 5 2" xfId="932" xr:uid="{00000000-0005-0000-0000-0000BA020000}"/>
    <cellStyle name="60% - Accent1 5 3" xfId="933" xr:uid="{00000000-0005-0000-0000-0000BB020000}"/>
    <cellStyle name="60% - Accent1 5 4" xfId="934" xr:uid="{00000000-0005-0000-0000-0000BC020000}"/>
    <cellStyle name="60% - Accent1 5 5" xfId="935" xr:uid="{00000000-0005-0000-0000-0000BD020000}"/>
    <cellStyle name="60% - Accent1 5 6" xfId="936" xr:uid="{00000000-0005-0000-0000-0000BE020000}"/>
    <cellStyle name="60% - Accent1 6 2" xfId="937" xr:uid="{00000000-0005-0000-0000-0000BF020000}"/>
    <cellStyle name="60% - Accent1 6 3" xfId="938" xr:uid="{00000000-0005-0000-0000-0000C0020000}"/>
    <cellStyle name="60% - Accent1 6 4" xfId="939" xr:uid="{00000000-0005-0000-0000-0000C1020000}"/>
    <cellStyle name="60% - Accent1 6 5" xfId="940" xr:uid="{00000000-0005-0000-0000-0000C2020000}"/>
    <cellStyle name="60% - Accent1 6 6" xfId="941" xr:uid="{00000000-0005-0000-0000-0000C3020000}"/>
    <cellStyle name="60% - Accent1 7 2" xfId="942" xr:uid="{00000000-0005-0000-0000-0000C4020000}"/>
    <cellStyle name="60% - Accent1 7 3" xfId="943" xr:uid="{00000000-0005-0000-0000-0000C5020000}"/>
    <cellStyle name="60% - Accent1 7 4" xfId="944" xr:uid="{00000000-0005-0000-0000-0000C6020000}"/>
    <cellStyle name="60% - Accent1 7 5" xfId="945" xr:uid="{00000000-0005-0000-0000-0000C7020000}"/>
    <cellStyle name="60% - Accent1 7 6" xfId="946" xr:uid="{00000000-0005-0000-0000-0000C8020000}"/>
    <cellStyle name="60% - Accent1 8 2" xfId="947" xr:uid="{00000000-0005-0000-0000-0000C9020000}"/>
    <cellStyle name="60% - Accent1 8 3" xfId="948" xr:uid="{00000000-0005-0000-0000-0000CA020000}"/>
    <cellStyle name="60% - Accent1 8 4" xfId="949" xr:uid="{00000000-0005-0000-0000-0000CB020000}"/>
    <cellStyle name="60% - Accent1 8 5" xfId="950" xr:uid="{00000000-0005-0000-0000-0000CC020000}"/>
    <cellStyle name="60% - Accent1 8 6" xfId="951" xr:uid="{00000000-0005-0000-0000-0000CD020000}"/>
    <cellStyle name="60% - Accent1 9 2" xfId="952" xr:uid="{00000000-0005-0000-0000-0000CE020000}"/>
    <cellStyle name="60% - Accent1 9 3" xfId="953" xr:uid="{00000000-0005-0000-0000-0000CF020000}"/>
    <cellStyle name="60% - Accent1 9 4" xfId="954" xr:uid="{00000000-0005-0000-0000-0000D0020000}"/>
    <cellStyle name="60% - Accent1 9 5" xfId="955" xr:uid="{00000000-0005-0000-0000-0000D1020000}"/>
    <cellStyle name="60% - Accent1 9 6" xfId="956" xr:uid="{00000000-0005-0000-0000-0000D2020000}"/>
    <cellStyle name="60% - Accent2 10 2" xfId="957" xr:uid="{00000000-0005-0000-0000-0000D3020000}"/>
    <cellStyle name="60% - Accent2 10 3" xfId="958" xr:uid="{00000000-0005-0000-0000-0000D4020000}"/>
    <cellStyle name="60% - Accent2 10 4" xfId="959" xr:uid="{00000000-0005-0000-0000-0000D5020000}"/>
    <cellStyle name="60% - Accent2 10 5" xfId="960" xr:uid="{00000000-0005-0000-0000-0000D6020000}"/>
    <cellStyle name="60% - Accent2 10 6" xfId="961" xr:uid="{00000000-0005-0000-0000-0000D7020000}"/>
    <cellStyle name="60% - Accent2 11 2" xfId="962" xr:uid="{00000000-0005-0000-0000-0000D8020000}"/>
    <cellStyle name="60% - Accent2 11 3" xfId="963" xr:uid="{00000000-0005-0000-0000-0000D9020000}"/>
    <cellStyle name="60% - Accent2 11 4" xfId="964" xr:uid="{00000000-0005-0000-0000-0000DA020000}"/>
    <cellStyle name="60% - Accent2 11 5" xfId="965" xr:uid="{00000000-0005-0000-0000-0000DB020000}"/>
    <cellStyle name="60% - Accent2 11 6" xfId="966" xr:uid="{00000000-0005-0000-0000-0000DC020000}"/>
    <cellStyle name="60% - Accent2 2" xfId="967" xr:uid="{00000000-0005-0000-0000-0000DD020000}"/>
    <cellStyle name="60% - Accent2 2 2" xfId="968" xr:uid="{00000000-0005-0000-0000-0000DE020000}"/>
    <cellStyle name="60% - Accent2 2 3" xfId="969" xr:uid="{00000000-0005-0000-0000-0000DF020000}"/>
    <cellStyle name="60% - Accent2 2 4" xfId="970" xr:uid="{00000000-0005-0000-0000-0000E0020000}"/>
    <cellStyle name="60% - Accent2 2 5" xfId="971" xr:uid="{00000000-0005-0000-0000-0000E1020000}"/>
    <cellStyle name="60% - Accent2 2 6" xfId="972" xr:uid="{00000000-0005-0000-0000-0000E2020000}"/>
    <cellStyle name="60% - Accent2 3" xfId="973" xr:uid="{00000000-0005-0000-0000-0000E3020000}"/>
    <cellStyle name="60% - Accent2 3 2" xfId="974" xr:uid="{00000000-0005-0000-0000-0000E4020000}"/>
    <cellStyle name="60% - Accent2 3 3" xfId="975" xr:uid="{00000000-0005-0000-0000-0000E5020000}"/>
    <cellStyle name="60% - Accent2 3 4" xfId="976" xr:uid="{00000000-0005-0000-0000-0000E6020000}"/>
    <cellStyle name="60% - Accent2 3 5" xfId="977" xr:uid="{00000000-0005-0000-0000-0000E7020000}"/>
    <cellStyle name="60% - Accent2 3 6" xfId="978" xr:uid="{00000000-0005-0000-0000-0000E8020000}"/>
    <cellStyle name="60% - Accent2 4 2" xfId="979" xr:uid="{00000000-0005-0000-0000-0000E9020000}"/>
    <cellStyle name="60% - Accent2 4 3" xfId="980" xr:uid="{00000000-0005-0000-0000-0000EA020000}"/>
    <cellStyle name="60% - Accent2 4 4" xfId="981" xr:uid="{00000000-0005-0000-0000-0000EB020000}"/>
    <cellStyle name="60% - Accent2 4 5" xfId="982" xr:uid="{00000000-0005-0000-0000-0000EC020000}"/>
    <cellStyle name="60% - Accent2 4 6" xfId="983" xr:uid="{00000000-0005-0000-0000-0000ED020000}"/>
    <cellStyle name="60% - Accent2 5 2" xfId="984" xr:uid="{00000000-0005-0000-0000-0000EE020000}"/>
    <cellStyle name="60% - Accent2 5 3" xfId="985" xr:uid="{00000000-0005-0000-0000-0000EF020000}"/>
    <cellStyle name="60% - Accent2 5 4" xfId="986" xr:uid="{00000000-0005-0000-0000-0000F0020000}"/>
    <cellStyle name="60% - Accent2 5 5" xfId="987" xr:uid="{00000000-0005-0000-0000-0000F1020000}"/>
    <cellStyle name="60% - Accent2 5 6" xfId="988" xr:uid="{00000000-0005-0000-0000-0000F2020000}"/>
    <cellStyle name="60% - Accent2 6 2" xfId="989" xr:uid="{00000000-0005-0000-0000-0000F3020000}"/>
    <cellStyle name="60% - Accent2 6 3" xfId="990" xr:uid="{00000000-0005-0000-0000-0000F4020000}"/>
    <cellStyle name="60% - Accent2 6 4" xfId="991" xr:uid="{00000000-0005-0000-0000-0000F5020000}"/>
    <cellStyle name="60% - Accent2 6 5" xfId="992" xr:uid="{00000000-0005-0000-0000-0000F6020000}"/>
    <cellStyle name="60% - Accent2 6 6" xfId="993" xr:uid="{00000000-0005-0000-0000-0000F7020000}"/>
    <cellStyle name="60% - Accent2 7 2" xfId="994" xr:uid="{00000000-0005-0000-0000-0000F8020000}"/>
    <cellStyle name="60% - Accent2 7 3" xfId="995" xr:uid="{00000000-0005-0000-0000-0000F9020000}"/>
    <cellStyle name="60% - Accent2 7 4" xfId="996" xr:uid="{00000000-0005-0000-0000-0000FA020000}"/>
    <cellStyle name="60% - Accent2 7 5" xfId="997" xr:uid="{00000000-0005-0000-0000-0000FB020000}"/>
    <cellStyle name="60% - Accent2 7 6" xfId="998" xr:uid="{00000000-0005-0000-0000-0000FC020000}"/>
    <cellStyle name="60% - Accent2 8 2" xfId="999" xr:uid="{00000000-0005-0000-0000-0000FD020000}"/>
    <cellStyle name="60% - Accent2 8 3" xfId="1000" xr:uid="{00000000-0005-0000-0000-0000FE020000}"/>
    <cellStyle name="60% - Accent2 8 4" xfId="1001" xr:uid="{00000000-0005-0000-0000-0000FF020000}"/>
    <cellStyle name="60% - Accent2 8 5" xfId="1002" xr:uid="{00000000-0005-0000-0000-000000030000}"/>
    <cellStyle name="60% - Accent2 8 6" xfId="1003" xr:uid="{00000000-0005-0000-0000-000001030000}"/>
    <cellStyle name="60% - Accent2 9 2" xfId="1004" xr:uid="{00000000-0005-0000-0000-000002030000}"/>
    <cellStyle name="60% - Accent2 9 3" xfId="1005" xr:uid="{00000000-0005-0000-0000-000003030000}"/>
    <cellStyle name="60% - Accent2 9 4" xfId="1006" xr:uid="{00000000-0005-0000-0000-000004030000}"/>
    <cellStyle name="60% - Accent2 9 5" xfId="1007" xr:uid="{00000000-0005-0000-0000-000005030000}"/>
    <cellStyle name="60% - Accent2 9 6" xfId="1008" xr:uid="{00000000-0005-0000-0000-000006030000}"/>
    <cellStyle name="60% - Accent3 10 2" xfId="1009" xr:uid="{00000000-0005-0000-0000-000007030000}"/>
    <cellStyle name="60% - Accent3 10 3" xfId="1010" xr:uid="{00000000-0005-0000-0000-000008030000}"/>
    <cellStyle name="60% - Accent3 10 4" xfId="1011" xr:uid="{00000000-0005-0000-0000-000009030000}"/>
    <cellStyle name="60% - Accent3 10 5" xfId="1012" xr:uid="{00000000-0005-0000-0000-00000A030000}"/>
    <cellStyle name="60% - Accent3 10 6" xfId="1013" xr:uid="{00000000-0005-0000-0000-00000B030000}"/>
    <cellStyle name="60% - Accent3 11 2" xfId="1014" xr:uid="{00000000-0005-0000-0000-00000C030000}"/>
    <cellStyle name="60% - Accent3 11 3" xfId="1015" xr:uid="{00000000-0005-0000-0000-00000D030000}"/>
    <cellStyle name="60% - Accent3 11 4" xfId="1016" xr:uid="{00000000-0005-0000-0000-00000E030000}"/>
    <cellStyle name="60% - Accent3 11 5" xfId="1017" xr:uid="{00000000-0005-0000-0000-00000F030000}"/>
    <cellStyle name="60% - Accent3 11 6" xfId="1018" xr:uid="{00000000-0005-0000-0000-000010030000}"/>
    <cellStyle name="60% - Accent3 2" xfId="1019" xr:uid="{00000000-0005-0000-0000-000011030000}"/>
    <cellStyle name="60% - Accent3 2 2" xfId="1020" xr:uid="{00000000-0005-0000-0000-000012030000}"/>
    <cellStyle name="60% - Accent3 2 3" xfId="1021" xr:uid="{00000000-0005-0000-0000-000013030000}"/>
    <cellStyle name="60% - Accent3 2 4" xfId="1022" xr:uid="{00000000-0005-0000-0000-000014030000}"/>
    <cellStyle name="60% - Accent3 2 5" xfId="1023" xr:uid="{00000000-0005-0000-0000-000015030000}"/>
    <cellStyle name="60% - Accent3 2 6" xfId="1024" xr:uid="{00000000-0005-0000-0000-000016030000}"/>
    <cellStyle name="60% - Accent3 3" xfId="1025" xr:uid="{00000000-0005-0000-0000-000017030000}"/>
    <cellStyle name="60% - Accent3 3 2" xfId="1026" xr:uid="{00000000-0005-0000-0000-000018030000}"/>
    <cellStyle name="60% - Accent3 3 3" xfId="1027" xr:uid="{00000000-0005-0000-0000-000019030000}"/>
    <cellStyle name="60% - Accent3 3 4" xfId="1028" xr:uid="{00000000-0005-0000-0000-00001A030000}"/>
    <cellStyle name="60% - Accent3 3 5" xfId="1029" xr:uid="{00000000-0005-0000-0000-00001B030000}"/>
    <cellStyle name="60% - Accent3 3 6" xfId="1030" xr:uid="{00000000-0005-0000-0000-00001C030000}"/>
    <cellStyle name="60% - Accent3 4 2" xfId="1031" xr:uid="{00000000-0005-0000-0000-00001D030000}"/>
    <cellStyle name="60% - Accent3 4 3" xfId="1032" xr:uid="{00000000-0005-0000-0000-00001E030000}"/>
    <cellStyle name="60% - Accent3 4 4" xfId="1033" xr:uid="{00000000-0005-0000-0000-00001F030000}"/>
    <cellStyle name="60% - Accent3 4 5" xfId="1034" xr:uid="{00000000-0005-0000-0000-000020030000}"/>
    <cellStyle name="60% - Accent3 4 6" xfId="1035" xr:uid="{00000000-0005-0000-0000-000021030000}"/>
    <cellStyle name="60% - Accent3 5 2" xfId="1036" xr:uid="{00000000-0005-0000-0000-000022030000}"/>
    <cellStyle name="60% - Accent3 5 3" xfId="1037" xr:uid="{00000000-0005-0000-0000-000023030000}"/>
    <cellStyle name="60% - Accent3 5 4" xfId="1038" xr:uid="{00000000-0005-0000-0000-000024030000}"/>
    <cellStyle name="60% - Accent3 5 5" xfId="1039" xr:uid="{00000000-0005-0000-0000-000025030000}"/>
    <cellStyle name="60% - Accent3 5 6" xfId="1040" xr:uid="{00000000-0005-0000-0000-000026030000}"/>
    <cellStyle name="60% - Accent3 6 2" xfId="1041" xr:uid="{00000000-0005-0000-0000-000027030000}"/>
    <cellStyle name="60% - Accent3 6 3" xfId="1042" xr:uid="{00000000-0005-0000-0000-000028030000}"/>
    <cellStyle name="60% - Accent3 6 4" xfId="1043" xr:uid="{00000000-0005-0000-0000-000029030000}"/>
    <cellStyle name="60% - Accent3 6 5" xfId="1044" xr:uid="{00000000-0005-0000-0000-00002A030000}"/>
    <cellStyle name="60% - Accent3 6 6" xfId="1045" xr:uid="{00000000-0005-0000-0000-00002B030000}"/>
    <cellStyle name="60% - Accent3 7 2" xfId="1046" xr:uid="{00000000-0005-0000-0000-00002C030000}"/>
    <cellStyle name="60% - Accent3 7 3" xfId="1047" xr:uid="{00000000-0005-0000-0000-00002D030000}"/>
    <cellStyle name="60% - Accent3 7 4" xfId="1048" xr:uid="{00000000-0005-0000-0000-00002E030000}"/>
    <cellStyle name="60% - Accent3 7 5" xfId="1049" xr:uid="{00000000-0005-0000-0000-00002F030000}"/>
    <cellStyle name="60% - Accent3 7 6" xfId="1050" xr:uid="{00000000-0005-0000-0000-000030030000}"/>
    <cellStyle name="60% - Accent3 8 2" xfId="1051" xr:uid="{00000000-0005-0000-0000-000031030000}"/>
    <cellStyle name="60% - Accent3 8 3" xfId="1052" xr:uid="{00000000-0005-0000-0000-000032030000}"/>
    <cellStyle name="60% - Accent3 8 4" xfId="1053" xr:uid="{00000000-0005-0000-0000-000033030000}"/>
    <cellStyle name="60% - Accent3 8 5" xfId="1054" xr:uid="{00000000-0005-0000-0000-000034030000}"/>
    <cellStyle name="60% - Accent3 8 6" xfId="1055" xr:uid="{00000000-0005-0000-0000-000035030000}"/>
    <cellStyle name="60% - Accent3 9 2" xfId="1056" xr:uid="{00000000-0005-0000-0000-000036030000}"/>
    <cellStyle name="60% - Accent3 9 3" xfId="1057" xr:uid="{00000000-0005-0000-0000-000037030000}"/>
    <cellStyle name="60% - Accent3 9 4" xfId="1058" xr:uid="{00000000-0005-0000-0000-000038030000}"/>
    <cellStyle name="60% - Accent3 9 5" xfId="1059" xr:uid="{00000000-0005-0000-0000-000039030000}"/>
    <cellStyle name="60% - Accent3 9 6" xfId="1060" xr:uid="{00000000-0005-0000-0000-00003A030000}"/>
    <cellStyle name="60% - Accent4 10 2" xfId="1061" xr:uid="{00000000-0005-0000-0000-00003B030000}"/>
    <cellStyle name="60% - Accent4 10 3" xfId="1062" xr:uid="{00000000-0005-0000-0000-00003C030000}"/>
    <cellStyle name="60% - Accent4 10 4" xfId="1063" xr:uid="{00000000-0005-0000-0000-00003D030000}"/>
    <cellStyle name="60% - Accent4 10 5" xfId="1064" xr:uid="{00000000-0005-0000-0000-00003E030000}"/>
    <cellStyle name="60% - Accent4 10 6" xfId="1065" xr:uid="{00000000-0005-0000-0000-00003F030000}"/>
    <cellStyle name="60% - Accent4 11 2" xfId="1066" xr:uid="{00000000-0005-0000-0000-000040030000}"/>
    <cellStyle name="60% - Accent4 11 3" xfId="1067" xr:uid="{00000000-0005-0000-0000-000041030000}"/>
    <cellStyle name="60% - Accent4 11 4" xfId="1068" xr:uid="{00000000-0005-0000-0000-000042030000}"/>
    <cellStyle name="60% - Accent4 11 5" xfId="1069" xr:uid="{00000000-0005-0000-0000-000043030000}"/>
    <cellStyle name="60% - Accent4 11 6" xfId="1070" xr:uid="{00000000-0005-0000-0000-000044030000}"/>
    <cellStyle name="60% - Accent4 2" xfId="1071" xr:uid="{00000000-0005-0000-0000-000045030000}"/>
    <cellStyle name="60% - Accent4 2 2" xfId="1072" xr:uid="{00000000-0005-0000-0000-000046030000}"/>
    <cellStyle name="60% - Accent4 2 3" xfId="1073" xr:uid="{00000000-0005-0000-0000-000047030000}"/>
    <cellStyle name="60% - Accent4 2 4" xfId="1074" xr:uid="{00000000-0005-0000-0000-000048030000}"/>
    <cellStyle name="60% - Accent4 2 5" xfId="1075" xr:uid="{00000000-0005-0000-0000-000049030000}"/>
    <cellStyle name="60% - Accent4 2 6" xfId="1076" xr:uid="{00000000-0005-0000-0000-00004A030000}"/>
    <cellStyle name="60% - Accent4 3" xfId="1077" xr:uid="{00000000-0005-0000-0000-00004B030000}"/>
    <cellStyle name="60% - Accent4 3 2" xfId="1078" xr:uid="{00000000-0005-0000-0000-00004C030000}"/>
    <cellStyle name="60% - Accent4 3 3" xfId="1079" xr:uid="{00000000-0005-0000-0000-00004D030000}"/>
    <cellStyle name="60% - Accent4 3 4" xfId="1080" xr:uid="{00000000-0005-0000-0000-00004E030000}"/>
    <cellStyle name="60% - Accent4 3 5" xfId="1081" xr:uid="{00000000-0005-0000-0000-00004F030000}"/>
    <cellStyle name="60% - Accent4 3 6" xfId="1082" xr:uid="{00000000-0005-0000-0000-000050030000}"/>
    <cellStyle name="60% - Accent4 4 2" xfId="1083" xr:uid="{00000000-0005-0000-0000-000051030000}"/>
    <cellStyle name="60% - Accent4 4 3" xfId="1084" xr:uid="{00000000-0005-0000-0000-000052030000}"/>
    <cellStyle name="60% - Accent4 4 4" xfId="1085" xr:uid="{00000000-0005-0000-0000-000053030000}"/>
    <cellStyle name="60% - Accent4 4 5" xfId="1086" xr:uid="{00000000-0005-0000-0000-000054030000}"/>
    <cellStyle name="60% - Accent4 4 6" xfId="1087" xr:uid="{00000000-0005-0000-0000-000055030000}"/>
    <cellStyle name="60% - Accent4 5 2" xfId="1088" xr:uid="{00000000-0005-0000-0000-000056030000}"/>
    <cellStyle name="60% - Accent4 5 3" xfId="1089" xr:uid="{00000000-0005-0000-0000-000057030000}"/>
    <cellStyle name="60% - Accent4 5 4" xfId="1090" xr:uid="{00000000-0005-0000-0000-000058030000}"/>
    <cellStyle name="60% - Accent4 5 5" xfId="1091" xr:uid="{00000000-0005-0000-0000-000059030000}"/>
    <cellStyle name="60% - Accent4 5 6" xfId="1092" xr:uid="{00000000-0005-0000-0000-00005A030000}"/>
    <cellStyle name="60% - Accent4 6 2" xfId="1093" xr:uid="{00000000-0005-0000-0000-00005B030000}"/>
    <cellStyle name="60% - Accent4 6 3" xfId="1094" xr:uid="{00000000-0005-0000-0000-00005C030000}"/>
    <cellStyle name="60% - Accent4 6 4" xfId="1095" xr:uid="{00000000-0005-0000-0000-00005D030000}"/>
    <cellStyle name="60% - Accent4 6 5" xfId="1096" xr:uid="{00000000-0005-0000-0000-00005E030000}"/>
    <cellStyle name="60% - Accent4 6 6" xfId="1097" xr:uid="{00000000-0005-0000-0000-00005F030000}"/>
    <cellStyle name="60% - Accent4 7 2" xfId="1098" xr:uid="{00000000-0005-0000-0000-000060030000}"/>
    <cellStyle name="60% - Accent4 7 3" xfId="1099" xr:uid="{00000000-0005-0000-0000-000061030000}"/>
    <cellStyle name="60% - Accent4 7 4" xfId="1100" xr:uid="{00000000-0005-0000-0000-000062030000}"/>
    <cellStyle name="60% - Accent4 7 5" xfId="1101" xr:uid="{00000000-0005-0000-0000-000063030000}"/>
    <cellStyle name="60% - Accent4 7 6" xfId="1102" xr:uid="{00000000-0005-0000-0000-000064030000}"/>
    <cellStyle name="60% - Accent4 8 2" xfId="1103" xr:uid="{00000000-0005-0000-0000-000065030000}"/>
    <cellStyle name="60% - Accent4 8 3" xfId="1104" xr:uid="{00000000-0005-0000-0000-000066030000}"/>
    <cellStyle name="60% - Accent4 8 4" xfId="1105" xr:uid="{00000000-0005-0000-0000-000067030000}"/>
    <cellStyle name="60% - Accent4 8 5" xfId="1106" xr:uid="{00000000-0005-0000-0000-000068030000}"/>
    <cellStyle name="60% - Accent4 8 6" xfId="1107" xr:uid="{00000000-0005-0000-0000-000069030000}"/>
    <cellStyle name="60% - Accent4 9 2" xfId="1108" xr:uid="{00000000-0005-0000-0000-00006A030000}"/>
    <cellStyle name="60% - Accent4 9 3" xfId="1109" xr:uid="{00000000-0005-0000-0000-00006B030000}"/>
    <cellStyle name="60% - Accent4 9 4" xfId="1110" xr:uid="{00000000-0005-0000-0000-00006C030000}"/>
    <cellStyle name="60% - Accent4 9 5" xfId="1111" xr:uid="{00000000-0005-0000-0000-00006D030000}"/>
    <cellStyle name="60% - Accent4 9 6" xfId="1112" xr:uid="{00000000-0005-0000-0000-00006E030000}"/>
    <cellStyle name="60% - Accent5 10 2" xfId="1113" xr:uid="{00000000-0005-0000-0000-00006F030000}"/>
    <cellStyle name="60% - Accent5 10 3" xfId="1114" xr:uid="{00000000-0005-0000-0000-000070030000}"/>
    <cellStyle name="60% - Accent5 10 4" xfId="1115" xr:uid="{00000000-0005-0000-0000-000071030000}"/>
    <cellStyle name="60% - Accent5 10 5" xfId="1116" xr:uid="{00000000-0005-0000-0000-000072030000}"/>
    <cellStyle name="60% - Accent5 10 6" xfId="1117" xr:uid="{00000000-0005-0000-0000-000073030000}"/>
    <cellStyle name="60% - Accent5 11 2" xfId="1118" xr:uid="{00000000-0005-0000-0000-000074030000}"/>
    <cellStyle name="60% - Accent5 11 3" xfId="1119" xr:uid="{00000000-0005-0000-0000-000075030000}"/>
    <cellStyle name="60% - Accent5 11 4" xfId="1120" xr:uid="{00000000-0005-0000-0000-000076030000}"/>
    <cellStyle name="60% - Accent5 11 5" xfId="1121" xr:uid="{00000000-0005-0000-0000-000077030000}"/>
    <cellStyle name="60% - Accent5 11 6" xfId="1122" xr:uid="{00000000-0005-0000-0000-000078030000}"/>
    <cellStyle name="60% - Accent5 2" xfId="1123" xr:uid="{00000000-0005-0000-0000-000079030000}"/>
    <cellStyle name="60% - Accent5 2 2" xfId="1124" xr:uid="{00000000-0005-0000-0000-00007A030000}"/>
    <cellStyle name="60% - Accent5 2 3" xfId="1125" xr:uid="{00000000-0005-0000-0000-00007B030000}"/>
    <cellStyle name="60% - Accent5 2 4" xfId="1126" xr:uid="{00000000-0005-0000-0000-00007C030000}"/>
    <cellStyle name="60% - Accent5 2 5" xfId="1127" xr:uid="{00000000-0005-0000-0000-00007D030000}"/>
    <cellStyle name="60% - Accent5 2 6" xfId="1128" xr:uid="{00000000-0005-0000-0000-00007E030000}"/>
    <cellStyle name="60% - Accent5 3" xfId="1129" xr:uid="{00000000-0005-0000-0000-00007F030000}"/>
    <cellStyle name="60% - Accent5 3 2" xfId="1130" xr:uid="{00000000-0005-0000-0000-000080030000}"/>
    <cellStyle name="60% - Accent5 3 3" xfId="1131" xr:uid="{00000000-0005-0000-0000-000081030000}"/>
    <cellStyle name="60% - Accent5 3 4" xfId="1132" xr:uid="{00000000-0005-0000-0000-000082030000}"/>
    <cellStyle name="60% - Accent5 3 5" xfId="1133" xr:uid="{00000000-0005-0000-0000-000083030000}"/>
    <cellStyle name="60% - Accent5 3 6" xfId="1134" xr:uid="{00000000-0005-0000-0000-000084030000}"/>
    <cellStyle name="60% - Accent5 4 2" xfId="1135" xr:uid="{00000000-0005-0000-0000-000085030000}"/>
    <cellStyle name="60% - Accent5 4 3" xfId="1136" xr:uid="{00000000-0005-0000-0000-000086030000}"/>
    <cellStyle name="60% - Accent5 4 4" xfId="1137" xr:uid="{00000000-0005-0000-0000-000087030000}"/>
    <cellStyle name="60% - Accent5 4 5" xfId="1138" xr:uid="{00000000-0005-0000-0000-000088030000}"/>
    <cellStyle name="60% - Accent5 4 6" xfId="1139" xr:uid="{00000000-0005-0000-0000-000089030000}"/>
    <cellStyle name="60% - Accent5 5 2" xfId="1140" xr:uid="{00000000-0005-0000-0000-00008A030000}"/>
    <cellStyle name="60% - Accent5 5 3" xfId="1141" xr:uid="{00000000-0005-0000-0000-00008B030000}"/>
    <cellStyle name="60% - Accent5 5 4" xfId="1142" xr:uid="{00000000-0005-0000-0000-00008C030000}"/>
    <cellStyle name="60% - Accent5 5 5" xfId="1143" xr:uid="{00000000-0005-0000-0000-00008D030000}"/>
    <cellStyle name="60% - Accent5 5 6" xfId="1144" xr:uid="{00000000-0005-0000-0000-00008E030000}"/>
    <cellStyle name="60% - Accent5 6 2" xfId="1145" xr:uid="{00000000-0005-0000-0000-00008F030000}"/>
    <cellStyle name="60% - Accent5 6 3" xfId="1146" xr:uid="{00000000-0005-0000-0000-000090030000}"/>
    <cellStyle name="60% - Accent5 6 4" xfId="1147" xr:uid="{00000000-0005-0000-0000-000091030000}"/>
    <cellStyle name="60% - Accent5 6 5" xfId="1148" xr:uid="{00000000-0005-0000-0000-000092030000}"/>
    <cellStyle name="60% - Accent5 6 6" xfId="1149" xr:uid="{00000000-0005-0000-0000-000093030000}"/>
    <cellStyle name="60% - Accent5 7 2" xfId="1150" xr:uid="{00000000-0005-0000-0000-000094030000}"/>
    <cellStyle name="60% - Accent5 7 3" xfId="1151" xr:uid="{00000000-0005-0000-0000-000095030000}"/>
    <cellStyle name="60% - Accent5 7 4" xfId="1152" xr:uid="{00000000-0005-0000-0000-000096030000}"/>
    <cellStyle name="60% - Accent5 7 5" xfId="1153" xr:uid="{00000000-0005-0000-0000-000097030000}"/>
    <cellStyle name="60% - Accent5 7 6" xfId="1154" xr:uid="{00000000-0005-0000-0000-000098030000}"/>
    <cellStyle name="60% - Accent5 8 2" xfId="1155" xr:uid="{00000000-0005-0000-0000-000099030000}"/>
    <cellStyle name="60% - Accent5 8 3" xfId="1156" xr:uid="{00000000-0005-0000-0000-00009A030000}"/>
    <cellStyle name="60% - Accent5 8 4" xfId="1157" xr:uid="{00000000-0005-0000-0000-00009B030000}"/>
    <cellStyle name="60% - Accent5 8 5" xfId="1158" xr:uid="{00000000-0005-0000-0000-00009C030000}"/>
    <cellStyle name="60% - Accent5 8 6" xfId="1159" xr:uid="{00000000-0005-0000-0000-00009D030000}"/>
    <cellStyle name="60% - Accent5 9 2" xfId="1160" xr:uid="{00000000-0005-0000-0000-00009E030000}"/>
    <cellStyle name="60% - Accent5 9 3" xfId="1161" xr:uid="{00000000-0005-0000-0000-00009F030000}"/>
    <cellStyle name="60% - Accent5 9 4" xfId="1162" xr:uid="{00000000-0005-0000-0000-0000A0030000}"/>
    <cellStyle name="60% - Accent5 9 5" xfId="1163" xr:uid="{00000000-0005-0000-0000-0000A1030000}"/>
    <cellStyle name="60% - Accent5 9 6" xfId="1164" xr:uid="{00000000-0005-0000-0000-0000A2030000}"/>
    <cellStyle name="60% - Accent6 10 2" xfId="1165" xr:uid="{00000000-0005-0000-0000-0000A3030000}"/>
    <cellStyle name="60% - Accent6 10 3" xfId="1166" xr:uid="{00000000-0005-0000-0000-0000A4030000}"/>
    <cellStyle name="60% - Accent6 10 4" xfId="1167" xr:uid="{00000000-0005-0000-0000-0000A5030000}"/>
    <cellStyle name="60% - Accent6 10 5" xfId="1168" xr:uid="{00000000-0005-0000-0000-0000A6030000}"/>
    <cellStyle name="60% - Accent6 10 6" xfId="1169" xr:uid="{00000000-0005-0000-0000-0000A7030000}"/>
    <cellStyle name="60% - Accent6 11 2" xfId="1170" xr:uid="{00000000-0005-0000-0000-0000A8030000}"/>
    <cellStyle name="60% - Accent6 11 3" xfId="1171" xr:uid="{00000000-0005-0000-0000-0000A9030000}"/>
    <cellStyle name="60% - Accent6 11 4" xfId="1172" xr:uid="{00000000-0005-0000-0000-0000AA030000}"/>
    <cellStyle name="60% - Accent6 11 5" xfId="1173" xr:uid="{00000000-0005-0000-0000-0000AB030000}"/>
    <cellStyle name="60% - Accent6 11 6" xfId="1174" xr:uid="{00000000-0005-0000-0000-0000AC030000}"/>
    <cellStyle name="60% - Accent6 2" xfId="1175" xr:uid="{00000000-0005-0000-0000-0000AD030000}"/>
    <cellStyle name="60% - Accent6 2 2" xfId="1176" xr:uid="{00000000-0005-0000-0000-0000AE030000}"/>
    <cellStyle name="60% - Accent6 2 3" xfId="1177" xr:uid="{00000000-0005-0000-0000-0000AF030000}"/>
    <cellStyle name="60% - Accent6 2 4" xfId="1178" xr:uid="{00000000-0005-0000-0000-0000B0030000}"/>
    <cellStyle name="60% - Accent6 2 5" xfId="1179" xr:uid="{00000000-0005-0000-0000-0000B1030000}"/>
    <cellStyle name="60% - Accent6 2 6" xfId="1180" xr:uid="{00000000-0005-0000-0000-0000B2030000}"/>
    <cellStyle name="60% - Accent6 3" xfId="1181" xr:uid="{00000000-0005-0000-0000-0000B3030000}"/>
    <cellStyle name="60% - Accent6 3 2" xfId="1182" xr:uid="{00000000-0005-0000-0000-0000B4030000}"/>
    <cellStyle name="60% - Accent6 3 3" xfId="1183" xr:uid="{00000000-0005-0000-0000-0000B5030000}"/>
    <cellStyle name="60% - Accent6 3 4" xfId="1184" xr:uid="{00000000-0005-0000-0000-0000B6030000}"/>
    <cellStyle name="60% - Accent6 3 5" xfId="1185" xr:uid="{00000000-0005-0000-0000-0000B7030000}"/>
    <cellStyle name="60% - Accent6 3 6" xfId="1186" xr:uid="{00000000-0005-0000-0000-0000B8030000}"/>
    <cellStyle name="60% - Accent6 4 2" xfId="1187" xr:uid="{00000000-0005-0000-0000-0000B9030000}"/>
    <cellStyle name="60% - Accent6 4 3" xfId="1188" xr:uid="{00000000-0005-0000-0000-0000BA030000}"/>
    <cellStyle name="60% - Accent6 4 4" xfId="1189" xr:uid="{00000000-0005-0000-0000-0000BB030000}"/>
    <cellStyle name="60% - Accent6 4 5" xfId="1190" xr:uid="{00000000-0005-0000-0000-0000BC030000}"/>
    <cellStyle name="60% - Accent6 4 6" xfId="1191" xr:uid="{00000000-0005-0000-0000-0000BD030000}"/>
    <cellStyle name="60% - Accent6 5 2" xfId="1192" xr:uid="{00000000-0005-0000-0000-0000BE030000}"/>
    <cellStyle name="60% - Accent6 5 3" xfId="1193" xr:uid="{00000000-0005-0000-0000-0000BF030000}"/>
    <cellStyle name="60% - Accent6 5 4" xfId="1194" xr:uid="{00000000-0005-0000-0000-0000C0030000}"/>
    <cellStyle name="60% - Accent6 5 5" xfId="1195" xr:uid="{00000000-0005-0000-0000-0000C1030000}"/>
    <cellStyle name="60% - Accent6 5 6" xfId="1196" xr:uid="{00000000-0005-0000-0000-0000C2030000}"/>
    <cellStyle name="60% - Accent6 6 2" xfId="1197" xr:uid="{00000000-0005-0000-0000-0000C3030000}"/>
    <cellStyle name="60% - Accent6 6 3" xfId="1198" xr:uid="{00000000-0005-0000-0000-0000C4030000}"/>
    <cellStyle name="60% - Accent6 6 4" xfId="1199" xr:uid="{00000000-0005-0000-0000-0000C5030000}"/>
    <cellStyle name="60% - Accent6 6 5" xfId="1200" xr:uid="{00000000-0005-0000-0000-0000C6030000}"/>
    <cellStyle name="60% - Accent6 6 6" xfId="1201" xr:uid="{00000000-0005-0000-0000-0000C7030000}"/>
    <cellStyle name="60% - Accent6 7 2" xfId="1202" xr:uid="{00000000-0005-0000-0000-0000C8030000}"/>
    <cellStyle name="60% - Accent6 7 3" xfId="1203" xr:uid="{00000000-0005-0000-0000-0000C9030000}"/>
    <cellStyle name="60% - Accent6 7 4" xfId="1204" xr:uid="{00000000-0005-0000-0000-0000CA030000}"/>
    <cellStyle name="60% - Accent6 7 5" xfId="1205" xr:uid="{00000000-0005-0000-0000-0000CB030000}"/>
    <cellStyle name="60% - Accent6 7 6" xfId="1206" xr:uid="{00000000-0005-0000-0000-0000CC030000}"/>
    <cellStyle name="60% - Accent6 8 2" xfId="1207" xr:uid="{00000000-0005-0000-0000-0000CD030000}"/>
    <cellStyle name="60% - Accent6 8 3" xfId="1208" xr:uid="{00000000-0005-0000-0000-0000CE030000}"/>
    <cellStyle name="60% - Accent6 8 4" xfId="1209" xr:uid="{00000000-0005-0000-0000-0000CF030000}"/>
    <cellStyle name="60% - Accent6 8 5" xfId="1210" xr:uid="{00000000-0005-0000-0000-0000D0030000}"/>
    <cellStyle name="60% - Accent6 8 6" xfId="1211" xr:uid="{00000000-0005-0000-0000-0000D1030000}"/>
    <cellStyle name="60% - Accent6 9 2" xfId="1212" xr:uid="{00000000-0005-0000-0000-0000D2030000}"/>
    <cellStyle name="60% - Accent6 9 3" xfId="1213" xr:uid="{00000000-0005-0000-0000-0000D3030000}"/>
    <cellStyle name="60% - Accent6 9 4" xfId="1214" xr:uid="{00000000-0005-0000-0000-0000D4030000}"/>
    <cellStyle name="60% - Accent6 9 5" xfId="1215" xr:uid="{00000000-0005-0000-0000-0000D5030000}"/>
    <cellStyle name="60% - Accent6 9 6" xfId="1216" xr:uid="{00000000-0005-0000-0000-0000D6030000}"/>
    <cellStyle name="7" xfId="43" xr:uid="{00000000-0005-0000-0000-0000D7030000}"/>
    <cellStyle name="8" xfId="44" xr:uid="{00000000-0005-0000-0000-0000D8030000}"/>
    <cellStyle name="9" xfId="45" xr:uid="{00000000-0005-0000-0000-0000D9030000}"/>
    <cellStyle name="Accent1 - 20%" xfId="46" xr:uid="{00000000-0005-0000-0000-0000DA030000}"/>
    <cellStyle name="Accent1 - 40%" xfId="47" xr:uid="{00000000-0005-0000-0000-0000DB030000}"/>
    <cellStyle name="Accent1 - 60%" xfId="48" xr:uid="{00000000-0005-0000-0000-0000DC030000}"/>
    <cellStyle name="Accent1 10 2" xfId="1217" xr:uid="{00000000-0005-0000-0000-0000DD030000}"/>
    <cellStyle name="Accent1 10 3" xfId="1218" xr:uid="{00000000-0005-0000-0000-0000DE030000}"/>
    <cellStyle name="Accent1 10 4" xfId="1219" xr:uid="{00000000-0005-0000-0000-0000DF030000}"/>
    <cellStyle name="Accent1 10 5" xfId="1220" xr:uid="{00000000-0005-0000-0000-0000E0030000}"/>
    <cellStyle name="Accent1 10 6" xfId="1221" xr:uid="{00000000-0005-0000-0000-0000E1030000}"/>
    <cellStyle name="Accent1 11 2" xfId="1222" xr:uid="{00000000-0005-0000-0000-0000E2030000}"/>
    <cellStyle name="Accent1 11 3" xfId="1223" xr:uid="{00000000-0005-0000-0000-0000E3030000}"/>
    <cellStyle name="Accent1 11 4" xfId="1224" xr:uid="{00000000-0005-0000-0000-0000E4030000}"/>
    <cellStyle name="Accent1 11 5" xfId="1225" xr:uid="{00000000-0005-0000-0000-0000E5030000}"/>
    <cellStyle name="Accent1 11 6" xfId="1226" xr:uid="{00000000-0005-0000-0000-0000E6030000}"/>
    <cellStyle name="Accent1 2" xfId="49" xr:uid="{00000000-0005-0000-0000-0000E7030000}"/>
    <cellStyle name="Accent1 2 2" xfId="1227" xr:uid="{00000000-0005-0000-0000-0000E8030000}"/>
    <cellStyle name="Accent1 2 3" xfId="1228" xr:uid="{00000000-0005-0000-0000-0000E9030000}"/>
    <cellStyle name="Accent1 2 4" xfId="1229" xr:uid="{00000000-0005-0000-0000-0000EA030000}"/>
    <cellStyle name="Accent1 2 5" xfId="1230" xr:uid="{00000000-0005-0000-0000-0000EB030000}"/>
    <cellStyle name="Accent1 2 6" xfId="1231" xr:uid="{00000000-0005-0000-0000-0000EC030000}"/>
    <cellStyle name="Accent1 3" xfId="50" xr:uid="{00000000-0005-0000-0000-0000ED030000}"/>
    <cellStyle name="Accent1 3 2" xfId="1233" xr:uid="{00000000-0005-0000-0000-0000EE030000}"/>
    <cellStyle name="Accent1 3 3" xfId="1234" xr:uid="{00000000-0005-0000-0000-0000EF030000}"/>
    <cellStyle name="Accent1 3 4" xfId="1235" xr:uid="{00000000-0005-0000-0000-0000F0030000}"/>
    <cellStyle name="Accent1 3 5" xfId="1236" xr:uid="{00000000-0005-0000-0000-0000F1030000}"/>
    <cellStyle name="Accent1 3 6" xfId="1237" xr:uid="{00000000-0005-0000-0000-0000F2030000}"/>
    <cellStyle name="Accent1 3 7" xfId="1238" xr:uid="{00000000-0005-0000-0000-0000F3030000}"/>
    <cellStyle name="Accent1 3 8" xfId="1232" xr:uid="{00000000-0005-0000-0000-0000F4030000}"/>
    <cellStyle name="Accent1 4" xfId="51" xr:uid="{00000000-0005-0000-0000-0000F5030000}"/>
    <cellStyle name="Accent1 4 2" xfId="1240" xr:uid="{00000000-0005-0000-0000-0000F6030000}"/>
    <cellStyle name="Accent1 4 3" xfId="1241" xr:uid="{00000000-0005-0000-0000-0000F7030000}"/>
    <cellStyle name="Accent1 4 4" xfId="1242" xr:uid="{00000000-0005-0000-0000-0000F8030000}"/>
    <cellStyle name="Accent1 4 5" xfId="1243" xr:uid="{00000000-0005-0000-0000-0000F9030000}"/>
    <cellStyle name="Accent1 4 6" xfId="1244" xr:uid="{00000000-0005-0000-0000-0000FA030000}"/>
    <cellStyle name="Accent1 4 7" xfId="1245" xr:uid="{00000000-0005-0000-0000-0000FB030000}"/>
    <cellStyle name="Accent1 4 8" xfId="1239" xr:uid="{00000000-0005-0000-0000-0000FC030000}"/>
    <cellStyle name="Accent1 5" xfId="52" xr:uid="{00000000-0005-0000-0000-0000FD030000}"/>
    <cellStyle name="Accent1 5 2" xfId="1246" xr:uid="{00000000-0005-0000-0000-0000FE030000}"/>
    <cellStyle name="Accent1 5 3" xfId="1247" xr:uid="{00000000-0005-0000-0000-0000FF030000}"/>
    <cellStyle name="Accent1 5 4" xfId="1248" xr:uid="{00000000-0005-0000-0000-000000040000}"/>
    <cellStyle name="Accent1 5 5" xfId="1249" xr:uid="{00000000-0005-0000-0000-000001040000}"/>
    <cellStyle name="Accent1 5 6" xfId="1250" xr:uid="{00000000-0005-0000-0000-000002040000}"/>
    <cellStyle name="Accent1 6" xfId="53" xr:uid="{00000000-0005-0000-0000-000003040000}"/>
    <cellStyle name="Accent1 6 2" xfId="1251" xr:uid="{00000000-0005-0000-0000-000004040000}"/>
    <cellStyle name="Accent1 6 3" xfId="1252" xr:uid="{00000000-0005-0000-0000-000005040000}"/>
    <cellStyle name="Accent1 6 4" xfId="1253" xr:uid="{00000000-0005-0000-0000-000006040000}"/>
    <cellStyle name="Accent1 6 5" xfId="1254" xr:uid="{00000000-0005-0000-0000-000007040000}"/>
    <cellStyle name="Accent1 6 6" xfId="1255" xr:uid="{00000000-0005-0000-0000-000008040000}"/>
    <cellStyle name="Accent1 7" xfId="54" xr:uid="{00000000-0005-0000-0000-000009040000}"/>
    <cellStyle name="Accent1 7 2" xfId="1256" xr:uid="{00000000-0005-0000-0000-00000A040000}"/>
    <cellStyle name="Accent1 7 3" xfId="1257" xr:uid="{00000000-0005-0000-0000-00000B040000}"/>
    <cellStyle name="Accent1 7 4" xfId="1258" xr:uid="{00000000-0005-0000-0000-00000C040000}"/>
    <cellStyle name="Accent1 7 5" xfId="1259" xr:uid="{00000000-0005-0000-0000-00000D040000}"/>
    <cellStyle name="Accent1 7 6" xfId="1260" xr:uid="{00000000-0005-0000-0000-00000E040000}"/>
    <cellStyle name="Accent1 8 2" xfId="1261" xr:uid="{00000000-0005-0000-0000-00000F040000}"/>
    <cellStyle name="Accent1 8 3" xfId="1262" xr:uid="{00000000-0005-0000-0000-000010040000}"/>
    <cellStyle name="Accent1 8 4" xfId="1263" xr:uid="{00000000-0005-0000-0000-000011040000}"/>
    <cellStyle name="Accent1 8 5" xfId="1264" xr:uid="{00000000-0005-0000-0000-000012040000}"/>
    <cellStyle name="Accent1 8 6" xfId="1265" xr:uid="{00000000-0005-0000-0000-000013040000}"/>
    <cellStyle name="Accent1 9 2" xfId="1266" xr:uid="{00000000-0005-0000-0000-000014040000}"/>
    <cellStyle name="Accent1 9 3" xfId="1267" xr:uid="{00000000-0005-0000-0000-000015040000}"/>
    <cellStyle name="Accent1 9 4" xfId="1268" xr:uid="{00000000-0005-0000-0000-000016040000}"/>
    <cellStyle name="Accent1 9 5" xfId="1269" xr:uid="{00000000-0005-0000-0000-000017040000}"/>
    <cellStyle name="Accent1 9 6" xfId="1270" xr:uid="{00000000-0005-0000-0000-000018040000}"/>
    <cellStyle name="Accent2 - 20%" xfId="55" xr:uid="{00000000-0005-0000-0000-000019040000}"/>
    <cellStyle name="Accent2 - 40%" xfId="56" xr:uid="{00000000-0005-0000-0000-00001A040000}"/>
    <cellStyle name="Accent2 - 60%" xfId="57" xr:uid="{00000000-0005-0000-0000-00001B040000}"/>
    <cellStyle name="Accent2 10 2" xfId="1271" xr:uid="{00000000-0005-0000-0000-00001C040000}"/>
    <cellStyle name="Accent2 10 3" xfId="1272" xr:uid="{00000000-0005-0000-0000-00001D040000}"/>
    <cellStyle name="Accent2 10 4" xfId="1273" xr:uid="{00000000-0005-0000-0000-00001E040000}"/>
    <cellStyle name="Accent2 10 5" xfId="1274" xr:uid="{00000000-0005-0000-0000-00001F040000}"/>
    <cellStyle name="Accent2 10 6" xfId="1275" xr:uid="{00000000-0005-0000-0000-000020040000}"/>
    <cellStyle name="Accent2 11 2" xfId="1276" xr:uid="{00000000-0005-0000-0000-000021040000}"/>
    <cellStyle name="Accent2 11 3" xfId="1277" xr:uid="{00000000-0005-0000-0000-000022040000}"/>
    <cellStyle name="Accent2 11 4" xfId="1278" xr:uid="{00000000-0005-0000-0000-000023040000}"/>
    <cellStyle name="Accent2 11 5" xfId="1279" xr:uid="{00000000-0005-0000-0000-000024040000}"/>
    <cellStyle name="Accent2 11 6" xfId="1280" xr:uid="{00000000-0005-0000-0000-000025040000}"/>
    <cellStyle name="Accent2 2" xfId="58" xr:uid="{00000000-0005-0000-0000-000026040000}"/>
    <cellStyle name="Accent2 2 2" xfId="1281" xr:uid="{00000000-0005-0000-0000-000027040000}"/>
    <cellStyle name="Accent2 2 3" xfId="1282" xr:uid="{00000000-0005-0000-0000-000028040000}"/>
    <cellStyle name="Accent2 2 4" xfId="1283" xr:uid="{00000000-0005-0000-0000-000029040000}"/>
    <cellStyle name="Accent2 2 5" xfId="1284" xr:uid="{00000000-0005-0000-0000-00002A040000}"/>
    <cellStyle name="Accent2 2 6" xfId="1285" xr:uid="{00000000-0005-0000-0000-00002B040000}"/>
    <cellStyle name="Accent2 3" xfId="59" xr:uid="{00000000-0005-0000-0000-00002C040000}"/>
    <cellStyle name="Accent2 3 2" xfId="1287" xr:uid="{00000000-0005-0000-0000-00002D040000}"/>
    <cellStyle name="Accent2 3 3" xfId="1288" xr:uid="{00000000-0005-0000-0000-00002E040000}"/>
    <cellStyle name="Accent2 3 4" xfId="1289" xr:uid="{00000000-0005-0000-0000-00002F040000}"/>
    <cellStyle name="Accent2 3 5" xfId="1290" xr:uid="{00000000-0005-0000-0000-000030040000}"/>
    <cellStyle name="Accent2 3 6" xfId="1291" xr:uid="{00000000-0005-0000-0000-000031040000}"/>
    <cellStyle name="Accent2 3 7" xfId="1292" xr:uid="{00000000-0005-0000-0000-000032040000}"/>
    <cellStyle name="Accent2 3 8" xfId="1286" xr:uid="{00000000-0005-0000-0000-000033040000}"/>
    <cellStyle name="Accent2 4" xfId="60" xr:uid="{00000000-0005-0000-0000-000034040000}"/>
    <cellStyle name="Accent2 4 2" xfId="1294" xr:uid="{00000000-0005-0000-0000-000035040000}"/>
    <cellStyle name="Accent2 4 3" xfId="1295" xr:uid="{00000000-0005-0000-0000-000036040000}"/>
    <cellStyle name="Accent2 4 4" xfId="1296" xr:uid="{00000000-0005-0000-0000-000037040000}"/>
    <cellStyle name="Accent2 4 5" xfId="1297" xr:uid="{00000000-0005-0000-0000-000038040000}"/>
    <cellStyle name="Accent2 4 6" xfId="1298" xr:uid="{00000000-0005-0000-0000-000039040000}"/>
    <cellStyle name="Accent2 4 7" xfId="1299" xr:uid="{00000000-0005-0000-0000-00003A040000}"/>
    <cellStyle name="Accent2 4 8" xfId="1293" xr:uid="{00000000-0005-0000-0000-00003B040000}"/>
    <cellStyle name="Accent2 5" xfId="61" xr:uid="{00000000-0005-0000-0000-00003C040000}"/>
    <cellStyle name="Accent2 5 2" xfId="1300" xr:uid="{00000000-0005-0000-0000-00003D040000}"/>
    <cellStyle name="Accent2 5 3" xfId="1301" xr:uid="{00000000-0005-0000-0000-00003E040000}"/>
    <cellStyle name="Accent2 5 4" xfId="1302" xr:uid="{00000000-0005-0000-0000-00003F040000}"/>
    <cellStyle name="Accent2 5 5" xfId="1303" xr:uid="{00000000-0005-0000-0000-000040040000}"/>
    <cellStyle name="Accent2 5 6" xfId="1304" xr:uid="{00000000-0005-0000-0000-000041040000}"/>
    <cellStyle name="Accent2 6" xfId="62" xr:uid="{00000000-0005-0000-0000-000042040000}"/>
    <cellStyle name="Accent2 6 2" xfId="1305" xr:uid="{00000000-0005-0000-0000-000043040000}"/>
    <cellStyle name="Accent2 6 3" xfId="1306" xr:uid="{00000000-0005-0000-0000-000044040000}"/>
    <cellStyle name="Accent2 6 4" xfId="1307" xr:uid="{00000000-0005-0000-0000-000045040000}"/>
    <cellStyle name="Accent2 6 5" xfId="1308" xr:uid="{00000000-0005-0000-0000-000046040000}"/>
    <cellStyle name="Accent2 6 6" xfId="1309" xr:uid="{00000000-0005-0000-0000-000047040000}"/>
    <cellStyle name="Accent2 7" xfId="63" xr:uid="{00000000-0005-0000-0000-000048040000}"/>
    <cellStyle name="Accent2 7 2" xfId="1310" xr:uid="{00000000-0005-0000-0000-000049040000}"/>
    <cellStyle name="Accent2 7 3" xfId="1311" xr:uid="{00000000-0005-0000-0000-00004A040000}"/>
    <cellStyle name="Accent2 7 4" xfId="1312" xr:uid="{00000000-0005-0000-0000-00004B040000}"/>
    <cellStyle name="Accent2 7 5" xfId="1313" xr:uid="{00000000-0005-0000-0000-00004C040000}"/>
    <cellStyle name="Accent2 7 6" xfId="1314" xr:uid="{00000000-0005-0000-0000-00004D040000}"/>
    <cellStyle name="Accent2 8 2" xfId="1315" xr:uid="{00000000-0005-0000-0000-00004E040000}"/>
    <cellStyle name="Accent2 8 3" xfId="1316" xr:uid="{00000000-0005-0000-0000-00004F040000}"/>
    <cellStyle name="Accent2 8 4" xfId="1317" xr:uid="{00000000-0005-0000-0000-000050040000}"/>
    <cellStyle name="Accent2 8 5" xfId="1318" xr:uid="{00000000-0005-0000-0000-000051040000}"/>
    <cellStyle name="Accent2 8 6" xfId="1319" xr:uid="{00000000-0005-0000-0000-000052040000}"/>
    <cellStyle name="Accent2 9 2" xfId="1320" xr:uid="{00000000-0005-0000-0000-000053040000}"/>
    <cellStyle name="Accent2 9 3" xfId="1321" xr:uid="{00000000-0005-0000-0000-000054040000}"/>
    <cellStyle name="Accent2 9 4" xfId="1322" xr:uid="{00000000-0005-0000-0000-000055040000}"/>
    <cellStyle name="Accent2 9 5" xfId="1323" xr:uid="{00000000-0005-0000-0000-000056040000}"/>
    <cellStyle name="Accent2 9 6" xfId="1324" xr:uid="{00000000-0005-0000-0000-000057040000}"/>
    <cellStyle name="Accent3 - 20%" xfId="64" xr:uid="{00000000-0005-0000-0000-000058040000}"/>
    <cellStyle name="Accent3 - 40%" xfId="65" xr:uid="{00000000-0005-0000-0000-000059040000}"/>
    <cellStyle name="Accent3 - 60%" xfId="66" xr:uid="{00000000-0005-0000-0000-00005A040000}"/>
    <cellStyle name="Accent3 10 2" xfId="1325" xr:uid="{00000000-0005-0000-0000-00005B040000}"/>
    <cellStyle name="Accent3 10 3" xfId="1326" xr:uid="{00000000-0005-0000-0000-00005C040000}"/>
    <cellStyle name="Accent3 10 4" xfId="1327" xr:uid="{00000000-0005-0000-0000-00005D040000}"/>
    <cellStyle name="Accent3 10 5" xfId="1328" xr:uid="{00000000-0005-0000-0000-00005E040000}"/>
    <cellStyle name="Accent3 10 6" xfId="1329" xr:uid="{00000000-0005-0000-0000-00005F040000}"/>
    <cellStyle name="Accent3 11 2" xfId="1330" xr:uid="{00000000-0005-0000-0000-000060040000}"/>
    <cellStyle name="Accent3 11 3" xfId="1331" xr:uid="{00000000-0005-0000-0000-000061040000}"/>
    <cellStyle name="Accent3 11 4" xfId="1332" xr:uid="{00000000-0005-0000-0000-000062040000}"/>
    <cellStyle name="Accent3 11 5" xfId="1333" xr:uid="{00000000-0005-0000-0000-000063040000}"/>
    <cellStyle name="Accent3 11 6" xfId="1334" xr:uid="{00000000-0005-0000-0000-000064040000}"/>
    <cellStyle name="Accent3 2" xfId="67" xr:uid="{00000000-0005-0000-0000-000065040000}"/>
    <cellStyle name="Accent3 2 2" xfId="1335" xr:uid="{00000000-0005-0000-0000-000066040000}"/>
    <cellStyle name="Accent3 2 3" xfId="1336" xr:uid="{00000000-0005-0000-0000-000067040000}"/>
    <cellStyle name="Accent3 2 4" xfId="1337" xr:uid="{00000000-0005-0000-0000-000068040000}"/>
    <cellStyle name="Accent3 2 5" xfId="1338" xr:uid="{00000000-0005-0000-0000-000069040000}"/>
    <cellStyle name="Accent3 2 6" xfId="1339" xr:uid="{00000000-0005-0000-0000-00006A040000}"/>
    <cellStyle name="Accent3 3" xfId="68" xr:uid="{00000000-0005-0000-0000-00006B040000}"/>
    <cellStyle name="Accent3 3 2" xfId="1341" xr:uid="{00000000-0005-0000-0000-00006C040000}"/>
    <cellStyle name="Accent3 3 3" xfId="1342" xr:uid="{00000000-0005-0000-0000-00006D040000}"/>
    <cellStyle name="Accent3 3 4" xfId="1343" xr:uid="{00000000-0005-0000-0000-00006E040000}"/>
    <cellStyle name="Accent3 3 5" xfId="1344" xr:uid="{00000000-0005-0000-0000-00006F040000}"/>
    <cellStyle name="Accent3 3 6" xfId="1345" xr:uid="{00000000-0005-0000-0000-000070040000}"/>
    <cellStyle name="Accent3 3 7" xfId="1346" xr:uid="{00000000-0005-0000-0000-000071040000}"/>
    <cellStyle name="Accent3 3 8" xfId="1340" xr:uid="{00000000-0005-0000-0000-000072040000}"/>
    <cellStyle name="Accent3 4" xfId="69" xr:uid="{00000000-0005-0000-0000-000073040000}"/>
    <cellStyle name="Accent3 4 2" xfId="1348" xr:uid="{00000000-0005-0000-0000-000074040000}"/>
    <cellStyle name="Accent3 4 3" xfId="1349" xr:uid="{00000000-0005-0000-0000-000075040000}"/>
    <cellStyle name="Accent3 4 4" xfId="1350" xr:uid="{00000000-0005-0000-0000-000076040000}"/>
    <cellStyle name="Accent3 4 5" xfId="1351" xr:uid="{00000000-0005-0000-0000-000077040000}"/>
    <cellStyle name="Accent3 4 6" xfId="1352" xr:uid="{00000000-0005-0000-0000-000078040000}"/>
    <cellStyle name="Accent3 4 7" xfId="1353" xr:uid="{00000000-0005-0000-0000-000079040000}"/>
    <cellStyle name="Accent3 4 8" xfId="1347" xr:uid="{00000000-0005-0000-0000-00007A040000}"/>
    <cellStyle name="Accent3 5" xfId="70" xr:uid="{00000000-0005-0000-0000-00007B040000}"/>
    <cellStyle name="Accent3 5 2" xfId="1354" xr:uid="{00000000-0005-0000-0000-00007C040000}"/>
    <cellStyle name="Accent3 5 3" xfId="1355" xr:uid="{00000000-0005-0000-0000-00007D040000}"/>
    <cellStyle name="Accent3 5 4" xfId="1356" xr:uid="{00000000-0005-0000-0000-00007E040000}"/>
    <cellStyle name="Accent3 5 5" xfId="1357" xr:uid="{00000000-0005-0000-0000-00007F040000}"/>
    <cellStyle name="Accent3 5 6" xfId="1358" xr:uid="{00000000-0005-0000-0000-000080040000}"/>
    <cellStyle name="Accent3 6" xfId="71" xr:uid="{00000000-0005-0000-0000-000081040000}"/>
    <cellStyle name="Accent3 6 2" xfId="1359" xr:uid="{00000000-0005-0000-0000-000082040000}"/>
    <cellStyle name="Accent3 6 3" xfId="1360" xr:uid="{00000000-0005-0000-0000-000083040000}"/>
    <cellStyle name="Accent3 6 4" xfId="1361" xr:uid="{00000000-0005-0000-0000-000084040000}"/>
    <cellStyle name="Accent3 6 5" xfId="1362" xr:uid="{00000000-0005-0000-0000-000085040000}"/>
    <cellStyle name="Accent3 6 6" xfId="1363" xr:uid="{00000000-0005-0000-0000-000086040000}"/>
    <cellStyle name="Accent3 7" xfId="72" xr:uid="{00000000-0005-0000-0000-000087040000}"/>
    <cellStyle name="Accent3 7 2" xfId="1364" xr:uid="{00000000-0005-0000-0000-000088040000}"/>
    <cellStyle name="Accent3 7 3" xfId="1365" xr:uid="{00000000-0005-0000-0000-000089040000}"/>
    <cellStyle name="Accent3 7 4" xfId="1366" xr:uid="{00000000-0005-0000-0000-00008A040000}"/>
    <cellStyle name="Accent3 7 5" xfId="1367" xr:uid="{00000000-0005-0000-0000-00008B040000}"/>
    <cellStyle name="Accent3 7 6" xfId="1368" xr:uid="{00000000-0005-0000-0000-00008C040000}"/>
    <cellStyle name="Accent3 8 2" xfId="1369" xr:uid="{00000000-0005-0000-0000-00008D040000}"/>
    <cellStyle name="Accent3 8 3" xfId="1370" xr:uid="{00000000-0005-0000-0000-00008E040000}"/>
    <cellStyle name="Accent3 8 4" xfId="1371" xr:uid="{00000000-0005-0000-0000-00008F040000}"/>
    <cellStyle name="Accent3 8 5" xfId="1372" xr:uid="{00000000-0005-0000-0000-000090040000}"/>
    <cellStyle name="Accent3 8 6" xfId="1373" xr:uid="{00000000-0005-0000-0000-000091040000}"/>
    <cellStyle name="Accent3 9 2" xfId="1374" xr:uid="{00000000-0005-0000-0000-000092040000}"/>
    <cellStyle name="Accent3 9 3" xfId="1375" xr:uid="{00000000-0005-0000-0000-000093040000}"/>
    <cellStyle name="Accent3 9 4" xfId="1376" xr:uid="{00000000-0005-0000-0000-000094040000}"/>
    <cellStyle name="Accent3 9 5" xfId="1377" xr:uid="{00000000-0005-0000-0000-000095040000}"/>
    <cellStyle name="Accent3 9 6" xfId="1378" xr:uid="{00000000-0005-0000-0000-000096040000}"/>
    <cellStyle name="Accent4 - 20%" xfId="73" xr:uid="{00000000-0005-0000-0000-000097040000}"/>
    <cellStyle name="Accent4 - 40%" xfId="74" xr:uid="{00000000-0005-0000-0000-000098040000}"/>
    <cellStyle name="Accent4 - 60%" xfId="75" xr:uid="{00000000-0005-0000-0000-000099040000}"/>
    <cellStyle name="Accent4 10 2" xfId="1379" xr:uid="{00000000-0005-0000-0000-00009A040000}"/>
    <cellStyle name="Accent4 10 3" xfId="1380" xr:uid="{00000000-0005-0000-0000-00009B040000}"/>
    <cellStyle name="Accent4 10 4" xfId="1381" xr:uid="{00000000-0005-0000-0000-00009C040000}"/>
    <cellStyle name="Accent4 10 5" xfId="1382" xr:uid="{00000000-0005-0000-0000-00009D040000}"/>
    <cellStyle name="Accent4 10 6" xfId="1383" xr:uid="{00000000-0005-0000-0000-00009E040000}"/>
    <cellStyle name="Accent4 11 2" xfId="1384" xr:uid="{00000000-0005-0000-0000-00009F040000}"/>
    <cellStyle name="Accent4 11 3" xfId="1385" xr:uid="{00000000-0005-0000-0000-0000A0040000}"/>
    <cellStyle name="Accent4 11 4" xfId="1386" xr:uid="{00000000-0005-0000-0000-0000A1040000}"/>
    <cellStyle name="Accent4 11 5" xfId="1387" xr:uid="{00000000-0005-0000-0000-0000A2040000}"/>
    <cellStyle name="Accent4 11 6" xfId="1388" xr:uid="{00000000-0005-0000-0000-0000A3040000}"/>
    <cellStyle name="Accent4 2" xfId="76" xr:uid="{00000000-0005-0000-0000-0000A4040000}"/>
    <cellStyle name="Accent4 2 2" xfId="1389" xr:uid="{00000000-0005-0000-0000-0000A5040000}"/>
    <cellStyle name="Accent4 2 3" xfId="1390" xr:uid="{00000000-0005-0000-0000-0000A6040000}"/>
    <cellStyle name="Accent4 2 4" xfId="1391" xr:uid="{00000000-0005-0000-0000-0000A7040000}"/>
    <cellStyle name="Accent4 2 5" xfId="1392" xr:uid="{00000000-0005-0000-0000-0000A8040000}"/>
    <cellStyle name="Accent4 2 6" xfId="1393" xr:uid="{00000000-0005-0000-0000-0000A9040000}"/>
    <cellStyle name="Accent4 3" xfId="77" xr:uid="{00000000-0005-0000-0000-0000AA040000}"/>
    <cellStyle name="Accent4 3 2" xfId="1395" xr:uid="{00000000-0005-0000-0000-0000AB040000}"/>
    <cellStyle name="Accent4 3 3" xfId="1396" xr:uid="{00000000-0005-0000-0000-0000AC040000}"/>
    <cellStyle name="Accent4 3 4" xfId="1397" xr:uid="{00000000-0005-0000-0000-0000AD040000}"/>
    <cellStyle name="Accent4 3 5" xfId="1398" xr:uid="{00000000-0005-0000-0000-0000AE040000}"/>
    <cellStyle name="Accent4 3 6" xfId="1399" xr:uid="{00000000-0005-0000-0000-0000AF040000}"/>
    <cellStyle name="Accent4 3 7" xfId="1400" xr:uid="{00000000-0005-0000-0000-0000B0040000}"/>
    <cellStyle name="Accent4 3 8" xfId="1394" xr:uid="{00000000-0005-0000-0000-0000B1040000}"/>
    <cellStyle name="Accent4 4" xfId="78" xr:uid="{00000000-0005-0000-0000-0000B2040000}"/>
    <cellStyle name="Accent4 4 2" xfId="1402" xr:uid="{00000000-0005-0000-0000-0000B3040000}"/>
    <cellStyle name="Accent4 4 3" xfId="1403" xr:uid="{00000000-0005-0000-0000-0000B4040000}"/>
    <cellStyle name="Accent4 4 4" xfId="1404" xr:uid="{00000000-0005-0000-0000-0000B5040000}"/>
    <cellStyle name="Accent4 4 5" xfId="1405" xr:uid="{00000000-0005-0000-0000-0000B6040000}"/>
    <cellStyle name="Accent4 4 6" xfId="1406" xr:uid="{00000000-0005-0000-0000-0000B7040000}"/>
    <cellStyle name="Accent4 4 7" xfId="1407" xr:uid="{00000000-0005-0000-0000-0000B8040000}"/>
    <cellStyle name="Accent4 4 8" xfId="1401" xr:uid="{00000000-0005-0000-0000-0000B9040000}"/>
    <cellStyle name="Accent4 5" xfId="79" xr:uid="{00000000-0005-0000-0000-0000BA040000}"/>
    <cellStyle name="Accent4 5 2" xfId="1408" xr:uid="{00000000-0005-0000-0000-0000BB040000}"/>
    <cellStyle name="Accent4 5 3" xfId="1409" xr:uid="{00000000-0005-0000-0000-0000BC040000}"/>
    <cellStyle name="Accent4 5 4" xfId="1410" xr:uid="{00000000-0005-0000-0000-0000BD040000}"/>
    <cellStyle name="Accent4 5 5" xfId="1411" xr:uid="{00000000-0005-0000-0000-0000BE040000}"/>
    <cellStyle name="Accent4 5 6" xfId="1412" xr:uid="{00000000-0005-0000-0000-0000BF040000}"/>
    <cellStyle name="Accent4 6" xfId="80" xr:uid="{00000000-0005-0000-0000-0000C0040000}"/>
    <cellStyle name="Accent4 6 2" xfId="1413" xr:uid="{00000000-0005-0000-0000-0000C1040000}"/>
    <cellStyle name="Accent4 6 3" xfId="1414" xr:uid="{00000000-0005-0000-0000-0000C2040000}"/>
    <cellStyle name="Accent4 6 4" xfId="1415" xr:uid="{00000000-0005-0000-0000-0000C3040000}"/>
    <cellStyle name="Accent4 6 5" xfId="1416" xr:uid="{00000000-0005-0000-0000-0000C4040000}"/>
    <cellStyle name="Accent4 6 6" xfId="1417" xr:uid="{00000000-0005-0000-0000-0000C5040000}"/>
    <cellStyle name="Accent4 7" xfId="81" xr:uid="{00000000-0005-0000-0000-0000C6040000}"/>
    <cellStyle name="Accent4 7 2" xfId="1418" xr:uid="{00000000-0005-0000-0000-0000C7040000}"/>
    <cellStyle name="Accent4 7 3" xfId="1419" xr:uid="{00000000-0005-0000-0000-0000C8040000}"/>
    <cellStyle name="Accent4 7 4" xfId="1420" xr:uid="{00000000-0005-0000-0000-0000C9040000}"/>
    <cellStyle name="Accent4 7 5" xfId="1421" xr:uid="{00000000-0005-0000-0000-0000CA040000}"/>
    <cellStyle name="Accent4 7 6" xfId="1422" xr:uid="{00000000-0005-0000-0000-0000CB040000}"/>
    <cellStyle name="Accent4 8 2" xfId="1423" xr:uid="{00000000-0005-0000-0000-0000CC040000}"/>
    <cellStyle name="Accent4 8 3" xfId="1424" xr:uid="{00000000-0005-0000-0000-0000CD040000}"/>
    <cellStyle name="Accent4 8 4" xfId="1425" xr:uid="{00000000-0005-0000-0000-0000CE040000}"/>
    <cellStyle name="Accent4 8 5" xfId="1426" xr:uid="{00000000-0005-0000-0000-0000CF040000}"/>
    <cellStyle name="Accent4 8 6" xfId="1427" xr:uid="{00000000-0005-0000-0000-0000D0040000}"/>
    <cellStyle name="Accent4 9 2" xfId="1428" xr:uid="{00000000-0005-0000-0000-0000D1040000}"/>
    <cellStyle name="Accent4 9 3" xfId="1429" xr:uid="{00000000-0005-0000-0000-0000D2040000}"/>
    <cellStyle name="Accent4 9 4" xfId="1430" xr:uid="{00000000-0005-0000-0000-0000D3040000}"/>
    <cellStyle name="Accent4 9 5" xfId="1431" xr:uid="{00000000-0005-0000-0000-0000D4040000}"/>
    <cellStyle name="Accent4 9 6" xfId="1432" xr:uid="{00000000-0005-0000-0000-0000D5040000}"/>
    <cellStyle name="Accent5 - 20%" xfId="82" xr:uid="{00000000-0005-0000-0000-0000D6040000}"/>
    <cellStyle name="Accent5 - 40%" xfId="83" xr:uid="{00000000-0005-0000-0000-0000D7040000}"/>
    <cellStyle name="Accent5 - 60%" xfId="84" xr:uid="{00000000-0005-0000-0000-0000D8040000}"/>
    <cellStyle name="Accent5 10 2" xfId="1433" xr:uid="{00000000-0005-0000-0000-0000D9040000}"/>
    <cellStyle name="Accent5 10 3" xfId="1434" xr:uid="{00000000-0005-0000-0000-0000DA040000}"/>
    <cellStyle name="Accent5 10 4" xfId="1435" xr:uid="{00000000-0005-0000-0000-0000DB040000}"/>
    <cellStyle name="Accent5 10 5" xfId="1436" xr:uid="{00000000-0005-0000-0000-0000DC040000}"/>
    <cellStyle name="Accent5 10 6" xfId="1437" xr:uid="{00000000-0005-0000-0000-0000DD040000}"/>
    <cellStyle name="Accent5 11 2" xfId="1438" xr:uid="{00000000-0005-0000-0000-0000DE040000}"/>
    <cellStyle name="Accent5 11 3" xfId="1439" xr:uid="{00000000-0005-0000-0000-0000DF040000}"/>
    <cellStyle name="Accent5 11 4" xfId="1440" xr:uid="{00000000-0005-0000-0000-0000E0040000}"/>
    <cellStyle name="Accent5 11 5" xfId="1441" xr:uid="{00000000-0005-0000-0000-0000E1040000}"/>
    <cellStyle name="Accent5 11 6" xfId="1442" xr:uid="{00000000-0005-0000-0000-0000E2040000}"/>
    <cellStyle name="Accent5 2" xfId="85" xr:uid="{00000000-0005-0000-0000-0000E3040000}"/>
    <cellStyle name="Accent5 2 2" xfId="1443" xr:uid="{00000000-0005-0000-0000-0000E4040000}"/>
    <cellStyle name="Accent5 2 3" xfId="1444" xr:uid="{00000000-0005-0000-0000-0000E5040000}"/>
    <cellStyle name="Accent5 2 4" xfId="1445" xr:uid="{00000000-0005-0000-0000-0000E6040000}"/>
    <cellStyle name="Accent5 2 5" xfId="1446" xr:uid="{00000000-0005-0000-0000-0000E7040000}"/>
    <cellStyle name="Accent5 2 6" xfId="1447" xr:uid="{00000000-0005-0000-0000-0000E8040000}"/>
    <cellStyle name="Accent5 3" xfId="86" xr:uid="{00000000-0005-0000-0000-0000E9040000}"/>
    <cellStyle name="Accent5 3 2" xfId="1449" xr:uid="{00000000-0005-0000-0000-0000EA040000}"/>
    <cellStyle name="Accent5 3 3" xfId="1450" xr:uid="{00000000-0005-0000-0000-0000EB040000}"/>
    <cellStyle name="Accent5 3 4" xfId="1451" xr:uid="{00000000-0005-0000-0000-0000EC040000}"/>
    <cellStyle name="Accent5 3 5" xfId="1452" xr:uid="{00000000-0005-0000-0000-0000ED040000}"/>
    <cellStyle name="Accent5 3 6" xfId="1453" xr:uid="{00000000-0005-0000-0000-0000EE040000}"/>
    <cellStyle name="Accent5 3 7" xfId="1454" xr:uid="{00000000-0005-0000-0000-0000EF040000}"/>
    <cellStyle name="Accent5 3 8" xfId="1448" xr:uid="{00000000-0005-0000-0000-0000F0040000}"/>
    <cellStyle name="Accent5 4" xfId="87" xr:uid="{00000000-0005-0000-0000-0000F1040000}"/>
    <cellStyle name="Accent5 4 2" xfId="1456" xr:uid="{00000000-0005-0000-0000-0000F2040000}"/>
    <cellStyle name="Accent5 4 3" xfId="1457" xr:uid="{00000000-0005-0000-0000-0000F3040000}"/>
    <cellStyle name="Accent5 4 4" xfId="1458" xr:uid="{00000000-0005-0000-0000-0000F4040000}"/>
    <cellStyle name="Accent5 4 5" xfId="1459" xr:uid="{00000000-0005-0000-0000-0000F5040000}"/>
    <cellStyle name="Accent5 4 6" xfId="1460" xr:uid="{00000000-0005-0000-0000-0000F6040000}"/>
    <cellStyle name="Accent5 4 7" xfId="1461" xr:uid="{00000000-0005-0000-0000-0000F7040000}"/>
    <cellStyle name="Accent5 4 8" xfId="1455" xr:uid="{00000000-0005-0000-0000-0000F8040000}"/>
    <cellStyle name="Accent5 5" xfId="88" xr:uid="{00000000-0005-0000-0000-0000F9040000}"/>
    <cellStyle name="Accent5 5 2" xfId="1462" xr:uid="{00000000-0005-0000-0000-0000FA040000}"/>
    <cellStyle name="Accent5 5 3" xfId="1463" xr:uid="{00000000-0005-0000-0000-0000FB040000}"/>
    <cellStyle name="Accent5 5 4" xfId="1464" xr:uid="{00000000-0005-0000-0000-0000FC040000}"/>
    <cellStyle name="Accent5 5 5" xfId="1465" xr:uid="{00000000-0005-0000-0000-0000FD040000}"/>
    <cellStyle name="Accent5 5 6" xfId="1466" xr:uid="{00000000-0005-0000-0000-0000FE040000}"/>
    <cellStyle name="Accent5 6" xfId="89" xr:uid="{00000000-0005-0000-0000-0000FF040000}"/>
    <cellStyle name="Accent5 6 2" xfId="1467" xr:uid="{00000000-0005-0000-0000-000000050000}"/>
    <cellStyle name="Accent5 6 3" xfId="1468" xr:uid="{00000000-0005-0000-0000-000001050000}"/>
    <cellStyle name="Accent5 6 4" xfId="1469" xr:uid="{00000000-0005-0000-0000-000002050000}"/>
    <cellStyle name="Accent5 6 5" xfId="1470" xr:uid="{00000000-0005-0000-0000-000003050000}"/>
    <cellStyle name="Accent5 6 6" xfId="1471" xr:uid="{00000000-0005-0000-0000-000004050000}"/>
    <cellStyle name="Accent5 7" xfId="90" xr:uid="{00000000-0005-0000-0000-000005050000}"/>
    <cellStyle name="Accent5 7 2" xfId="1472" xr:uid="{00000000-0005-0000-0000-000006050000}"/>
    <cellStyle name="Accent5 7 3" xfId="1473" xr:uid="{00000000-0005-0000-0000-000007050000}"/>
    <cellStyle name="Accent5 7 4" xfId="1474" xr:uid="{00000000-0005-0000-0000-000008050000}"/>
    <cellStyle name="Accent5 7 5" xfId="1475" xr:uid="{00000000-0005-0000-0000-000009050000}"/>
    <cellStyle name="Accent5 7 6" xfId="1476" xr:uid="{00000000-0005-0000-0000-00000A050000}"/>
    <cellStyle name="Accent5 8 2" xfId="1477" xr:uid="{00000000-0005-0000-0000-00000B050000}"/>
    <cellStyle name="Accent5 8 3" xfId="1478" xr:uid="{00000000-0005-0000-0000-00000C050000}"/>
    <cellStyle name="Accent5 8 4" xfId="1479" xr:uid="{00000000-0005-0000-0000-00000D050000}"/>
    <cellStyle name="Accent5 8 5" xfId="1480" xr:uid="{00000000-0005-0000-0000-00000E050000}"/>
    <cellStyle name="Accent5 8 6" xfId="1481" xr:uid="{00000000-0005-0000-0000-00000F050000}"/>
    <cellStyle name="Accent5 9 2" xfId="1482" xr:uid="{00000000-0005-0000-0000-000010050000}"/>
    <cellStyle name="Accent5 9 3" xfId="1483" xr:uid="{00000000-0005-0000-0000-000011050000}"/>
    <cellStyle name="Accent5 9 4" xfId="1484" xr:uid="{00000000-0005-0000-0000-000012050000}"/>
    <cellStyle name="Accent5 9 5" xfId="1485" xr:uid="{00000000-0005-0000-0000-000013050000}"/>
    <cellStyle name="Accent5 9 6" xfId="1486" xr:uid="{00000000-0005-0000-0000-000014050000}"/>
    <cellStyle name="Accent6 - 20%" xfId="91" xr:uid="{00000000-0005-0000-0000-000015050000}"/>
    <cellStyle name="Accent6 - 40%" xfId="92" xr:uid="{00000000-0005-0000-0000-000016050000}"/>
    <cellStyle name="Accent6 - 60%" xfId="93" xr:uid="{00000000-0005-0000-0000-000017050000}"/>
    <cellStyle name="Accent6 10 2" xfId="1487" xr:uid="{00000000-0005-0000-0000-000018050000}"/>
    <cellStyle name="Accent6 10 3" xfId="1488" xr:uid="{00000000-0005-0000-0000-000019050000}"/>
    <cellStyle name="Accent6 10 4" xfId="1489" xr:uid="{00000000-0005-0000-0000-00001A050000}"/>
    <cellStyle name="Accent6 10 5" xfId="1490" xr:uid="{00000000-0005-0000-0000-00001B050000}"/>
    <cellStyle name="Accent6 10 6" xfId="1491" xr:uid="{00000000-0005-0000-0000-00001C050000}"/>
    <cellStyle name="Accent6 11 2" xfId="1492" xr:uid="{00000000-0005-0000-0000-00001D050000}"/>
    <cellStyle name="Accent6 11 3" xfId="1493" xr:uid="{00000000-0005-0000-0000-00001E050000}"/>
    <cellStyle name="Accent6 11 4" xfId="1494" xr:uid="{00000000-0005-0000-0000-00001F050000}"/>
    <cellStyle name="Accent6 11 5" xfId="1495" xr:uid="{00000000-0005-0000-0000-000020050000}"/>
    <cellStyle name="Accent6 11 6" xfId="1496" xr:uid="{00000000-0005-0000-0000-000021050000}"/>
    <cellStyle name="Accent6 2" xfId="94" xr:uid="{00000000-0005-0000-0000-000022050000}"/>
    <cellStyle name="Accent6 2 2" xfId="1497" xr:uid="{00000000-0005-0000-0000-000023050000}"/>
    <cellStyle name="Accent6 2 3" xfId="1498" xr:uid="{00000000-0005-0000-0000-000024050000}"/>
    <cellStyle name="Accent6 2 4" xfId="1499" xr:uid="{00000000-0005-0000-0000-000025050000}"/>
    <cellStyle name="Accent6 2 5" xfId="1500" xr:uid="{00000000-0005-0000-0000-000026050000}"/>
    <cellStyle name="Accent6 2 6" xfId="1501" xr:uid="{00000000-0005-0000-0000-000027050000}"/>
    <cellStyle name="Accent6 3" xfId="95" xr:uid="{00000000-0005-0000-0000-000028050000}"/>
    <cellStyle name="Accent6 3 2" xfId="1503" xr:uid="{00000000-0005-0000-0000-000029050000}"/>
    <cellStyle name="Accent6 3 3" xfId="1504" xr:uid="{00000000-0005-0000-0000-00002A050000}"/>
    <cellStyle name="Accent6 3 4" xfId="1505" xr:uid="{00000000-0005-0000-0000-00002B050000}"/>
    <cellStyle name="Accent6 3 5" xfId="1506" xr:uid="{00000000-0005-0000-0000-00002C050000}"/>
    <cellStyle name="Accent6 3 6" xfId="1507" xr:uid="{00000000-0005-0000-0000-00002D050000}"/>
    <cellStyle name="Accent6 3 7" xfId="1508" xr:uid="{00000000-0005-0000-0000-00002E050000}"/>
    <cellStyle name="Accent6 3 8" xfId="1502" xr:uid="{00000000-0005-0000-0000-00002F050000}"/>
    <cellStyle name="Accent6 4" xfId="96" xr:uid="{00000000-0005-0000-0000-000030050000}"/>
    <cellStyle name="Accent6 4 2" xfId="1510" xr:uid="{00000000-0005-0000-0000-000031050000}"/>
    <cellStyle name="Accent6 4 3" xfId="1511" xr:uid="{00000000-0005-0000-0000-000032050000}"/>
    <cellStyle name="Accent6 4 4" xfId="1512" xr:uid="{00000000-0005-0000-0000-000033050000}"/>
    <cellStyle name="Accent6 4 5" xfId="1513" xr:uid="{00000000-0005-0000-0000-000034050000}"/>
    <cellStyle name="Accent6 4 6" xfId="1514" xr:uid="{00000000-0005-0000-0000-000035050000}"/>
    <cellStyle name="Accent6 4 7" xfId="1515" xr:uid="{00000000-0005-0000-0000-000036050000}"/>
    <cellStyle name="Accent6 4 8" xfId="1509" xr:uid="{00000000-0005-0000-0000-000037050000}"/>
    <cellStyle name="Accent6 5" xfId="97" xr:uid="{00000000-0005-0000-0000-000038050000}"/>
    <cellStyle name="Accent6 5 2" xfId="1516" xr:uid="{00000000-0005-0000-0000-000039050000}"/>
    <cellStyle name="Accent6 5 3" xfId="1517" xr:uid="{00000000-0005-0000-0000-00003A050000}"/>
    <cellStyle name="Accent6 5 4" xfId="1518" xr:uid="{00000000-0005-0000-0000-00003B050000}"/>
    <cellStyle name="Accent6 5 5" xfId="1519" xr:uid="{00000000-0005-0000-0000-00003C050000}"/>
    <cellStyle name="Accent6 5 6" xfId="1520" xr:uid="{00000000-0005-0000-0000-00003D050000}"/>
    <cellStyle name="Accent6 6" xfId="98" xr:uid="{00000000-0005-0000-0000-00003E050000}"/>
    <cellStyle name="Accent6 6 2" xfId="1521" xr:uid="{00000000-0005-0000-0000-00003F050000}"/>
    <cellStyle name="Accent6 6 3" xfId="1522" xr:uid="{00000000-0005-0000-0000-000040050000}"/>
    <cellStyle name="Accent6 6 4" xfId="1523" xr:uid="{00000000-0005-0000-0000-000041050000}"/>
    <cellStyle name="Accent6 6 5" xfId="1524" xr:uid="{00000000-0005-0000-0000-000042050000}"/>
    <cellStyle name="Accent6 6 6" xfId="1525" xr:uid="{00000000-0005-0000-0000-000043050000}"/>
    <cellStyle name="Accent6 7" xfId="99" xr:uid="{00000000-0005-0000-0000-000044050000}"/>
    <cellStyle name="Accent6 7 2" xfId="1526" xr:uid="{00000000-0005-0000-0000-000045050000}"/>
    <cellStyle name="Accent6 7 3" xfId="1527" xr:uid="{00000000-0005-0000-0000-000046050000}"/>
    <cellStyle name="Accent6 7 4" xfId="1528" xr:uid="{00000000-0005-0000-0000-000047050000}"/>
    <cellStyle name="Accent6 7 5" xfId="1529" xr:uid="{00000000-0005-0000-0000-000048050000}"/>
    <cellStyle name="Accent6 7 6" xfId="1530" xr:uid="{00000000-0005-0000-0000-000049050000}"/>
    <cellStyle name="Accent6 8 2" xfId="1531" xr:uid="{00000000-0005-0000-0000-00004A050000}"/>
    <cellStyle name="Accent6 8 3" xfId="1532" xr:uid="{00000000-0005-0000-0000-00004B050000}"/>
    <cellStyle name="Accent6 8 4" xfId="1533" xr:uid="{00000000-0005-0000-0000-00004C050000}"/>
    <cellStyle name="Accent6 8 5" xfId="1534" xr:uid="{00000000-0005-0000-0000-00004D050000}"/>
    <cellStyle name="Accent6 8 6" xfId="1535" xr:uid="{00000000-0005-0000-0000-00004E050000}"/>
    <cellStyle name="Accent6 9 2" xfId="1536" xr:uid="{00000000-0005-0000-0000-00004F050000}"/>
    <cellStyle name="Accent6 9 3" xfId="1537" xr:uid="{00000000-0005-0000-0000-000050050000}"/>
    <cellStyle name="Accent6 9 4" xfId="1538" xr:uid="{00000000-0005-0000-0000-000051050000}"/>
    <cellStyle name="Accent6 9 5" xfId="1539" xr:uid="{00000000-0005-0000-0000-000052050000}"/>
    <cellStyle name="Accent6 9 6" xfId="1540" xr:uid="{00000000-0005-0000-0000-000053050000}"/>
    <cellStyle name="Bad 10 2" xfId="1541" xr:uid="{00000000-0005-0000-0000-000054050000}"/>
    <cellStyle name="Bad 10 3" xfId="1542" xr:uid="{00000000-0005-0000-0000-000055050000}"/>
    <cellStyle name="Bad 10 4" xfId="1543" xr:uid="{00000000-0005-0000-0000-000056050000}"/>
    <cellStyle name="Bad 10 5" xfId="1544" xr:uid="{00000000-0005-0000-0000-000057050000}"/>
    <cellStyle name="Bad 10 6" xfId="1545" xr:uid="{00000000-0005-0000-0000-000058050000}"/>
    <cellStyle name="Bad 11 2" xfId="1546" xr:uid="{00000000-0005-0000-0000-000059050000}"/>
    <cellStyle name="Bad 11 3" xfId="1547" xr:uid="{00000000-0005-0000-0000-00005A050000}"/>
    <cellStyle name="Bad 11 4" xfId="1548" xr:uid="{00000000-0005-0000-0000-00005B050000}"/>
    <cellStyle name="Bad 11 5" xfId="1549" xr:uid="{00000000-0005-0000-0000-00005C050000}"/>
    <cellStyle name="Bad 11 6" xfId="1550" xr:uid="{00000000-0005-0000-0000-00005D050000}"/>
    <cellStyle name="Bad 2" xfId="100" xr:uid="{00000000-0005-0000-0000-00005E050000}"/>
    <cellStyle name="Bad 2 2" xfId="1551" xr:uid="{00000000-0005-0000-0000-00005F050000}"/>
    <cellStyle name="Bad 2 3" xfId="1552" xr:uid="{00000000-0005-0000-0000-000060050000}"/>
    <cellStyle name="Bad 2 4" xfId="1553" xr:uid="{00000000-0005-0000-0000-000061050000}"/>
    <cellStyle name="Bad 2 5" xfId="1554" xr:uid="{00000000-0005-0000-0000-000062050000}"/>
    <cellStyle name="Bad 2 6" xfId="1555" xr:uid="{00000000-0005-0000-0000-000063050000}"/>
    <cellStyle name="Bad 3" xfId="101" xr:uid="{00000000-0005-0000-0000-000064050000}"/>
    <cellStyle name="Bad 3 2" xfId="1557" xr:uid="{00000000-0005-0000-0000-000065050000}"/>
    <cellStyle name="Bad 3 3" xfId="1558" xr:uid="{00000000-0005-0000-0000-000066050000}"/>
    <cellStyle name="Bad 3 4" xfId="1559" xr:uid="{00000000-0005-0000-0000-000067050000}"/>
    <cellStyle name="Bad 3 5" xfId="1560" xr:uid="{00000000-0005-0000-0000-000068050000}"/>
    <cellStyle name="Bad 3 6" xfId="1561" xr:uid="{00000000-0005-0000-0000-000069050000}"/>
    <cellStyle name="Bad 3 7" xfId="1562" xr:uid="{00000000-0005-0000-0000-00006A050000}"/>
    <cellStyle name="Bad 3 8" xfId="1556" xr:uid="{00000000-0005-0000-0000-00006B050000}"/>
    <cellStyle name="Bad 4" xfId="102" xr:uid="{00000000-0005-0000-0000-00006C050000}"/>
    <cellStyle name="Bad 4 2" xfId="1564" xr:uid="{00000000-0005-0000-0000-00006D050000}"/>
    <cellStyle name="Bad 4 3" xfId="1565" xr:uid="{00000000-0005-0000-0000-00006E050000}"/>
    <cellStyle name="Bad 4 4" xfId="1566" xr:uid="{00000000-0005-0000-0000-00006F050000}"/>
    <cellStyle name="Bad 4 5" xfId="1567" xr:uid="{00000000-0005-0000-0000-000070050000}"/>
    <cellStyle name="Bad 4 6" xfId="1568" xr:uid="{00000000-0005-0000-0000-000071050000}"/>
    <cellStyle name="Bad 4 7" xfId="1569" xr:uid="{00000000-0005-0000-0000-000072050000}"/>
    <cellStyle name="Bad 4 8" xfId="1563" xr:uid="{00000000-0005-0000-0000-000073050000}"/>
    <cellStyle name="Bad 5" xfId="103" xr:uid="{00000000-0005-0000-0000-000074050000}"/>
    <cellStyle name="Bad 5 2" xfId="1570" xr:uid="{00000000-0005-0000-0000-000075050000}"/>
    <cellStyle name="Bad 5 3" xfId="1571" xr:uid="{00000000-0005-0000-0000-000076050000}"/>
    <cellStyle name="Bad 5 4" xfId="1572" xr:uid="{00000000-0005-0000-0000-000077050000}"/>
    <cellStyle name="Bad 5 5" xfId="1573" xr:uid="{00000000-0005-0000-0000-000078050000}"/>
    <cellStyle name="Bad 5 6" xfId="1574" xr:uid="{00000000-0005-0000-0000-000079050000}"/>
    <cellStyle name="Bad 6" xfId="104" xr:uid="{00000000-0005-0000-0000-00007A050000}"/>
    <cellStyle name="Bad 6 2" xfId="1575" xr:uid="{00000000-0005-0000-0000-00007B050000}"/>
    <cellStyle name="Bad 6 3" xfId="1576" xr:uid="{00000000-0005-0000-0000-00007C050000}"/>
    <cellStyle name="Bad 6 4" xfId="1577" xr:uid="{00000000-0005-0000-0000-00007D050000}"/>
    <cellStyle name="Bad 6 5" xfId="1578" xr:uid="{00000000-0005-0000-0000-00007E050000}"/>
    <cellStyle name="Bad 6 6" xfId="1579" xr:uid="{00000000-0005-0000-0000-00007F050000}"/>
    <cellStyle name="Bad 7" xfId="105" xr:uid="{00000000-0005-0000-0000-000080050000}"/>
    <cellStyle name="Bad 7 2" xfId="1580" xr:uid="{00000000-0005-0000-0000-000081050000}"/>
    <cellStyle name="Bad 7 3" xfId="1581" xr:uid="{00000000-0005-0000-0000-000082050000}"/>
    <cellStyle name="Bad 7 4" xfId="1582" xr:uid="{00000000-0005-0000-0000-000083050000}"/>
    <cellStyle name="Bad 7 5" xfId="1583" xr:uid="{00000000-0005-0000-0000-000084050000}"/>
    <cellStyle name="Bad 7 6" xfId="1584" xr:uid="{00000000-0005-0000-0000-000085050000}"/>
    <cellStyle name="Bad 8 2" xfId="1585" xr:uid="{00000000-0005-0000-0000-000086050000}"/>
    <cellStyle name="Bad 8 3" xfId="1586" xr:uid="{00000000-0005-0000-0000-000087050000}"/>
    <cellStyle name="Bad 8 4" xfId="1587" xr:uid="{00000000-0005-0000-0000-000088050000}"/>
    <cellStyle name="Bad 8 5" xfId="1588" xr:uid="{00000000-0005-0000-0000-000089050000}"/>
    <cellStyle name="Bad 8 6" xfId="1589" xr:uid="{00000000-0005-0000-0000-00008A050000}"/>
    <cellStyle name="Bad 9 2" xfId="1590" xr:uid="{00000000-0005-0000-0000-00008B050000}"/>
    <cellStyle name="Bad 9 3" xfId="1591" xr:uid="{00000000-0005-0000-0000-00008C050000}"/>
    <cellStyle name="Bad 9 4" xfId="1592" xr:uid="{00000000-0005-0000-0000-00008D050000}"/>
    <cellStyle name="Bad 9 5" xfId="1593" xr:uid="{00000000-0005-0000-0000-00008E050000}"/>
    <cellStyle name="Bad 9 6" xfId="1594" xr:uid="{00000000-0005-0000-0000-00008F050000}"/>
    <cellStyle name="Bold Border" xfId="106" xr:uid="{00000000-0005-0000-0000-000090050000}"/>
    <cellStyle name="Bottom bold border" xfId="107" xr:uid="{00000000-0005-0000-0000-000091050000}"/>
    <cellStyle name="Bottom single border" xfId="108" xr:uid="{00000000-0005-0000-0000-000092050000}"/>
    <cellStyle name="Calculation 10 2" xfId="1595" xr:uid="{00000000-0005-0000-0000-000093050000}"/>
    <cellStyle name="Calculation 10 2 2" xfId="2598" xr:uid="{00000000-0005-0000-0000-000094050000}"/>
    <cellStyle name="Calculation 10 3" xfId="1596" xr:uid="{00000000-0005-0000-0000-000095050000}"/>
    <cellStyle name="Calculation 10 3 2" xfId="2599" xr:uid="{00000000-0005-0000-0000-000096050000}"/>
    <cellStyle name="Calculation 10 4" xfId="1597" xr:uid="{00000000-0005-0000-0000-000097050000}"/>
    <cellStyle name="Calculation 10 4 2" xfId="2600" xr:uid="{00000000-0005-0000-0000-000098050000}"/>
    <cellStyle name="Calculation 10 5" xfId="1598" xr:uid="{00000000-0005-0000-0000-000099050000}"/>
    <cellStyle name="Calculation 10 5 2" xfId="2601" xr:uid="{00000000-0005-0000-0000-00009A050000}"/>
    <cellStyle name="Calculation 10 6" xfId="1599" xr:uid="{00000000-0005-0000-0000-00009B050000}"/>
    <cellStyle name="Calculation 10 6 2" xfId="2602" xr:uid="{00000000-0005-0000-0000-00009C050000}"/>
    <cellStyle name="Calculation 11 2" xfId="1600" xr:uid="{00000000-0005-0000-0000-00009D050000}"/>
    <cellStyle name="Calculation 11 2 2" xfId="2603" xr:uid="{00000000-0005-0000-0000-00009E050000}"/>
    <cellStyle name="Calculation 11 3" xfId="1601" xr:uid="{00000000-0005-0000-0000-00009F050000}"/>
    <cellStyle name="Calculation 11 3 2" xfId="2604" xr:uid="{00000000-0005-0000-0000-0000A0050000}"/>
    <cellStyle name="Calculation 11 4" xfId="1602" xr:uid="{00000000-0005-0000-0000-0000A1050000}"/>
    <cellStyle name="Calculation 11 4 2" xfId="2605" xr:uid="{00000000-0005-0000-0000-0000A2050000}"/>
    <cellStyle name="Calculation 11 5" xfId="1603" xr:uid="{00000000-0005-0000-0000-0000A3050000}"/>
    <cellStyle name="Calculation 11 5 2" xfId="2606" xr:uid="{00000000-0005-0000-0000-0000A4050000}"/>
    <cellStyle name="Calculation 11 6" xfId="1604" xr:uid="{00000000-0005-0000-0000-0000A5050000}"/>
    <cellStyle name="Calculation 11 6 2" xfId="2607" xr:uid="{00000000-0005-0000-0000-0000A6050000}"/>
    <cellStyle name="Calculation 2" xfId="109" xr:uid="{00000000-0005-0000-0000-0000A7050000}"/>
    <cellStyle name="Calculation 2 2" xfId="1605" xr:uid="{00000000-0005-0000-0000-0000A8050000}"/>
    <cellStyle name="Calculation 2 2 2" xfId="2608" xr:uid="{00000000-0005-0000-0000-0000A9050000}"/>
    <cellStyle name="Calculation 2 3" xfId="1606" xr:uid="{00000000-0005-0000-0000-0000AA050000}"/>
    <cellStyle name="Calculation 2 3 2" xfId="2609" xr:uid="{00000000-0005-0000-0000-0000AB050000}"/>
    <cellStyle name="Calculation 2 4" xfId="1607" xr:uid="{00000000-0005-0000-0000-0000AC050000}"/>
    <cellStyle name="Calculation 2 4 2" xfId="2610" xr:uid="{00000000-0005-0000-0000-0000AD050000}"/>
    <cellStyle name="Calculation 2 5" xfId="1608" xr:uid="{00000000-0005-0000-0000-0000AE050000}"/>
    <cellStyle name="Calculation 2 5 2" xfId="2611" xr:uid="{00000000-0005-0000-0000-0000AF050000}"/>
    <cellStyle name="Calculation 2 6" xfId="1609" xr:uid="{00000000-0005-0000-0000-0000B0050000}"/>
    <cellStyle name="Calculation 2 6 2" xfId="2612" xr:uid="{00000000-0005-0000-0000-0000B1050000}"/>
    <cellStyle name="Calculation 2 7" xfId="2549" xr:uid="{00000000-0005-0000-0000-0000B2050000}"/>
    <cellStyle name="Calculation 3" xfId="110" xr:uid="{00000000-0005-0000-0000-0000B3050000}"/>
    <cellStyle name="Calculation 3 2" xfId="1611" xr:uid="{00000000-0005-0000-0000-0000B4050000}"/>
    <cellStyle name="Calculation 3 2 2" xfId="2614" xr:uid="{00000000-0005-0000-0000-0000B5050000}"/>
    <cellStyle name="Calculation 3 3" xfId="1612" xr:uid="{00000000-0005-0000-0000-0000B6050000}"/>
    <cellStyle name="Calculation 3 3 2" xfId="2615" xr:uid="{00000000-0005-0000-0000-0000B7050000}"/>
    <cellStyle name="Calculation 3 4" xfId="1613" xr:uid="{00000000-0005-0000-0000-0000B8050000}"/>
    <cellStyle name="Calculation 3 4 2" xfId="2616" xr:uid="{00000000-0005-0000-0000-0000B9050000}"/>
    <cellStyle name="Calculation 3 5" xfId="1614" xr:uid="{00000000-0005-0000-0000-0000BA050000}"/>
    <cellStyle name="Calculation 3 5 2" xfId="2617" xr:uid="{00000000-0005-0000-0000-0000BB050000}"/>
    <cellStyle name="Calculation 3 6" xfId="1615" xr:uid="{00000000-0005-0000-0000-0000BC050000}"/>
    <cellStyle name="Calculation 3 6 2" xfId="2618" xr:uid="{00000000-0005-0000-0000-0000BD050000}"/>
    <cellStyle name="Calculation 3 7" xfId="1616" xr:uid="{00000000-0005-0000-0000-0000BE050000}"/>
    <cellStyle name="Calculation 3 7 2" xfId="2619" xr:uid="{00000000-0005-0000-0000-0000BF050000}"/>
    <cellStyle name="Calculation 3 8" xfId="1610" xr:uid="{00000000-0005-0000-0000-0000C0050000}"/>
    <cellStyle name="Calculation 3 8 2" xfId="2613" xr:uid="{00000000-0005-0000-0000-0000C1050000}"/>
    <cellStyle name="Calculation 3 9" xfId="2550" xr:uid="{00000000-0005-0000-0000-0000C2050000}"/>
    <cellStyle name="Calculation 4" xfId="111" xr:uid="{00000000-0005-0000-0000-0000C3050000}"/>
    <cellStyle name="Calculation 4 2" xfId="1618" xr:uid="{00000000-0005-0000-0000-0000C4050000}"/>
    <cellStyle name="Calculation 4 2 2" xfId="2621" xr:uid="{00000000-0005-0000-0000-0000C5050000}"/>
    <cellStyle name="Calculation 4 3" xfId="1619" xr:uid="{00000000-0005-0000-0000-0000C6050000}"/>
    <cellStyle name="Calculation 4 3 2" xfId="2622" xr:uid="{00000000-0005-0000-0000-0000C7050000}"/>
    <cellStyle name="Calculation 4 4" xfId="1620" xr:uid="{00000000-0005-0000-0000-0000C8050000}"/>
    <cellStyle name="Calculation 4 4 2" xfId="2623" xr:uid="{00000000-0005-0000-0000-0000C9050000}"/>
    <cellStyle name="Calculation 4 5" xfId="1621" xr:uid="{00000000-0005-0000-0000-0000CA050000}"/>
    <cellStyle name="Calculation 4 5 2" xfId="2624" xr:uid="{00000000-0005-0000-0000-0000CB050000}"/>
    <cellStyle name="Calculation 4 6" xfId="1622" xr:uid="{00000000-0005-0000-0000-0000CC050000}"/>
    <cellStyle name="Calculation 4 6 2" xfId="2625" xr:uid="{00000000-0005-0000-0000-0000CD050000}"/>
    <cellStyle name="Calculation 4 7" xfId="1623" xr:uid="{00000000-0005-0000-0000-0000CE050000}"/>
    <cellStyle name="Calculation 4 7 2" xfId="2626" xr:uid="{00000000-0005-0000-0000-0000CF050000}"/>
    <cellStyle name="Calculation 4 8" xfId="1617" xr:uid="{00000000-0005-0000-0000-0000D0050000}"/>
    <cellStyle name="Calculation 4 8 2" xfId="2620" xr:uid="{00000000-0005-0000-0000-0000D1050000}"/>
    <cellStyle name="Calculation 4 9" xfId="2551" xr:uid="{00000000-0005-0000-0000-0000D2050000}"/>
    <cellStyle name="Calculation 5" xfId="112" xr:uid="{00000000-0005-0000-0000-0000D3050000}"/>
    <cellStyle name="Calculation 5 2" xfId="1624" xr:uid="{00000000-0005-0000-0000-0000D4050000}"/>
    <cellStyle name="Calculation 5 2 2" xfId="2627" xr:uid="{00000000-0005-0000-0000-0000D5050000}"/>
    <cellStyle name="Calculation 5 3" xfId="1625" xr:uid="{00000000-0005-0000-0000-0000D6050000}"/>
    <cellStyle name="Calculation 5 3 2" xfId="2628" xr:uid="{00000000-0005-0000-0000-0000D7050000}"/>
    <cellStyle name="Calculation 5 4" xfId="1626" xr:uid="{00000000-0005-0000-0000-0000D8050000}"/>
    <cellStyle name="Calculation 5 4 2" xfId="2629" xr:uid="{00000000-0005-0000-0000-0000D9050000}"/>
    <cellStyle name="Calculation 5 5" xfId="1627" xr:uid="{00000000-0005-0000-0000-0000DA050000}"/>
    <cellStyle name="Calculation 5 5 2" xfId="2630" xr:uid="{00000000-0005-0000-0000-0000DB050000}"/>
    <cellStyle name="Calculation 5 6" xfId="1628" xr:uid="{00000000-0005-0000-0000-0000DC050000}"/>
    <cellStyle name="Calculation 5 6 2" xfId="2631" xr:uid="{00000000-0005-0000-0000-0000DD050000}"/>
    <cellStyle name="Calculation 5 7" xfId="2552" xr:uid="{00000000-0005-0000-0000-0000DE050000}"/>
    <cellStyle name="Calculation 6" xfId="113" xr:uid="{00000000-0005-0000-0000-0000DF050000}"/>
    <cellStyle name="Calculation 6 2" xfId="1629" xr:uid="{00000000-0005-0000-0000-0000E0050000}"/>
    <cellStyle name="Calculation 6 2 2" xfId="2632" xr:uid="{00000000-0005-0000-0000-0000E1050000}"/>
    <cellStyle name="Calculation 6 3" xfId="1630" xr:uid="{00000000-0005-0000-0000-0000E2050000}"/>
    <cellStyle name="Calculation 6 3 2" xfId="2633" xr:uid="{00000000-0005-0000-0000-0000E3050000}"/>
    <cellStyle name="Calculation 6 4" xfId="1631" xr:uid="{00000000-0005-0000-0000-0000E4050000}"/>
    <cellStyle name="Calculation 6 4 2" xfId="2634" xr:uid="{00000000-0005-0000-0000-0000E5050000}"/>
    <cellStyle name="Calculation 6 5" xfId="1632" xr:uid="{00000000-0005-0000-0000-0000E6050000}"/>
    <cellStyle name="Calculation 6 5 2" xfId="2635" xr:uid="{00000000-0005-0000-0000-0000E7050000}"/>
    <cellStyle name="Calculation 6 6" xfId="1633" xr:uid="{00000000-0005-0000-0000-0000E8050000}"/>
    <cellStyle name="Calculation 6 6 2" xfId="2636" xr:uid="{00000000-0005-0000-0000-0000E9050000}"/>
    <cellStyle name="Calculation 6 7" xfId="2553" xr:uid="{00000000-0005-0000-0000-0000EA050000}"/>
    <cellStyle name="Calculation 7" xfId="114" xr:uid="{00000000-0005-0000-0000-0000EB050000}"/>
    <cellStyle name="Calculation 7 2" xfId="1634" xr:uid="{00000000-0005-0000-0000-0000EC050000}"/>
    <cellStyle name="Calculation 7 2 2" xfId="2637" xr:uid="{00000000-0005-0000-0000-0000ED050000}"/>
    <cellStyle name="Calculation 7 3" xfId="1635" xr:uid="{00000000-0005-0000-0000-0000EE050000}"/>
    <cellStyle name="Calculation 7 3 2" xfId="2638" xr:uid="{00000000-0005-0000-0000-0000EF050000}"/>
    <cellStyle name="Calculation 7 4" xfId="1636" xr:uid="{00000000-0005-0000-0000-0000F0050000}"/>
    <cellStyle name="Calculation 7 4 2" xfId="2639" xr:uid="{00000000-0005-0000-0000-0000F1050000}"/>
    <cellStyle name="Calculation 7 5" xfId="1637" xr:uid="{00000000-0005-0000-0000-0000F2050000}"/>
    <cellStyle name="Calculation 7 5 2" xfId="2640" xr:uid="{00000000-0005-0000-0000-0000F3050000}"/>
    <cellStyle name="Calculation 7 6" xfId="1638" xr:uid="{00000000-0005-0000-0000-0000F4050000}"/>
    <cellStyle name="Calculation 7 6 2" xfId="2641" xr:uid="{00000000-0005-0000-0000-0000F5050000}"/>
    <cellStyle name="Calculation 7 7" xfId="2554" xr:uid="{00000000-0005-0000-0000-0000F6050000}"/>
    <cellStyle name="Calculation 8 2" xfId="1639" xr:uid="{00000000-0005-0000-0000-0000F7050000}"/>
    <cellStyle name="Calculation 8 2 2" xfId="2642" xr:uid="{00000000-0005-0000-0000-0000F8050000}"/>
    <cellStyle name="Calculation 8 3" xfId="1640" xr:uid="{00000000-0005-0000-0000-0000F9050000}"/>
    <cellStyle name="Calculation 8 3 2" xfId="2643" xr:uid="{00000000-0005-0000-0000-0000FA050000}"/>
    <cellStyle name="Calculation 8 4" xfId="1641" xr:uid="{00000000-0005-0000-0000-0000FB050000}"/>
    <cellStyle name="Calculation 8 4 2" xfId="2644" xr:uid="{00000000-0005-0000-0000-0000FC050000}"/>
    <cellStyle name="Calculation 8 5" xfId="1642" xr:uid="{00000000-0005-0000-0000-0000FD050000}"/>
    <cellStyle name="Calculation 8 5 2" xfId="2645" xr:uid="{00000000-0005-0000-0000-0000FE050000}"/>
    <cellStyle name="Calculation 8 6" xfId="1643" xr:uid="{00000000-0005-0000-0000-0000FF050000}"/>
    <cellStyle name="Calculation 8 6 2" xfId="2646" xr:uid="{00000000-0005-0000-0000-000000060000}"/>
    <cellStyle name="Calculation 9 2" xfId="1644" xr:uid="{00000000-0005-0000-0000-000001060000}"/>
    <cellStyle name="Calculation 9 2 2" xfId="2647" xr:uid="{00000000-0005-0000-0000-000002060000}"/>
    <cellStyle name="Calculation 9 3" xfId="1645" xr:uid="{00000000-0005-0000-0000-000003060000}"/>
    <cellStyle name="Calculation 9 3 2" xfId="2648" xr:uid="{00000000-0005-0000-0000-000004060000}"/>
    <cellStyle name="Calculation 9 4" xfId="1646" xr:uid="{00000000-0005-0000-0000-000005060000}"/>
    <cellStyle name="Calculation 9 4 2" xfId="2649" xr:uid="{00000000-0005-0000-0000-000006060000}"/>
    <cellStyle name="Calculation 9 5" xfId="1647" xr:uid="{00000000-0005-0000-0000-000007060000}"/>
    <cellStyle name="Calculation 9 5 2" xfId="2650" xr:uid="{00000000-0005-0000-0000-000008060000}"/>
    <cellStyle name="Calculation 9 6" xfId="1648" xr:uid="{00000000-0005-0000-0000-000009060000}"/>
    <cellStyle name="Calculation 9 6 2" xfId="2651" xr:uid="{00000000-0005-0000-0000-00000A060000}"/>
    <cellStyle name="Check Cell 10 2" xfId="1649" xr:uid="{00000000-0005-0000-0000-00000B060000}"/>
    <cellStyle name="Check Cell 10 3" xfId="1650" xr:uid="{00000000-0005-0000-0000-00000C060000}"/>
    <cellStyle name="Check Cell 10 4" xfId="1651" xr:uid="{00000000-0005-0000-0000-00000D060000}"/>
    <cellStyle name="Check Cell 10 5" xfId="1652" xr:uid="{00000000-0005-0000-0000-00000E060000}"/>
    <cellStyle name="Check Cell 10 6" xfId="1653" xr:uid="{00000000-0005-0000-0000-00000F060000}"/>
    <cellStyle name="Check Cell 11 2" xfId="1654" xr:uid="{00000000-0005-0000-0000-000010060000}"/>
    <cellStyle name="Check Cell 11 3" xfId="1655" xr:uid="{00000000-0005-0000-0000-000011060000}"/>
    <cellStyle name="Check Cell 11 4" xfId="1656" xr:uid="{00000000-0005-0000-0000-000012060000}"/>
    <cellStyle name="Check Cell 11 5" xfId="1657" xr:uid="{00000000-0005-0000-0000-000013060000}"/>
    <cellStyle name="Check Cell 11 6" xfId="1658" xr:uid="{00000000-0005-0000-0000-000014060000}"/>
    <cellStyle name="Check Cell 2" xfId="115" xr:uid="{00000000-0005-0000-0000-000015060000}"/>
    <cellStyle name="Check Cell 2 2" xfId="1659" xr:uid="{00000000-0005-0000-0000-000016060000}"/>
    <cellStyle name="Check Cell 2 3" xfId="1660" xr:uid="{00000000-0005-0000-0000-000017060000}"/>
    <cellStyle name="Check Cell 2 4" xfId="1661" xr:uid="{00000000-0005-0000-0000-000018060000}"/>
    <cellStyle name="Check Cell 2 5" xfId="1662" xr:uid="{00000000-0005-0000-0000-000019060000}"/>
    <cellStyle name="Check Cell 2 6" xfId="1663" xr:uid="{00000000-0005-0000-0000-00001A060000}"/>
    <cellStyle name="Check Cell 3" xfId="116" xr:uid="{00000000-0005-0000-0000-00001B060000}"/>
    <cellStyle name="Check Cell 3 2" xfId="1665" xr:uid="{00000000-0005-0000-0000-00001C060000}"/>
    <cellStyle name="Check Cell 3 3" xfId="1666" xr:uid="{00000000-0005-0000-0000-00001D060000}"/>
    <cellStyle name="Check Cell 3 4" xfId="1667" xr:uid="{00000000-0005-0000-0000-00001E060000}"/>
    <cellStyle name="Check Cell 3 5" xfId="1668" xr:uid="{00000000-0005-0000-0000-00001F060000}"/>
    <cellStyle name="Check Cell 3 6" xfId="1669" xr:uid="{00000000-0005-0000-0000-000020060000}"/>
    <cellStyle name="Check Cell 3 7" xfId="1670" xr:uid="{00000000-0005-0000-0000-000021060000}"/>
    <cellStyle name="Check Cell 3 8" xfId="1664" xr:uid="{00000000-0005-0000-0000-000022060000}"/>
    <cellStyle name="Check Cell 4" xfId="117" xr:uid="{00000000-0005-0000-0000-000023060000}"/>
    <cellStyle name="Check Cell 4 2" xfId="1672" xr:uid="{00000000-0005-0000-0000-000024060000}"/>
    <cellStyle name="Check Cell 4 3" xfId="1673" xr:uid="{00000000-0005-0000-0000-000025060000}"/>
    <cellStyle name="Check Cell 4 4" xfId="1674" xr:uid="{00000000-0005-0000-0000-000026060000}"/>
    <cellStyle name="Check Cell 4 5" xfId="1675" xr:uid="{00000000-0005-0000-0000-000027060000}"/>
    <cellStyle name="Check Cell 4 6" xfId="1676" xr:uid="{00000000-0005-0000-0000-000028060000}"/>
    <cellStyle name="Check Cell 4 7" xfId="1677" xr:uid="{00000000-0005-0000-0000-000029060000}"/>
    <cellStyle name="Check Cell 4 8" xfId="1671" xr:uid="{00000000-0005-0000-0000-00002A060000}"/>
    <cellStyle name="Check Cell 5" xfId="118" xr:uid="{00000000-0005-0000-0000-00002B060000}"/>
    <cellStyle name="Check Cell 5 2" xfId="1678" xr:uid="{00000000-0005-0000-0000-00002C060000}"/>
    <cellStyle name="Check Cell 5 3" xfId="1679" xr:uid="{00000000-0005-0000-0000-00002D060000}"/>
    <cellStyle name="Check Cell 5 4" xfId="1680" xr:uid="{00000000-0005-0000-0000-00002E060000}"/>
    <cellStyle name="Check Cell 5 5" xfId="1681" xr:uid="{00000000-0005-0000-0000-00002F060000}"/>
    <cellStyle name="Check Cell 5 6" xfId="1682" xr:uid="{00000000-0005-0000-0000-000030060000}"/>
    <cellStyle name="Check Cell 6" xfId="119" xr:uid="{00000000-0005-0000-0000-000031060000}"/>
    <cellStyle name="Check Cell 6 2" xfId="1683" xr:uid="{00000000-0005-0000-0000-000032060000}"/>
    <cellStyle name="Check Cell 6 3" xfId="1684" xr:uid="{00000000-0005-0000-0000-000033060000}"/>
    <cellStyle name="Check Cell 6 4" xfId="1685" xr:uid="{00000000-0005-0000-0000-000034060000}"/>
    <cellStyle name="Check Cell 6 5" xfId="1686" xr:uid="{00000000-0005-0000-0000-000035060000}"/>
    <cellStyle name="Check Cell 6 6" xfId="1687" xr:uid="{00000000-0005-0000-0000-000036060000}"/>
    <cellStyle name="Check Cell 7" xfId="120" xr:uid="{00000000-0005-0000-0000-000037060000}"/>
    <cellStyle name="Check Cell 7 2" xfId="1688" xr:uid="{00000000-0005-0000-0000-000038060000}"/>
    <cellStyle name="Check Cell 7 3" xfId="1689" xr:uid="{00000000-0005-0000-0000-000039060000}"/>
    <cellStyle name="Check Cell 7 4" xfId="1690" xr:uid="{00000000-0005-0000-0000-00003A060000}"/>
    <cellStyle name="Check Cell 7 5" xfId="1691" xr:uid="{00000000-0005-0000-0000-00003B060000}"/>
    <cellStyle name="Check Cell 7 6" xfId="1692" xr:uid="{00000000-0005-0000-0000-00003C060000}"/>
    <cellStyle name="Check Cell 8 2" xfId="1693" xr:uid="{00000000-0005-0000-0000-00003D060000}"/>
    <cellStyle name="Check Cell 8 3" xfId="1694" xr:uid="{00000000-0005-0000-0000-00003E060000}"/>
    <cellStyle name="Check Cell 8 4" xfId="1695" xr:uid="{00000000-0005-0000-0000-00003F060000}"/>
    <cellStyle name="Check Cell 8 5" xfId="1696" xr:uid="{00000000-0005-0000-0000-000040060000}"/>
    <cellStyle name="Check Cell 8 6" xfId="1697" xr:uid="{00000000-0005-0000-0000-000041060000}"/>
    <cellStyle name="Check Cell 9 2" xfId="1698" xr:uid="{00000000-0005-0000-0000-000042060000}"/>
    <cellStyle name="Check Cell 9 3" xfId="1699" xr:uid="{00000000-0005-0000-0000-000043060000}"/>
    <cellStyle name="Check Cell 9 4" xfId="1700" xr:uid="{00000000-0005-0000-0000-000044060000}"/>
    <cellStyle name="Check Cell 9 5" xfId="1701" xr:uid="{00000000-0005-0000-0000-000045060000}"/>
    <cellStyle name="Check Cell 9 6" xfId="1702" xr:uid="{00000000-0005-0000-0000-000046060000}"/>
    <cellStyle name="Client Name" xfId="121" xr:uid="{00000000-0005-0000-0000-000047060000}"/>
    <cellStyle name="Column Headings" xfId="122" xr:uid="{00000000-0005-0000-0000-000048060000}"/>
    <cellStyle name="Comma" xfId="1" builtinId="3"/>
    <cellStyle name="Comma 18" xfId="1703" xr:uid="{00000000-0005-0000-0000-00004A060000}"/>
    <cellStyle name="Comma 19" xfId="1704" xr:uid="{00000000-0005-0000-0000-00004B060000}"/>
    <cellStyle name="Comma 19 2" xfId="1705" xr:uid="{00000000-0005-0000-0000-00004C060000}"/>
    <cellStyle name="Comma 2" xfId="123" xr:uid="{00000000-0005-0000-0000-00004D060000}"/>
    <cellStyle name="Comma 2 2" xfId="124" xr:uid="{00000000-0005-0000-0000-00004E060000}"/>
    <cellStyle name="Comma 2 3" xfId="125" xr:uid="{00000000-0005-0000-0000-00004F060000}"/>
    <cellStyle name="Comma 2 3 2" xfId="1706" xr:uid="{00000000-0005-0000-0000-000050060000}"/>
    <cellStyle name="Comma 2 4" xfId="126" xr:uid="{00000000-0005-0000-0000-000051060000}"/>
    <cellStyle name="Comma 2 4 2" xfId="2530" xr:uid="{00000000-0005-0000-0000-000052060000}"/>
    <cellStyle name="Comma 20" xfId="1707" xr:uid="{00000000-0005-0000-0000-000053060000}"/>
    <cellStyle name="Comma 20 2" xfId="1708" xr:uid="{00000000-0005-0000-0000-000054060000}"/>
    <cellStyle name="Comma 21" xfId="1709" xr:uid="{00000000-0005-0000-0000-000055060000}"/>
    <cellStyle name="Comma 21 2" xfId="1710" xr:uid="{00000000-0005-0000-0000-000056060000}"/>
    <cellStyle name="Comma 22" xfId="1711" xr:uid="{00000000-0005-0000-0000-000057060000}"/>
    <cellStyle name="Comma 22 2" xfId="1712" xr:uid="{00000000-0005-0000-0000-000058060000}"/>
    <cellStyle name="Comma 23" xfId="1713" xr:uid="{00000000-0005-0000-0000-000059060000}"/>
    <cellStyle name="Comma 23 2" xfId="1714" xr:uid="{00000000-0005-0000-0000-00005A060000}"/>
    <cellStyle name="Comma 24" xfId="1715" xr:uid="{00000000-0005-0000-0000-00005B060000}"/>
    <cellStyle name="Comma 24 2" xfId="1716" xr:uid="{00000000-0005-0000-0000-00005C060000}"/>
    <cellStyle name="Comma 27" xfId="1717" xr:uid="{00000000-0005-0000-0000-00005D060000}"/>
    <cellStyle name="Comma 27 2" xfId="1718" xr:uid="{00000000-0005-0000-0000-00005E060000}"/>
    <cellStyle name="Comma 28" xfId="1719" xr:uid="{00000000-0005-0000-0000-00005F060000}"/>
    <cellStyle name="Comma 28 2" xfId="1720" xr:uid="{00000000-0005-0000-0000-000060060000}"/>
    <cellStyle name="Comma 3" xfId="127" xr:uid="{00000000-0005-0000-0000-000061060000}"/>
    <cellStyle name="Comma 3 2" xfId="128" xr:uid="{00000000-0005-0000-0000-000062060000}"/>
    <cellStyle name="Comma 3 3" xfId="129" xr:uid="{00000000-0005-0000-0000-000063060000}"/>
    <cellStyle name="Comma 3 3 2" xfId="2529" xr:uid="{00000000-0005-0000-0000-000064060000}"/>
    <cellStyle name="Comma 3 4" xfId="1721" xr:uid="{00000000-0005-0000-0000-000065060000}"/>
    <cellStyle name="Comma 3 4 2" xfId="2845" xr:uid="{00000000-0005-0000-0000-000066060000}"/>
    <cellStyle name="Comma 3 5" xfId="2526" xr:uid="{00000000-0005-0000-0000-000067060000}"/>
    <cellStyle name="Comma 3 5 2" xfId="2849" xr:uid="{00000000-0005-0000-0000-000068060000}"/>
    <cellStyle name="Comma 3 6" xfId="2535" xr:uid="{00000000-0005-0000-0000-000069060000}"/>
    <cellStyle name="Comma 3 6 2" xfId="2853" xr:uid="{00000000-0005-0000-0000-00006A060000}"/>
    <cellStyle name="Comma 3 7" xfId="2843" xr:uid="{00000000-0005-0000-0000-00006B060000}"/>
    <cellStyle name="Comma 30" xfId="1722" xr:uid="{00000000-0005-0000-0000-00006C060000}"/>
    <cellStyle name="Comma 30 2" xfId="1723" xr:uid="{00000000-0005-0000-0000-00006D060000}"/>
    <cellStyle name="Comma 36" xfId="1724" xr:uid="{00000000-0005-0000-0000-00006E060000}"/>
    <cellStyle name="Comma 36 2" xfId="1725" xr:uid="{00000000-0005-0000-0000-00006F060000}"/>
    <cellStyle name="Comma 39 2" xfId="1726" xr:uid="{00000000-0005-0000-0000-000070060000}"/>
    <cellStyle name="Comma 4" xfId="130" xr:uid="{00000000-0005-0000-0000-000071060000}"/>
    <cellStyle name="Comma 4 2" xfId="131" xr:uid="{00000000-0005-0000-0000-000072060000}"/>
    <cellStyle name="Comma 4 3" xfId="1727" xr:uid="{00000000-0005-0000-0000-000073060000}"/>
    <cellStyle name="Comma 5" xfId="2856" xr:uid="{00000000-0005-0000-0000-000074060000}"/>
    <cellStyle name="Comma 58 2" xfId="1728" xr:uid="{00000000-0005-0000-0000-000075060000}"/>
    <cellStyle name="Comma0" xfId="132" xr:uid="{00000000-0005-0000-0000-000076060000}"/>
    <cellStyle name="Comma0 2" xfId="2528" xr:uid="{00000000-0005-0000-0000-000077060000}"/>
    <cellStyle name="Currency 18" xfId="1729" xr:uid="{00000000-0005-0000-0000-000078060000}"/>
    <cellStyle name="Currency 18 2" xfId="1730" xr:uid="{00000000-0005-0000-0000-000079060000}"/>
    <cellStyle name="Currency 19" xfId="1731" xr:uid="{00000000-0005-0000-0000-00007A060000}"/>
    <cellStyle name="Currency 19 2" xfId="1732" xr:uid="{00000000-0005-0000-0000-00007B060000}"/>
    <cellStyle name="Currency 2" xfId="133" xr:uid="{00000000-0005-0000-0000-00007C060000}"/>
    <cellStyle name="Currency 2 2" xfId="134" xr:uid="{00000000-0005-0000-0000-00007D060000}"/>
    <cellStyle name="Currency 2 3" xfId="135" xr:uid="{00000000-0005-0000-0000-00007E060000}"/>
    <cellStyle name="Currency 2 3 2" xfId="1734" xr:uid="{00000000-0005-0000-0000-00007F060000}"/>
    <cellStyle name="Currency 2 3 3" xfId="1733" xr:uid="{00000000-0005-0000-0000-000080060000}"/>
    <cellStyle name="Currency 2 4" xfId="1735" xr:uid="{00000000-0005-0000-0000-000081060000}"/>
    <cellStyle name="Currency 20" xfId="1736" xr:uid="{00000000-0005-0000-0000-000082060000}"/>
    <cellStyle name="Currency 20 2" xfId="1737" xr:uid="{00000000-0005-0000-0000-000083060000}"/>
    <cellStyle name="Currency 21" xfId="1738" xr:uid="{00000000-0005-0000-0000-000084060000}"/>
    <cellStyle name="Currency 21 2" xfId="1739" xr:uid="{00000000-0005-0000-0000-000085060000}"/>
    <cellStyle name="Currency 22" xfId="1740" xr:uid="{00000000-0005-0000-0000-000086060000}"/>
    <cellStyle name="Currency 22 2" xfId="1741" xr:uid="{00000000-0005-0000-0000-000087060000}"/>
    <cellStyle name="Currency 23" xfId="1742" xr:uid="{00000000-0005-0000-0000-000088060000}"/>
    <cellStyle name="Currency 23 2" xfId="1743" xr:uid="{00000000-0005-0000-0000-000089060000}"/>
    <cellStyle name="Currency 24" xfId="1744" xr:uid="{00000000-0005-0000-0000-00008A060000}"/>
    <cellStyle name="Currency 24 2" xfId="1745" xr:uid="{00000000-0005-0000-0000-00008B060000}"/>
    <cellStyle name="Currency 27" xfId="1746" xr:uid="{00000000-0005-0000-0000-00008C060000}"/>
    <cellStyle name="Currency 27 2" xfId="1747" xr:uid="{00000000-0005-0000-0000-00008D060000}"/>
    <cellStyle name="Currency 28" xfId="1748" xr:uid="{00000000-0005-0000-0000-00008E060000}"/>
    <cellStyle name="Currency 28 2" xfId="1749" xr:uid="{00000000-0005-0000-0000-00008F060000}"/>
    <cellStyle name="Currency 3" xfId="136" xr:uid="{00000000-0005-0000-0000-000090060000}"/>
    <cellStyle name="Currency 3 2" xfId="1750" xr:uid="{00000000-0005-0000-0000-000091060000}"/>
    <cellStyle name="Currency 36" xfId="1751" xr:uid="{00000000-0005-0000-0000-000092060000}"/>
    <cellStyle name="Currency 36 2" xfId="1752" xr:uid="{00000000-0005-0000-0000-000093060000}"/>
    <cellStyle name="Currency 39 2" xfId="1753" xr:uid="{00000000-0005-0000-0000-000094060000}"/>
    <cellStyle name="Currency 43 2" xfId="1754" xr:uid="{00000000-0005-0000-0000-000095060000}"/>
    <cellStyle name="Currency0" xfId="137" xr:uid="{00000000-0005-0000-0000-000096060000}"/>
    <cellStyle name="Currency0 2" xfId="2527" xr:uid="{00000000-0005-0000-0000-000097060000}"/>
    <cellStyle name="Date" xfId="138" xr:uid="{00000000-0005-0000-0000-000098060000}"/>
    <cellStyle name="Decimal 2 (e.g. 1,000.00)" xfId="139" xr:uid="{00000000-0005-0000-0000-000099060000}"/>
    <cellStyle name="Double Underline" xfId="140" xr:uid="{00000000-0005-0000-0000-00009A060000}"/>
    <cellStyle name="Double Underscore" xfId="141" xr:uid="{00000000-0005-0000-0000-00009B060000}"/>
    <cellStyle name="Emphasis 1" xfId="142" xr:uid="{00000000-0005-0000-0000-00009C060000}"/>
    <cellStyle name="Emphasis 2" xfId="143" xr:uid="{00000000-0005-0000-0000-00009D060000}"/>
    <cellStyle name="Emphasis 3" xfId="144" xr:uid="{00000000-0005-0000-0000-00009E060000}"/>
    <cellStyle name="Explanatory Text 10 2" xfId="1755" xr:uid="{00000000-0005-0000-0000-00009F060000}"/>
    <cellStyle name="Explanatory Text 10 3" xfId="1756" xr:uid="{00000000-0005-0000-0000-0000A0060000}"/>
    <cellStyle name="Explanatory Text 10 4" xfId="1757" xr:uid="{00000000-0005-0000-0000-0000A1060000}"/>
    <cellStyle name="Explanatory Text 10 5" xfId="1758" xr:uid="{00000000-0005-0000-0000-0000A2060000}"/>
    <cellStyle name="Explanatory Text 10 6" xfId="1759" xr:uid="{00000000-0005-0000-0000-0000A3060000}"/>
    <cellStyle name="Explanatory Text 11 2" xfId="1760" xr:uid="{00000000-0005-0000-0000-0000A4060000}"/>
    <cellStyle name="Explanatory Text 11 3" xfId="1761" xr:uid="{00000000-0005-0000-0000-0000A5060000}"/>
    <cellStyle name="Explanatory Text 11 4" xfId="1762" xr:uid="{00000000-0005-0000-0000-0000A6060000}"/>
    <cellStyle name="Explanatory Text 11 5" xfId="1763" xr:uid="{00000000-0005-0000-0000-0000A7060000}"/>
    <cellStyle name="Explanatory Text 11 6" xfId="1764" xr:uid="{00000000-0005-0000-0000-0000A8060000}"/>
    <cellStyle name="Explanatory Text 2" xfId="1765" xr:uid="{00000000-0005-0000-0000-0000A9060000}"/>
    <cellStyle name="Explanatory Text 2 2" xfId="1766" xr:uid="{00000000-0005-0000-0000-0000AA060000}"/>
    <cellStyle name="Explanatory Text 2 3" xfId="1767" xr:uid="{00000000-0005-0000-0000-0000AB060000}"/>
    <cellStyle name="Explanatory Text 2 4" xfId="1768" xr:uid="{00000000-0005-0000-0000-0000AC060000}"/>
    <cellStyle name="Explanatory Text 2 5" xfId="1769" xr:uid="{00000000-0005-0000-0000-0000AD060000}"/>
    <cellStyle name="Explanatory Text 2 6" xfId="1770" xr:uid="{00000000-0005-0000-0000-0000AE060000}"/>
    <cellStyle name="Explanatory Text 3" xfId="1771" xr:uid="{00000000-0005-0000-0000-0000AF060000}"/>
    <cellStyle name="Explanatory Text 3 2" xfId="1772" xr:uid="{00000000-0005-0000-0000-0000B0060000}"/>
    <cellStyle name="Explanatory Text 3 3" xfId="1773" xr:uid="{00000000-0005-0000-0000-0000B1060000}"/>
    <cellStyle name="Explanatory Text 3 4" xfId="1774" xr:uid="{00000000-0005-0000-0000-0000B2060000}"/>
    <cellStyle name="Explanatory Text 3 5" xfId="1775" xr:uid="{00000000-0005-0000-0000-0000B3060000}"/>
    <cellStyle name="Explanatory Text 3 6" xfId="1776" xr:uid="{00000000-0005-0000-0000-0000B4060000}"/>
    <cellStyle name="Explanatory Text 4 2" xfId="1777" xr:uid="{00000000-0005-0000-0000-0000B5060000}"/>
    <cellStyle name="Explanatory Text 4 3" xfId="1778" xr:uid="{00000000-0005-0000-0000-0000B6060000}"/>
    <cellStyle name="Explanatory Text 4 4" xfId="1779" xr:uid="{00000000-0005-0000-0000-0000B7060000}"/>
    <cellStyle name="Explanatory Text 4 5" xfId="1780" xr:uid="{00000000-0005-0000-0000-0000B8060000}"/>
    <cellStyle name="Explanatory Text 4 6" xfId="1781" xr:uid="{00000000-0005-0000-0000-0000B9060000}"/>
    <cellStyle name="Explanatory Text 5 2" xfId="1782" xr:uid="{00000000-0005-0000-0000-0000BA060000}"/>
    <cellStyle name="Explanatory Text 5 3" xfId="1783" xr:uid="{00000000-0005-0000-0000-0000BB060000}"/>
    <cellStyle name="Explanatory Text 5 4" xfId="1784" xr:uid="{00000000-0005-0000-0000-0000BC060000}"/>
    <cellStyle name="Explanatory Text 5 5" xfId="1785" xr:uid="{00000000-0005-0000-0000-0000BD060000}"/>
    <cellStyle name="Explanatory Text 5 6" xfId="1786" xr:uid="{00000000-0005-0000-0000-0000BE060000}"/>
    <cellStyle name="Explanatory Text 6 2" xfId="1787" xr:uid="{00000000-0005-0000-0000-0000BF060000}"/>
    <cellStyle name="Explanatory Text 6 3" xfId="1788" xr:uid="{00000000-0005-0000-0000-0000C0060000}"/>
    <cellStyle name="Explanatory Text 6 4" xfId="1789" xr:uid="{00000000-0005-0000-0000-0000C1060000}"/>
    <cellStyle name="Explanatory Text 6 5" xfId="1790" xr:uid="{00000000-0005-0000-0000-0000C2060000}"/>
    <cellStyle name="Explanatory Text 6 6" xfId="1791" xr:uid="{00000000-0005-0000-0000-0000C3060000}"/>
    <cellStyle name="Explanatory Text 7 2" xfId="1792" xr:uid="{00000000-0005-0000-0000-0000C4060000}"/>
    <cellStyle name="Explanatory Text 7 3" xfId="1793" xr:uid="{00000000-0005-0000-0000-0000C5060000}"/>
    <cellStyle name="Explanatory Text 7 4" xfId="1794" xr:uid="{00000000-0005-0000-0000-0000C6060000}"/>
    <cellStyle name="Explanatory Text 7 5" xfId="1795" xr:uid="{00000000-0005-0000-0000-0000C7060000}"/>
    <cellStyle name="Explanatory Text 7 6" xfId="1796" xr:uid="{00000000-0005-0000-0000-0000C8060000}"/>
    <cellStyle name="Explanatory Text 8 2" xfId="1797" xr:uid="{00000000-0005-0000-0000-0000C9060000}"/>
    <cellStyle name="Explanatory Text 8 3" xfId="1798" xr:uid="{00000000-0005-0000-0000-0000CA060000}"/>
    <cellStyle name="Explanatory Text 8 4" xfId="1799" xr:uid="{00000000-0005-0000-0000-0000CB060000}"/>
    <cellStyle name="Explanatory Text 8 5" xfId="1800" xr:uid="{00000000-0005-0000-0000-0000CC060000}"/>
    <cellStyle name="Explanatory Text 8 6" xfId="1801" xr:uid="{00000000-0005-0000-0000-0000CD060000}"/>
    <cellStyle name="Explanatory Text 9 2" xfId="1802" xr:uid="{00000000-0005-0000-0000-0000CE060000}"/>
    <cellStyle name="Explanatory Text 9 3" xfId="1803" xr:uid="{00000000-0005-0000-0000-0000CF060000}"/>
    <cellStyle name="Explanatory Text 9 4" xfId="1804" xr:uid="{00000000-0005-0000-0000-0000D0060000}"/>
    <cellStyle name="Explanatory Text 9 5" xfId="1805" xr:uid="{00000000-0005-0000-0000-0000D1060000}"/>
    <cellStyle name="Explanatory Text 9 6" xfId="1806" xr:uid="{00000000-0005-0000-0000-0000D2060000}"/>
    <cellStyle name="F2" xfId="145" xr:uid="{00000000-0005-0000-0000-0000D3060000}"/>
    <cellStyle name="F3" xfId="146" xr:uid="{00000000-0005-0000-0000-0000D4060000}"/>
    <cellStyle name="F4" xfId="147" xr:uid="{00000000-0005-0000-0000-0000D5060000}"/>
    <cellStyle name="F5" xfId="148" xr:uid="{00000000-0005-0000-0000-0000D6060000}"/>
    <cellStyle name="F6" xfId="149" xr:uid="{00000000-0005-0000-0000-0000D7060000}"/>
    <cellStyle name="F7" xfId="150" xr:uid="{00000000-0005-0000-0000-0000D8060000}"/>
    <cellStyle name="F8" xfId="151" xr:uid="{00000000-0005-0000-0000-0000D9060000}"/>
    <cellStyle name="Fixed" xfId="152" xr:uid="{00000000-0005-0000-0000-0000DA060000}"/>
    <cellStyle name="Good 10 2" xfId="1807" xr:uid="{00000000-0005-0000-0000-0000DB060000}"/>
    <cellStyle name="Good 10 3" xfId="1808" xr:uid="{00000000-0005-0000-0000-0000DC060000}"/>
    <cellStyle name="Good 10 4" xfId="1809" xr:uid="{00000000-0005-0000-0000-0000DD060000}"/>
    <cellStyle name="Good 10 5" xfId="1810" xr:uid="{00000000-0005-0000-0000-0000DE060000}"/>
    <cellStyle name="Good 10 6" xfId="1811" xr:uid="{00000000-0005-0000-0000-0000DF060000}"/>
    <cellStyle name="Good 11 2" xfId="1812" xr:uid="{00000000-0005-0000-0000-0000E0060000}"/>
    <cellStyle name="Good 11 3" xfId="1813" xr:uid="{00000000-0005-0000-0000-0000E1060000}"/>
    <cellStyle name="Good 11 4" xfId="1814" xr:uid="{00000000-0005-0000-0000-0000E2060000}"/>
    <cellStyle name="Good 11 5" xfId="1815" xr:uid="{00000000-0005-0000-0000-0000E3060000}"/>
    <cellStyle name="Good 11 6" xfId="1816" xr:uid="{00000000-0005-0000-0000-0000E4060000}"/>
    <cellStyle name="Good 2" xfId="153" xr:uid="{00000000-0005-0000-0000-0000E5060000}"/>
    <cellStyle name="Good 2 2" xfId="1817" xr:uid="{00000000-0005-0000-0000-0000E6060000}"/>
    <cellStyle name="Good 2 3" xfId="1818" xr:uid="{00000000-0005-0000-0000-0000E7060000}"/>
    <cellStyle name="Good 2 4" xfId="1819" xr:uid="{00000000-0005-0000-0000-0000E8060000}"/>
    <cellStyle name="Good 2 5" xfId="1820" xr:uid="{00000000-0005-0000-0000-0000E9060000}"/>
    <cellStyle name="Good 2 6" xfId="1821" xr:uid="{00000000-0005-0000-0000-0000EA060000}"/>
    <cellStyle name="Good 3" xfId="154" xr:uid="{00000000-0005-0000-0000-0000EB060000}"/>
    <cellStyle name="Good 3 2" xfId="1823" xr:uid="{00000000-0005-0000-0000-0000EC060000}"/>
    <cellStyle name="Good 3 3" xfId="1824" xr:uid="{00000000-0005-0000-0000-0000ED060000}"/>
    <cellStyle name="Good 3 4" xfId="1825" xr:uid="{00000000-0005-0000-0000-0000EE060000}"/>
    <cellStyle name="Good 3 5" xfId="1826" xr:uid="{00000000-0005-0000-0000-0000EF060000}"/>
    <cellStyle name="Good 3 6" xfId="1827" xr:uid="{00000000-0005-0000-0000-0000F0060000}"/>
    <cellStyle name="Good 3 7" xfId="1828" xr:uid="{00000000-0005-0000-0000-0000F1060000}"/>
    <cellStyle name="Good 3 8" xfId="1822" xr:uid="{00000000-0005-0000-0000-0000F2060000}"/>
    <cellStyle name="Good 4" xfId="155" xr:uid="{00000000-0005-0000-0000-0000F3060000}"/>
    <cellStyle name="Good 4 2" xfId="1830" xr:uid="{00000000-0005-0000-0000-0000F4060000}"/>
    <cellStyle name="Good 4 3" xfId="1831" xr:uid="{00000000-0005-0000-0000-0000F5060000}"/>
    <cellStyle name="Good 4 4" xfId="1832" xr:uid="{00000000-0005-0000-0000-0000F6060000}"/>
    <cellStyle name="Good 4 5" xfId="1833" xr:uid="{00000000-0005-0000-0000-0000F7060000}"/>
    <cellStyle name="Good 4 6" xfId="1834" xr:uid="{00000000-0005-0000-0000-0000F8060000}"/>
    <cellStyle name="Good 4 7" xfId="1835" xr:uid="{00000000-0005-0000-0000-0000F9060000}"/>
    <cellStyle name="Good 4 8" xfId="1829" xr:uid="{00000000-0005-0000-0000-0000FA060000}"/>
    <cellStyle name="Good 5" xfId="156" xr:uid="{00000000-0005-0000-0000-0000FB060000}"/>
    <cellStyle name="Good 5 2" xfId="1836" xr:uid="{00000000-0005-0000-0000-0000FC060000}"/>
    <cellStyle name="Good 5 3" xfId="1837" xr:uid="{00000000-0005-0000-0000-0000FD060000}"/>
    <cellStyle name="Good 5 4" xfId="1838" xr:uid="{00000000-0005-0000-0000-0000FE060000}"/>
    <cellStyle name="Good 5 5" xfId="1839" xr:uid="{00000000-0005-0000-0000-0000FF060000}"/>
    <cellStyle name="Good 5 6" xfId="1840" xr:uid="{00000000-0005-0000-0000-000000070000}"/>
    <cellStyle name="Good 6" xfId="157" xr:uid="{00000000-0005-0000-0000-000001070000}"/>
    <cellStyle name="Good 6 2" xfId="1841" xr:uid="{00000000-0005-0000-0000-000002070000}"/>
    <cellStyle name="Good 6 3" xfId="1842" xr:uid="{00000000-0005-0000-0000-000003070000}"/>
    <cellStyle name="Good 6 4" xfId="1843" xr:uid="{00000000-0005-0000-0000-000004070000}"/>
    <cellStyle name="Good 6 5" xfId="1844" xr:uid="{00000000-0005-0000-0000-000005070000}"/>
    <cellStyle name="Good 6 6" xfId="1845" xr:uid="{00000000-0005-0000-0000-000006070000}"/>
    <cellStyle name="Good 7" xfId="158" xr:uid="{00000000-0005-0000-0000-000007070000}"/>
    <cellStyle name="Good 7 2" xfId="1846" xr:uid="{00000000-0005-0000-0000-000008070000}"/>
    <cellStyle name="Good 7 3" xfId="1847" xr:uid="{00000000-0005-0000-0000-000009070000}"/>
    <cellStyle name="Good 7 4" xfId="1848" xr:uid="{00000000-0005-0000-0000-00000A070000}"/>
    <cellStyle name="Good 7 5" xfId="1849" xr:uid="{00000000-0005-0000-0000-00000B070000}"/>
    <cellStyle name="Good 7 6" xfId="1850" xr:uid="{00000000-0005-0000-0000-00000C070000}"/>
    <cellStyle name="Good 8 2" xfId="1851" xr:uid="{00000000-0005-0000-0000-00000D070000}"/>
    <cellStyle name="Good 8 3" xfId="1852" xr:uid="{00000000-0005-0000-0000-00000E070000}"/>
    <cellStyle name="Good 8 4" xfId="1853" xr:uid="{00000000-0005-0000-0000-00000F070000}"/>
    <cellStyle name="Good 8 5" xfId="1854" xr:uid="{00000000-0005-0000-0000-000010070000}"/>
    <cellStyle name="Good 8 6" xfId="1855" xr:uid="{00000000-0005-0000-0000-000011070000}"/>
    <cellStyle name="Good 9 2" xfId="1856" xr:uid="{00000000-0005-0000-0000-000012070000}"/>
    <cellStyle name="Good 9 3" xfId="1857" xr:uid="{00000000-0005-0000-0000-000013070000}"/>
    <cellStyle name="Good 9 4" xfId="1858" xr:uid="{00000000-0005-0000-0000-000014070000}"/>
    <cellStyle name="Good 9 5" xfId="1859" xr:uid="{00000000-0005-0000-0000-000015070000}"/>
    <cellStyle name="Good 9 6" xfId="1860" xr:uid="{00000000-0005-0000-0000-000016070000}"/>
    <cellStyle name="Heading 1 10 2" xfId="1861" xr:uid="{00000000-0005-0000-0000-000017070000}"/>
    <cellStyle name="Heading 1 10 3" xfId="1862" xr:uid="{00000000-0005-0000-0000-000018070000}"/>
    <cellStyle name="Heading 1 10 4" xfId="1863" xr:uid="{00000000-0005-0000-0000-000019070000}"/>
    <cellStyle name="Heading 1 10 5" xfId="1864" xr:uid="{00000000-0005-0000-0000-00001A070000}"/>
    <cellStyle name="Heading 1 10 6" xfId="1865" xr:uid="{00000000-0005-0000-0000-00001B070000}"/>
    <cellStyle name="Heading 1 11 2" xfId="1866" xr:uid="{00000000-0005-0000-0000-00001C070000}"/>
    <cellStyle name="Heading 1 11 3" xfId="1867" xr:uid="{00000000-0005-0000-0000-00001D070000}"/>
    <cellStyle name="Heading 1 11 4" xfId="1868" xr:uid="{00000000-0005-0000-0000-00001E070000}"/>
    <cellStyle name="Heading 1 11 5" xfId="1869" xr:uid="{00000000-0005-0000-0000-00001F070000}"/>
    <cellStyle name="Heading 1 11 6" xfId="1870" xr:uid="{00000000-0005-0000-0000-000020070000}"/>
    <cellStyle name="Heading 1 2" xfId="159" xr:uid="{00000000-0005-0000-0000-000021070000}"/>
    <cellStyle name="Heading 1 2 2" xfId="1871" xr:uid="{00000000-0005-0000-0000-000022070000}"/>
    <cellStyle name="Heading 1 2 3" xfId="1872" xr:uid="{00000000-0005-0000-0000-000023070000}"/>
    <cellStyle name="Heading 1 2 4" xfId="1873" xr:uid="{00000000-0005-0000-0000-000024070000}"/>
    <cellStyle name="Heading 1 2 5" xfId="1874" xr:uid="{00000000-0005-0000-0000-000025070000}"/>
    <cellStyle name="Heading 1 2 6" xfId="1875" xr:uid="{00000000-0005-0000-0000-000026070000}"/>
    <cellStyle name="Heading 1 3" xfId="160" xr:uid="{00000000-0005-0000-0000-000027070000}"/>
    <cellStyle name="Heading 1 3 2" xfId="1877" xr:uid="{00000000-0005-0000-0000-000028070000}"/>
    <cellStyle name="Heading 1 3 3" xfId="1878" xr:uid="{00000000-0005-0000-0000-000029070000}"/>
    <cellStyle name="Heading 1 3 4" xfId="1879" xr:uid="{00000000-0005-0000-0000-00002A070000}"/>
    <cellStyle name="Heading 1 3 5" xfId="1880" xr:uid="{00000000-0005-0000-0000-00002B070000}"/>
    <cellStyle name="Heading 1 3 6" xfId="1881" xr:uid="{00000000-0005-0000-0000-00002C070000}"/>
    <cellStyle name="Heading 1 3 7" xfId="1882" xr:uid="{00000000-0005-0000-0000-00002D070000}"/>
    <cellStyle name="Heading 1 3 8" xfId="1876" xr:uid="{00000000-0005-0000-0000-00002E070000}"/>
    <cellStyle name="Heading 1 4" xfId="161" xr:uid="{00000000-0005-0000-0000-00002F070000}"/>
    <cellStyle name="Heading 1 4 2" xfId="1884" xr:uid="{00000000-0005-0000-0000-000030070000}"/>
    <cellStyle name="Heading 1 4 3" xfId="1885" xr:uid="{00000000-0005-0000-0000-000031070000}"/>
    <cellStyle name="Heading 1 4 4" xfId="1886" xr:uid="{00000000-0005-0000-0000-000032070000}"/>
    <cellStyle name="Heading 1 4 5" xfId="1887" xr:uid="{00000000-0005-0000-0000-000033070000}"/>
    <cellStyle name="Heading 1 4 6" xfId="1888" xr:uid="{00000000-0005-0000-0000-000034070000}"/>
    <cellStyle name="Heading 1 4 7" xfId="1889" xr:uid="{00000000-0005-0000-0000-000035070000}"/>
    <cellStyle name="Heading 1 4 8" xfId="1883" xr:uid="{00000000-0005-0000-0000-000036070000}"/>
    <cellStyle name="Heading 1 5" xfId="162" xr:uid="{00000000-0005-0000-0000-000037070000}"/>
    <cellStyle name="Heading 1 5 2" xfId="1890" xr:uid="{00000000-0005-0000-0000-000038070000}"/>
    <cellStyle name="Heading 1 5 3" xfId="1891" xr:uid="{00000000-0005-0000-0000-000039070000}"/>
    <cellStyle name="Heading 1 5 4" xfId="1892" xr:uid="{00000000-0005-0000-0000-00003A070000}"/>
    <cellStyle name="Heading 1 5 5" xfId="1893" xr:uid="{00000000-0005-0000-0000-00003B070000}"/>
    <cellStyle name="Heading 1 5 6" xfId="1894" xr:uid="{00000000-0005-0000-0000-00003C070000}"/>
    <cellStyle name="Heading 1 6" xfId="163" xr:uid="{00000000-0005-0000-0000-00003D070000}"/>
    <cellStyle name="Heading 1 6 2" xfId="1895" xr:uid="{00000000-0005-0000-0000-00003E070000}"/>
    <cellStyle name="Heading 1 6 3" xfId="1896" xr:uid="{00000000-0005-0000-0000-00003F070000}"/>
    <cellStyle name="Heading 1 6 4" xfId="1897" xr:uid="{00000000-0005-0000-0000-000040070000}"/>
    <cellStyle name="Heading 1 6 5" xfId="1898" xr:uid="{00000000-0005-0000-0000-000041070000}"/>
    <cellStyle name="Heading 1 6 6" xfId="1899" xr:uid="{00000000-0005-0000-0000-000042070000}"/>
    <cellStyle name="Heading 1 7" xfId="164" xr:uid="{00000000-0005-0000-0000-000043070000}"/>
    <cellStyle name="Heading 1 7 2" xfId="1900" xr:uid="{00000000-0005-0000-0000-000044070000}"/>
    <cellStyle name="Heading 1 7 3" xfId="1901" xr:uid="{00000000-0005-0000-0000-000045070000}"/>
    <cellStyle name="Heading 1 7 4" xfId="1902" xr:uid="{00000000-0005-0000-0000-000046070000}"/>
    <cellStyle name="Heading 1 7 5" xfId="1903" xr:uid="{00000000-0005-0000-0000-000047070000}"/>
    <cellStyle name="Heading 1 7 6" xfId="1904" xr:uid="{00000000-0005-0000-0000-000048070000}"/>
    <cellStyle name="Heading 1 8 2" xfId="1905" xr:uid="{00000000-0005-0000-0000-000049070000}"/>
    <cellStyle name="Heading 1 8 3" xfId="1906" xr:uid="{00000000-0005-0000-0000-00004A070000}"/>
    <cellStyle name="Heading 1 8 4" xfId="1907" xr:uid="{00000000-0005-0000-0000-00004B070000}"/>
    <cellStyle name="Heading 1 8 5" xfId="1908" xr:uid="{00000000-0005-0000-0000-00004C070000}"/>
    <cellStyle name="Heading 1 8 6" xfId="1909" xr:uid="{00000000-0005-0000-0000-00004D070000}"/>
    <cellStyle name="Heading 1 9 2" xfId="1910" xr:uid="{00000000-0005-0000-0000-00004E070000}"/>
    <cellStyle name="Heading 1 9 3" xfId="1911" xr:uid="{00000000-0005-0000-0000-00004F070000}"/>
    <cellStyle name="Heading 1 9 4" xfId="1912" xr:uid="{00000000-0005-0000-0000-000050070000}"/>
    <cellStyle name="Heading 1 9 5" xfId="1913" xr:uid="{00000000-0005-0000-0000-000051070000}"/>
    <cellStyle name="Heading 1 9 6" xfId="1914" xr:uid="{00000000-0005-0000-0000-000052070000}"/>
    <cellStyle name="Heading 2 10 2" xfId="1915" xr:uid="{00000000-0005-0000-0000-000053070000}"/>
    <cellStyle name="Heading 2 10 3" xfId="1916" xr:uid="{00000000-0005-0000-0000-000054070000}"/>
    <cellStyle name="Heading 2 10 4" xfId="1917" xr:uid="{00000000-0005-0000-0000-000055070000}"/>
    <cellStyle name="Heading 2 10 5" xfId="1918" xr:uid="{00000000-0005-0000-0000-000056070000}"/>
    <cellStyle name="Heading 2 10 6" xfId="1919" xr:uid="{00000000-0005-0000-0000-000057070000}"/>
    <cellStyle name="Heading 2 11 2" xfId="1920" xr:uid="{00000000-0005-0000-0000-000058070000}"/>
    <cellStyle name="Heading 2 11 3" xfId="1921" xr:uid="{00000000-0005-0000-0000-000059070000}"/>
    <cellStyle name="Heading 2 11 4" xfId="1922" xr:uid="{00000000-0005-0000-0000-00005A070000}"/>
    <cellStyle name="Heading 2 11 5" xfId="1923" xr:uid="{00000000-0005-0000-0000-00005B070000}"/>
    <cellStyle name="Heading 2 11 6" xfId="1924" xr:uid="{00000000-0005-0000-0000-00005C070000}"/>
    <cellStyle name="Heading 2 2" xfId="165" xr:uid="{00000000-0005-0000-0000-00005D070000}"/>
    <cellStyle name="Heading 2 2 2" xfId="1925" xr:uid="{00000000-0005-0000-0000-00005E070000}"/>
    <cellStyle name="Heading 2 2 3" xfId="1926" xr:uid="{00000000-0005-0000-0000-00005F070000}"/>
    <cellStyle name="Heading 2 2 4" xfId="1927" xr:uid="{00000000-0005-0000-0000-000060070000}"/>
    <cellStyle name="Heading 2 2 5" xfId="1928" xr:uid="{00000000-0005-0000-0000-000061070000}"/>
    <cellStyle name="Heading 2 2 6" xfId="1929" xr:uid="{00000000-0005-0000-0000-000062070000}"/>
    <cellStyle name="Heading 2 3" xfId="166" xr:uid="{00000000-0005-0000-0000-000063070000}"/>
    <cellStyle name="Heading 2 3 2" xfId="1931" xr:uid="{00000000-0005-0000-0000-000064070000}"/>
    <cellStyle name="Heading 2 3 3" xfId="1932" xr:uid="{00000000-0005-0000-0000-000065070000}"/>
    <cellStyle name="Heading 2 3 4" xfId="1933" xr:uid="{00000000-0005-0000-0000-000066070000}"/>
    <cellStyle name="Heading 2 3 5" xfId="1934" xr:uid="{00000000-0005-0000-0000-000067070000}"/>
    <cellStyle name="Heading 2 3 6" xfId="1935" xr:uid="{00000000-0005-0000-0000-000068070000}"/>
    <cellStyle name="Heading 2 3 7" xfId="1936" xr:uid="{00000000-0005-0000-0000-000069070000}"/>
    <cellStyle name="Heading 2 3 8" xfId="1930" xr:uid="{00000000-0005-0000-0000-00006A070000}"/>
    <cellStyle name="Heading 2 4" xfId="167" xr:uid="{00000000-0005-0000-0000-00006B070000}"/>
    <cellStyle name="Heading 2 4 2" xfId="1938" xr:uid="{00000000-0005-0000-0000-00006C070000}"/>
    <cellStyle name="Heading 2 4 3" xfId="1939" xr:uid="{00000000-0005-0000-0000-00006D070000}"/>
    <cellStyle name="Heading 2 4 4" xfId="1940" xr:uid="{00000000-0005-0000-0000-00006E070000}"/>
    <cellStyle name="Heading 2 4 5" xfId="1941" xr:uid="{00000000-0005-0000-0000-00006F070000}"/>
    <cellStyle name="Heading 2 4 6" xfId="1942" xr:uid="{00000000-0005-0000-0000-000070070000}"/>
    <cellStyle name="Heading 2 4 7" xfId="1943" xr:uid="{00000000-0005-0000-0000-000071070000}"/>
    <cellStyle name="Heading 2 4 8" xfId="1937" xr:uid="{00000000-0005-0000-0000-000072070000}"/>
    <cellStyle name="Heading 2 5" xfId="168" xr:uid="{00000000-0005-0000-0000-000073070000}"/>
    <cellStyle name="Heading 2 5 2" xfId="1944" xr:uid="{00000000-0005-0000-0000-000074070000}"/>
    <cellStyle name="Heading 2 5 3" xfId="1945" xr:uid="{00000000-0005-0000-0000-000075070000}"/>
    <cellStyle name="Heading 2 5 4" xfId="1946" xr:uid="{00000000-0005-0000-0000-000076070000}"/>
    <cellStyle name="Heading 2 5 5" xfId="1947" xr:uid="{00000000-0005-0000-0000-000077070000}"/>
    <cellStyle name="Heading 2 5 6" xfId="1948" xr:uid="{00000000-0005-0000-0000-000078070000}"/>
    <cellStyle name="Heading 2 6" xfId="169" xr:uid="{00000000-0005-0000-0000-000079070000}"/>
    <cellStyle name="Heading 2 6 2" xfId="1949" xr:uid="{00000000-0005-0000-0000-00007A070000}"/>
    <cellStyle name="Heading 2 6 3" xfId="1950" xr:uid="{00000000-0005-0000-0000-00007B070000}"/>
    <cellStyle name="Heading 2 6 4" xfId="1951" xr:uid="{00000000-0005-0000-0000-00007C070000}"/>
    <cellStyle name="Heading 2 6 5" xfId="1952" xr:uid="{00000000-0005-0000-0000-00007D070000}"/>
    <cellStyle name="Heading 2 6 6" xfId="1953" xr:uid="{00000000-0005-0000-0000-00007E070000}"/>
    <cellStyle name="Heading 2 7" xfId="170" xr:uid="{00000000-0005-0000-0000-00007F070000}"/>
    <cellStyle name="Heading 2 7 2" xfId="1954" xr:uid="{00000000-0005-0000-0000-000080070000}"/>
    <cellStyle name="Heading 2 7 3" xfId="1955" xr:uid="{00000000-0005-0000-0000-000081070000}"/>
    <cellStyle name="Heading 2 7 4" xfId="1956" xr:uid="{00000000-0005-0000-0000-000082070000}"/>
    <cellStyle name="Heading 2 7 5" xfId="1957" xr:uid="{00000000-0005-0000-0000-000083070000}"/>
    <cellStyle name="Heading 2 7 6" xfId="1958" xr:uid="{00000000-0005-0000-0000-000084070000}"/>
    <cellStyle name="Heading 2 8 2" xfId="1959" xr:uid="{00000000-0005-0000-0000-000085070000}"/>
    <cellStyle name="Heading 2 8 3" xfId="1960" xr:uid="{00000000-0005-0000-0000-000086070000}"/>
    <cellStyle name="Heading 2 8 4" xfId="1961" xr:uid="{00000000-0005-0000-0000-000087070000}"/>
    <cellStyle name="Heading 2 8 5" xfId="1962" xr:uid="{00000000-0005-0000-0000-000088070000}"/>
    <cellStyle name="Heading 2 8 6" xfId="1963" xr:uid="{00000000-0005-0000-0000-000089070000}"/>
    <cellStyle name="Heading 2 9 2" xfId="1964" xr:uid="{00000000-0005-0000-0000-00008A070000}"/>
    <cellStyle name="Heading 2 9 3" xfId="1965" xr:uid="{00000000-0005-0000-0000-00008B070000}"/>
    <cellStyle name="Heading 2 9 4" xfId="1966" xr:uid="{00000000-0005-0000-0000-00008C070000}"/>
    <cellStyle name="Heading 2 9 5" xfId="1967" xr:uid="{00000000-0005-0000-0000-00008D070000}"/>
    <cellStyle name="Heading 2 9 6" xfId="1968" xr:uid="{00000000-0005-0000-0000-00008E070000}"/>
    <cellStyle name="Heading 3 10 2" xfId="1969" xr:uid="{00000000-0005-0000-0000-00008F070000}"/>
    <cellStyle name="Heading 3 10 3" xfId="1970" xr:uid="{00000000-0005-0000-0000-000090070000}"/>
    <cellStyle name="Heading 3 10 4" xfId="1971" xr:uid="{00000000-0005-0000-0000-000091070000}"/>
    <cellStyle name="Heading 3 10 5" xfId="1972" xr:uid="{00000000-0005-0000-0000-000092070000}"/>
    <cellStyle name="Heading 3 10 6" xfId="1973" xr:uid="{00000000-0005-0000-0000-000093070000}"/>
    <cellStyle name="Heading 3 11 2" xfId="1974" xr:uid="{00000000-0005-0000-0000-000094070000}"/>
    <cellStyle name="Heading 3 11 3" xfId="1975" xr:uid="{00000000-0005-0000-0000-000095070000}"/>
    <cellStyle name="Heading 3 11 4" xfId="1976" xr:uid="{00000000-0005-0000-0000-000096070000}"/>
    <cellStyle name="Heading 3 11 5" xfId="1977" xr:uid="{00000000-0005-0000-0000-000097070000}"/>
    <cellStyle name="Heading 3 11 6" xfId="1978" xr:uid="{00000000-0005-0000-0000-000098070000}"/>
    <cellStyle name="Heading 3 2" xfId="171" xr:uid="{00000000-0005-0000-0000-000099070000}"/>
    <cellStyle name="Heading 3 2 2" xfId="1979" xr:uid="{00000000-0005-0000-0000-00009A070000}"/>
    <cellStyle name="Heading 3 2 3" xfId="1980" xr:uid="{00000000-0005-0000-0000-00009B070000}"/>
    <cellStyle name="Heading 3 2 4" xfId="1981" xr:uid="{00000000-0005-0000-0000-00009C070000}"/>
    <cellStyle name="Heading 3 2 5" xfId="1982" xr:uid="{00000000-0005-0000-0000-00009D070000}"/>
    <cellStyle name="Heading 3 2 6" xfId="1983" xr:uid="{00000000-0005-0000-0000-00009E070000}"/>
    <cellStyle name="Heading 3 3" xfId="172" xr:uid="{00000000-0005-0000-0000-00009F070000}"/>
    <cellStyle name="Heading 3 3 2" xfId="1985" xr:uid="{00000000-0005-0000-0000-0000A0070000}"/>
    <cellStyle name="Heading 3 3 3" xfId="1986" xr:uid="{00000000-0005-0000-0000-0000A1070000}"/>
    <cellStyle name="Heading 3 3 4" xfId="1987" xr:uid="{00000000-0005-0000-0000-0000A2070000}"/>
    <cellStyle name="Heading 3 3 5" xfId="1988" xr:uid="{00000000-0005-0000-0000-0000A3070000}"/>
    <cellStyle name="Heading 3 3 6" xfId="1989" xr:uid="{00000000-0005-0000-0000-0000A4070000}"/>
    <cellStyle name="Heading 3 3 7" xfId="1990" xr:uid="{00000000-0005-0000-0000-0000A5070000}"/>
    <cellStyle name="Heading 3 3 8" xfId="1984" xr:uid="{00000000-0005-0000-0000-0000A6070000}"/>
    <cellStyle name="Heading 3 4" xfId="173" xr:uid="{00000000-0005-0000-0000-0000A7070000}"/>
    <cellStyle name="Heading 3 4 2" xfId="1992" xr:uid="{00000000-0005-0000-0000-0000A8070000}"/>
    <cellStyle name="Heading 3 4 3" xfId="1993" xr:uid="{00000000-0005-0000-0000-0000A9070000}"/>
    <cellStyle name="Heading 3 4 4" xfId="1994" xr:uid="{00000000-0005-0000-0000-0000AA070000}"/>
    <cellStyle name="Heading 3 4 5" xfId="1995" xr:uid="{00000000-0005-0000-0000-0000AB070000}"/>
    <cellStyle name="Heading 3 4 6" xfId="1996" xr:uid="{00000000-0005-0000-0000-0000AC070000}"/>
    <cellStyle name="Heading 3 4 7" xfId="1997" xr:uid="{00000000-0005-0000-0000-0000AD070000}"/>
    <cellStyle name="Heading 3 4 8" xfId="1991" xr:uid="{00000000-0005-0000-0000-0000AE070000}"/>
    <cellStyle name="Heading 3 5" xfId="174" xr:uid="{00000000-0005-0000-0000-0000AF070000}"/>
    <cellStyle name="Heading 3 5 2" xfId="1998" xr:uid="{00000000-0005-0000-0000-0000B0070000}"/>
    <cellStyle name="Heading 3 5 3" xfId="1999" xr:uid="{00000000-0005-0000-0000-0000B1070000}"/>
    <cellStyle name="Heading 3 5 4" xfId="2000" xr:uid="{00000000-0005-0000-0000-0000B2070000}"/>
    <cellStyle name="Heading 3 5 5" xfId="2001" xr:uid="{00000000-0005-0000-0000-0000B3070000}"/>
    <cellStyle name="Heading 3 5 6" xfId="2002" xr:uid="{00000000-0005-0000-0000-0000B4070000}"/>
    <cellStyle name="Heading 3 6" xfId="175" xr:uid="{00000000-0005-0000-0000-0000B5070000}"/>
    <cellStyle name="Heading 3 6 2" xfId="2003" xr:uid="{00000000-0005-0000-0000-0000B6070000}"/>
    <cellStyle name="Heading 3 6 3" xfId="2004" xr:uid="{00000000-0005-0000-0000-0000B7070000}"/>
    <cellStyle name="Heading 3 6 4" xfId="2005" xr:uid="{00000000-0005-0000-0000-0000B8070000}"/>
    <cellStyle name="Heading 3 6 5" xfId="2006" xr:uid="{00000000-0005-0000-0000-0000B9070000}"/>
    <cellStyle name="Heading 3 6 6" xfId="2007" xr:uid="{00000000-0005-0000-0000-0000BA070000}"/>
    <cellStyle name="Heading 3 7" xfId="176" xr:uid="{00000000-0005-0000-0000-0000BB070000}"/>
    <cellStyle name="Heading 3 7 2" xfId="2008" xr:uid="{00000000-0005-0000-0000-0000BC070000}"/>
    <cellStyle name="Heading 3 7 3" xfId="2009" xr:uid="{00000000-0005-0000-0000-0000BD070000}"/>
    <cellStyle name="Heading 3 7 4" xfId="2010" xr:uid="{00000000-0005-0000-0000-0000BE070000}"/>
    <cellStyle name="Heading 3 7 5" xfId="2011" xr:uid="{00000000-0005-0000-0000-0000BF070000}"/>
    <cellStyle name="Heading 3 7 6" xfId="2012" xr:uid="{00000000-0005-0000-0000-0000C0070000}"/>
    <cellStyle name="Heading 3 8 2" xfId="2013" xr:uid="{00000000-0005-0000-0000-0000C1070000}"/>
    <cellStyle name="Heading 3 8 3" xfId="2014" xr:uid="{00000000-0005-0000-0000-0000C2070000}"/>
    <cellStyle name="Heading 3 8 4" xfId="2015" xr:uid="{00000000-0005-0000-0000-0000C3070000}"/>
    <cellStyle name="Heading 3 8 5" xfId="2016" xr:uid="{00000000-0005-0000-0000-0000C4070000}"/>
    <cellStyle name="Heading 3 8 6" xfId="2017" xr:uid="{00000000-0005-0000-0000-0000C5070000}"/>
    <cellStyle name="Heading 3 9 2" xfId="2018" xr:uid="{00000000-0005-0000-0000-0000C6070000}"/>
    <cellStyle name="Heading 3 9 3" xfId="2019" xr:uid="{00000000-0005-0000-0000-0000C7070000}"/>
    <cellStyle name="Heading 3 9 4" xfId="2020" xr:uid="{00000000-0005-0000-0000-0000C8070000}"/>
    <cellStyle name="Heading 3 9 5" xfId="2021" xr:uid="{00000000-0005-0000-0000-0000C9070000}"/>
    <cellStyle name="Heading 3 9 6" xfId="2022" xr:uid="{00000000-0005-0000-0000-0000CA070000}"/>
    <cellStyle name="Heading 4 10 2" xfId="2023" xr:uid="{00000000-0005-0000-0000-0000CB070000}"/>
    <cellStyle name="Heading 4 10 3" xfId="2024" xr:uid="{00000000-0005-0000-0000-0000CC070000}"/>
    <cellStyle name="Heading 4 10 4" xfId="2025" xr:uid="{00000000-0005-0000-0000-0000CD070000}"/>
    <cellStyle name="Heading 4 10 5" xfId="2026" xr:uid="{00000000-0005-0000-0000-0000CE070000}"/>
    <cellStyle name="Heading 4 10 6" xfId="2027" xr:uid="{00000000-0005-0000-0000-0000CF070000}"/>
    <cellStyle name="Heading 4 11 2" xfId="2028" xr:uid="{00000000-0005-0000-0000-0000D0070000}"/>
    <cellStyle name="Heading 4 11 3" xfId="2029" xr:uid="{00000000-0005-0000-0000-0000D1070000}"/>
    <cellStyle name="Heading 4 11 4" xfId="2030" xr:uid="{00000000-0005-0000-0000-0000D2070000}"/>
    <cellStyle name="Heading 4 11 5" xfId="2031" xr:uid="{00000000-0005-0000-0000-0000D3070000}"/>
    <cellStyle name="Heading 4 11 6" xfId="2032" xr:uid="{00000000-0005-0000-0000-0000D4070000}"/>
    <cellStyle name="Heading 4 2" xfId="177" xr:uid="{00000000-0005-0000-0000-0000D5070000}"/>
    <cellStyle name="Heading 4 2 2" xfId="2033" xr:uid="{00000000-0005-0000-0000-0000D6070000}"/>
    <cellStyle name="Heading 4 2 3" xfId="2034" xr:uid="{00000000-0005-0000-0000-0000D7070000}"/>
    <cellStyle name="Heading 4 2 4" xfId="2035" xr:uid="{00000000-0005-0000-0000-0000D8070000}"/>
    <cellStyle name="Heading 4 2 5" xfId="2036" xr:uid="{00000000-0005-0000-0000-0000D9070000}"/>
    <cellStyle name="Heading 4 2 6" xfId="2037" xr:uid="{00000000-0005-0000-0000-0000DA070000}"/>
    <cellStyle name="Heading 4 3" xfId="178" xr:uid="{00000000-0005-0000-0000-0000DB070000}"/>
    <cellStyle name="Heading 4 3 2" xfId="2039" xr:uid="{00000000-0005-0000-0000-0000DC070000}"/>
    <cellStyle name="Heading 4 3 3" xfId="2040" xr:uid="{00000000-0005-0000-0000-0000DD070000}"/>
    <cellStyle name="Heading 4 3 4" xfId="2041" xr:uid="{00000000-0005-0000-0000-0000DE070000}"/>
    <cellStyle name="Heading 4 3 5" xfId="2042" xr:uid="{00000000-0005-0000-0000-0000DF070000}"/>
    <cellStyle name="Heading 4 3 6" xfId="2043" xr:uid="{00000000-0005-0000-0000-0000E0070000}"/>
    <cellStyle name="Heading 4 3 7" xfId="2044" xr:uid="{00000000-0005-0000-0000-0000E1070000}"/>
    <cellStyle name="Heading 4 3 8" xfId="2038" xr:uid="{00000000-0005-0000-0000-0000E2070000}"/>
    <cellStyle name="Heading 4 4" xfId="179" xr:uid="{00000000-0005-0000-0000-0000E3070000}"/>
    <cellStyle name="Heading 4 4 2" xfId="2046" xr:uid="{00000000-0005-0000-0000-0000E4070000}"/>
    <cellStyle name="Heading 4 4 3" xfId="2047" xr:uid="{00000000-0005-0000-0000-0000E5070000}"/>
    <cellStyle name="Heading 4 4 4" xfId="2048" xr:uid="{00000000-0005-0000-0000-0000E6070000}"/>
    <cellStyle name="Heading 4 4 5" xfId="2049" xr:uid="{00000000-0005-0000-0000-0000E7070000}"/>
    <cellStyle name="Heading 4 4 6" xfId="2050" xr:uid="{00000000-0005-0000-0000-0000E8070000}"/>
    <cellStyle name="Heading 4 4 7" xfId="2051" xr:uid="{00000000-0005-0000-0000-0000E9070000}"/>
    <cellStyle name="Heading 4 4 8" xfId="2045" xr:uid="{00000000-0005-0000-0000-0000EA070000}"/>
    <cellStyle name="Heading 4 5" xfId="180" xr:uid="{00000000-0005-0000-0000-0000EB070000}"/>
    <cellStyle name="Heading 4 5 2" xfId="2052" xr:uid="{00000000-0005-0000-0000-0000EC070000}"/>
    <cellStyle name="Heading 4 5 3" xfId="2053" xr:uid="{00000000-0005-0000-0000-0000ED070000}"/>
    <cellStyle name="Heading 4 5 4" xfId="2054" xr:uid="{00000000-0005-0000-0000-0000EE070000}"/>
    <cellStyle name="Heading 4 5 5" xfId="2055" xr:uid="{00000000-0005-0000-0000-0000EF070000}"/>
    <cellStyle name="Heading 4 5 6" xfId="2056" xr:uid="{00000000-0005-0000-0000-0000F0070000}"/>
    <cellStyle name="Heading 4 6" xfId="181" xr:uid="{00000000-0005-0000-0000-0000F1070000}"/>
    <cellStyle name="Heading 4 6 2" xfId="2057" xr:uid="{00000000-0005-0000-0000-0000F2070000}"/>
    <cellStyle name="Heading 4 6 3" xfId="2058" xr:uid="{00000000-0005-0000-0000-0000F3070000}"/>
    <cellStyle name="Heading 4 6 4" xfId="2059" xr:uid="{00000000-0005-0000-0000-0000F4070000}"/>
    <cellStyle name="Heading 4 6 5" xfId="2060" xr:uid="{00000000-0005-0000-0000-0000F5070000}"/>
    <cellStyle name="Heading 4 6 6" xfId="2061" xr:uid="{00000000-0005-0000-0000-0000F6070000}"/>
    <cellStyle name="Heading 4 7" xfId="182" xr:uid="{00000000-0005-0000-0000-0000F7070000}"/>
    <cellStyle name="Heading 4 7 2" xfId="2062" xr:uid="{00000000-0005-0000-0000-0000F8070000}"/>
    <cellStyle name="Heading 4 7 3" xfId="2063" xr:uid="{00000000-0005-0000-0000-0000F9070000}"/>
    <cellStyle name="Heading 4 7 4" xfId="2064" xr:uid="{00000000-0005-0000-0000-0000FA070000}"/>
    <cellStyle name="Heading 4 7 5" xfId="2065" xr:uid="{00000000-0005-0000-0000-0000FB070000}"/>
    <cellStyle name="Heading 4 7 6" xfId="2066" xr:uid="{00000000-0005-0000-0000-0000FC070000}"/>
    <cellStyle name="Heading 4 8 2" xfId="2067" xr:uid="{00000000-0005-0000-0000-0000FD070000}"/>
    <cellStyle name="Heading 4 8 3" xfId="2068" xr:uid="{00000000-0005-0000-0000-0000FE070000}"/>
    <cellStyle name="Heading 4 8 4" xfId="2069" xr:uid="{00000000-0005-0000-0000-0000FF070000}"/>
    <cellStyle name="Heading 4 8 5" xfId="2070" xr:uid="{00000000-0005-0000-0000-000000080000}"/>
    <cellStyle name="Heading 4 8 6" xfId="2071" xr:uid="{00000000-0005-0000-0000-000001080000}"/>
    <cellStyle name="Heading 4 9 2" xfId="2072" xr:uid="{00000000-0005-0000-0000-000002080000}"/>
    <cellStyle name="Heading 4 9 3" xfId="2073" xr:uid="{00000000-0005-0000-0000-000003080000}"/>
    <cellStyle name="Heading 4 9 4" xfId="2074" xr:uid="{00000000-0005-0000-0000-000004080000}"/>
    <cellStyle name="Heading 4 9 5" xfId="2075" xr:uid="{00000000-0005-0000-0000-000005080000}"/>
    <cellStyle name="Heading 4 9 6" xfId="2076" xr:uid="{00000000-0005-0000-0000-000006080000}"/>
    <cellStyle name="HEADING1" xfId="183" xr:uid="{00000000-0005-0000-0000-000007080000}"/>
    <cellStyle name="HEADING2" xfId="184" xr:uid="{00000000-0005-0000-0000-000008080000}"/>
    <cellStyle name="Hyperlink" xfId="2" builtinId="8"/>
    <cellStyle name="Hyperlink 2" xfId="15" xr:uid="{00000000-0005-0000-0000-00000A080000}"/>
    <cellStyle name="Hyperlink 2 2" xfId="186" xr:uid="{00000000-0005-0000-0000-00000B080000}"/>
    <cellStyle name="Hyperlink 2 2 2" xfId="187" xr:uid="{00000000-0005-0000-0000-00000C080000}"/>
    <cellStyle name="Hyperlink 2 2 3" xfId="2077" xr:uid="{00000000-0005-0000-0000-00000D080000}"/>
    <cellStyle name="Hyperlink 2 3" xfId="2078" xr:uid="{00000000-0005-0000-0000-00000E080000}"/>
    <cellStyle name="Hyperlink 2 4" xfId="2079" xr:uid="{00000000-0005-0000-0000-00000F080000}"/>
    <cellStyle name="Hyperlink 2 5" xfId="185" xr:uid="{00000000-0005-0000-0000-000010080000}"/>
    <cellStyle name="Hyperlink 2 6" xfId="2857" xr:uid="{00000000-0005-0000-0000-000011080000}"/>
    <cellStyle name="Hyperlink 3" xfId="188" xr:uid="{00000000-0005-0000-0000-000012080000}"/>
    <cellStyle name="Hyperlink 3 2" xfId="189" xr:uid="{00000000-0005-0000-0000-000013080000}"/>
    <cellStyle name="Hyperlink 3 3" xfId="2080" xr:uid="{00000000-0005-0000-0000-000014080000}"/>
    <cellStyle name="Hyperlink 30" xfId="2081" xr:uid="{00000000-0005-0000-0000-000015080000}"/>
    <cellStyle name="In 000s (Convert to 000s)" xfId="190" xr:uid="{00000000-0005-0000-0000-000016080000}"/>
    <cellStyle name="Input 10 2" xfId="2082" xr:uid="{00000000-0005-0000-0000-000017080000}"/>
    <cellStyle name="Input 10 2 2" xfId="2652" xr:uid="{00000000-0005-0000-0000-000018080000}"/>
    <cellStyle name="Input 10 3" xfId="2083" xr:uid="{00000000-0005-0000-0000-000019080000}"/>
    <cellStyle name="Input 10 3 2" xfId="2653" xr:uid="{00000000-0005-0000-0000-00001A080000}"/>
    <cellStyle name="Input 10 4" xfId="2084" xr:uid="{00000000-0005-0000-0000-00001B080000}"/>
    <cellStyle name="Input 10 4 2" xfId="2654" xr:uid="{00000000-0005-0000-0000-00001C080000}"/>
    <cellStyle name="Input 10 5" xfId="2085" xr:uid="{00000000-0005-0000-0000-00001D080000}"/>
    <cellStyle name="Input 10 5 2" xfId="2655" xr:uid="{00000000-0005-0000-0000-00001E080000}"/>
    <cellStyle name="Input 10 6" xfId="2086" xr:uid="{00000000-0005-0000-0000-00001F080000}"/>
    <cellStyle name="Input 10 6 2" xfId="2656" xr:uid="{00000000-0005-0000-0000-000020080000}"/>
    <cellStyle name="Input 11 2" xfId="2087" xr:uid="{00000000-0005-0000-0000-000021080000}"/>
    <cellStyle name="Input 11 2 2" xfId="2657" xr:uid="{00000000-0005-0000-0000-000022080000}"/>
    <cellStyle name="Input 11 3" xfId="2088" xr:uid="{00000000-0005-0000-0000-000023080000}"/>
    <cellStyle name="Input 11 3 2" xfId="2658" xr:uid="{00000000-0005-0000-0000-000024080000}"/>
    <cellStyle name="Input 11 4" xfId="2089" xr:uid="{00000000-0005-0000-0000-000025080000}"/>
    <cellStyle name="Input 11 4 2" xfId="2659" xr:uid="{00000000-0005-0000-0000-000026080000}"/>
    <cellStyle name="Input 11 5" xfId="2090" xr:uid="{00000000-0005-0000-0000-000027080000}"/>
    <cellStyle name="Input 11 5 2" xfId="2660" xr:uid="{00000000-0005-0000-0000-000028080000}"/>
    <cellStyle name="Input 11 6" xfId="2091" xr:uid="{00000000-0005-0000-0000-000029080000}"/>
    <cellStyle name="Input 11 6 2" xfId="2661" xr:uid="{00000000-0005-0000-0000-00002A080000}"/>
    <cellStyle name="Input 2" xfId="191" xr:uid="{00000000-0005-0000-0000-00002B080000}"/>
    <cellStyle name="Input 2 2" xfId="2092" xr:uid="{00000000-0005-0000-0000-00002C080000}"/>
    <cellStyle name="Input 2 2 2" xfId="2662" xr:uid="{00000000-0005-0000-0000-00002D080000}"/>
    <cellStyle name="Input 2 3" xfId="2093" xr:uid="{00000000-0005-0000-0000-00002E080000}"/>
    <cellStyle name="Input 2 3 2" xfId="2663" xr:uid="{00000000-0005-0000-0000-00002F080000}"/>
    <cellStyle name="Input 2 4" xfId="2094" xr:uid="{00000000-0005-0000-0000-000030080000}"/>
    <cellStyle name="Input 2 4 2" xfId="2664" xr:uid="{00000000-0005-0000-0000-000031080000}"/>
    <cellStyle name="Input 2 5" xfId="2095" xr:uid="{00000000-0005-0000-0000-000032080000}"/>
    <cellStyle name="Input 2 5 2" xfId="2665" xr:uid="{00000000-0005-0000-0000-000033080000}"/>
    <cellStyle name="Input 2 6" xfId="2096" xr:uid="{00000000-0005-0000-0000-000034080000}"/>
    <cellStyle name="Input 2 6 2" xfId="2666" xr:uid="{00000000-0005-0000-0000-000035080000}"/>
    <cellStyle name="Input 2 7" xfId="2555" xr:uid="{00000000-0005-0000-0000-000036080000}"/>
    <cellStyle name="Input 3" xfId="192" xr:uid="{00000000-0005-0000-0000-000037080000}"/>
    <cellStyle name="Input 3 2" xfId="2098" xr:uid="{00000000-0005-0000-0000-000038080000}"/>
    <cellStyle name="Input 3 2 2" xfId="2668" xr:uid="{00000000-0005-0000-0000-000039080000}"/>
    <cellStyle name="Input 3 3" xfId="2099" xr:uid="{00000000-0005-0000-0000-00003A080000}"/>
    <cellStyle name="Input 3 3 2" xfId="2669" xr:uid="{00000000-0005-0000-0000-00003B080000}"/>
    <cellStyle name="Input 3 4" xfId="2100" xr:uid="{00000000-0005-0000-0000-00003C080000}"/>
    <cellStyle name="Input 3 4 2" xfId="2670" xr:uid="{00000000-0005-0000-0000-00003D080000}"/>
    <cellStyle name="Input 3 5" xfId="2101" xr:uid="{00000000-0005-0000-0000-00003E080000}"/>
    <cellStyle name="Input 3 5 2" xfId="2671" xr:uid="{00000000-0005-0000-0000-00003F080000}"/>
    <cellStyle name="Input 3 6" xfId="2102" xr:uid="{00000000-0005-0000-0000-000040080000}"/>
    <cellStyle name="Input 3 6 2" xfId="2672" xr:uid="{00000000-0005-0000-0000-000041080000}"/>
    <cellStyle name="Input 3 7" xfId="2103" xr:uid="{00000000-0005-0000-0000-000042080000}"/>
    <cellStyle name="Input 3 7 2" xfId="2673" xr:uid="{00000000-0005-0000-0000-000043080000}"/>
    <cellStyle name="Input 3 8" xfId="2097" xr:uid="{00000000-0005-0000-0000-000044080000}"/>
    <cellStyle name="Input 3 8 2" xfId="2667" xr:uid="{00000000-0005-0000-0000-000045080000}"/>
    <cellStyle name="Input 3 9" xfId="2556" xr:uid="{00000000-0005-0000-0000-000046080000}"/>
    <cellStyle name="Input 4" xfId="193" xr:uid="{00000000-0005-0000-0000-000047080000}"/>
    <cellStyle name="Input 4 2" xfId="2105" xr:uid="{00000000-0005-0000-0000-000048080000}"/>
    <cellStyle name="Input 4 2 2" xfId="2675" xr:uid="{00000000-0005-0000-0000-000049080000}"/>
    <cellStyle name="Input 4 3" xfId="2106" xr:uid="{00000000-0005-0000-0000-00004A080000}"/>
    <cellStyle name="Input 4 3 2" xfId="2676" xr:uid="{00000000-0005-0000-0000-00004B080000}"/>
    <cellStyle name="Input 4 4" xfId="2107" xr:uid="{00000000-0005-0000-0000-00004C080000}"/>
    <cellStyle name="Input 4 4 2" xfId="2677" xr:uid="{00000000-0005-0000-0000-00004D080000}"/>
    <cellStyle name="Input 4 5" xfId="2108" xr:uid="{00000000-0005-0000-0000-00004E080000}"/>
    <cellStyle name="Input 4 5 2" xfId="2678" xr:uid="{00000000-0005-0000-0000-00004F080000}"/>
    <cellStyle name="Input 4 6" xfId="2109" xr:uid="{00000000-0005-0000-0000-000050080000}"/>
    <cellStyle name="Input 4 6 2" xfId="2679" xr:uid="{00000000-0005-0000-0000-000051080000}"/>
    <cellStyle name="Input 4 7" xfId="2110" xr:uid="{00000000-0005-0000-0000-000052080000}"/>
    <cellStyle name="Input 4 7 2" xfId="2680" xr:uid="{00000000-0005-0000-0000-000053080000}"/>
    <cellStyle name="Input 4 8" xfId="2104" xr:uid="{00000000-0005-0000-0000-000054080000}"/>
    <cellStyle name="Input 4 8 2" xfId="2674" xr:uid="{00000000-0005-0000-0000-000055080000}"/>
    <cellStyle name="Input 4 9" xfId="2557" xr:uid="{00000000-0005-0000-0000-000056080000}"/>
    <cellStyle name="Input 5" xfId="194" xr:uid="{00000000-0005-0000-0000-000057080000}"/>
    <cellStyle name="Input 5 2" xfId="2111" xr:uid="{00000000-0005-0000-0000-000058080000}"/>
    <cellStyle name="Input 5 2 2" xfId="2681" xr:uid="{00000000-0005-0000-0000-000059080000}"/>
    <cellStyle name="Input 5 3" xfId="2112" xr:uid="{00000000-0005-0000-0000-00005A080000}"/>
    <cellStyle name="Input 5 3 2" xfId="2682" xr:uid="{00000000-0005-0000-0000-00005B080000}"/>
    <cellStyle name="Input 5 4" xfId="2113" xr:uid="{00000000-0005-0000-0000-00005C080000}"/>
    <cellStyle name="Input 5 4 2" xfId="2683" xr:uid="{00000000-0005-0000-0000-00005D080000}"/>
    <cellStyle name="Input 5 5" xfId="2114" xr:uid="{00000000-0005-0000-0000-00005E080000}"/>
    <cellStyle name="Input 5 5 2" xfId="2684" xr:uid="{00000000-0005-0000-0000-00005F080000}"/>
    <cellStyle name="Input 5 6" xfId="2115" xr:uid="{00000000-0005-0000-0000-000060080000}"/>
    <cellStyle name="Input 5 6 2" xfId="2685" xr:uid="{00000000-0005-0000-0000-000061080000}"/>
    <cellStyle name="Input 5 7" xfId="2558" xr:uid="{00000000-0005-0000-0000-000062080000}"/>
    <cellStyle name="Input 6" xfId="195" xr:uid="{00000000-0005-0000-0000-000063080000}"/>
    <cellStyle name="Input 6 2" xfId="2116" xr:uid="{00000000-0005-0000-0000-000064080000}"/>
    <cellStyle name="Input 6 2 2" xfId="2686" xr:uid="{00000000-0005-0000-0000-000065080000}"/>
    <cellStyle name="Input 6 3" xfId="2117" xr:uid="{00000000-0005-0000-0000-000066080000}"/>
    <cellStyle name="Input 6 3 2" xfId="2687" xr:uid="{00000000-0005-0000-0000-000067080000}"/>
    <cellStyle name="Input 6 4" xfId="2118" xr:uid="{00000000-0005-0000-0000-000068080000}"/>
    <cellStyle name="Input 6 4 2" xfId="2688" xr:uid="{00000000-0005-0000-0000-000069080000}"/>
    <cellStyle name="Input 6 5" xfId="2119" xr:uid="{00000000-0005-0000-0000-00006A080000}"/>
    <cellStyle name="Input 6 5 2" xfId="2689" xr:uid="{00000000-0005-0000-0000-00006B080000}"/>
    <cellStyle name="Input 6 6" xfId="2120" xr:uid="{00000000-0005-0000-0000-00006C080000}"/>
    <cellStyle name="Input 6 6 2" xfId="2690" xr:uid="{00000000-0005-0000-0000-00006D080000}"/>
    <cellStyle name="Input 6 7" xfId="2559" xr:uid="{00000000-0005-0000-0000-00006E080000}"/>
    <cellStyle name="Input 7" xfId="196" xr:uid="{00000000-0005-0000-0000-00006F080000}"/>
    <cellStyle name="Input 7 2" xfId="2121" xr:uid="{00000000-0005-0000-0000-000070080000}"/>
    <cellStyle name="Input 7 2 2" xfId="2691" xr:uid="{00000000-0005-0000-0000-000071080000}"/>
    <cellStyle name="Input 7 3" xfId="2122" xr:uid="{00000000-0005-0000-0000-000072080000}"/>
    <cellStyle name="Input 7 3 2" xfId="2692" xr:uid="{00000000-0005-0000-0000-000073080000}"/>
    <cellStyle name="Input 7 4" xfId="2123" xr:uid="{00000000-0005-0000-0000-000074080000}"/>
    <cellStyle name="Input 7 4 2" xfId="2693" xr:uid="{00000000-0005-0000-0000-000075080000}"/>
    <cellStyle name="Input 7 5" xfId="2124" xr:uid="{00000000-0005-0000-0000-000076080000}"/>
    <cellStyle name="Input 7 5 2" xfId="2694" xr:uid="{00000000-0005-0000-0000-000077080000}"/>
    <cellStyle name="Input 7 6" xfId="2125" xr:uid="{00000000-0005-0000-0000-000078080000}"/>
    <cellStyle name="Input 7 6 2" xfId="2695" xr:uid="{00000000-0005-0000-0000-000079080000}"/>
    <cellStyle name="Input 7 7" xfId="2560" xr:uid="{00000000-0005-0000-0000-00007A080000}"/>
    <cellStyle name="Input 8 2" xfId="2126" xr:uid="{00000000-0005-0000-0000-00007B080000}"/>
    <cellStyle name="Input 8 2 2" xfId="2696" xr:uid="{00000000-0005-0000-0000-00007C080000}"/>
    <cellStyle name="Input 8 3" xfId="2127" xr:uid="{00000000-0005-0000-0000-00007D080000}"/>
    <cellStyle name="Input 8 3 2" xfId="2697" xr:uid="{00000000-0005-0000-0000-00007E080000}"/>
    <cellStyle name="Input 8 4" xfId="2128" xr:uid="{00000000-0005-0000-0000-00007F080000}"/>
    <cellStyle name="Input 8 4 2" xfId="2698" xr:uid="{00000000-0005-0000-0000-000080080000}"/>
    <cellStyle name="Input 8 5" xfId="2129" xr:uid="{00000000-0005-0000-0000-000081080000}"/>
    <cellStyle name="Input 8 5 2" xfId="2699" xr:uid="{00000000-0005-0000-0000-000082080000}"/>
    <cellStyle name="Input 8 6" xfId="2130" xr:uid="{00000000-0005-0000-0000-000083080000}"/>
    <cellStyle name="Input 8 6 2" xfId="2700" xr:uid="{00000000-0005-0000-0000-000084080000}"/>
    <cellStyle name="Input 9 2" xfId="2131" xr:uid="{00000000-0005-0000-0000-000085080000}"/>
    <cellStyle name="Input 9 2 2" xfId="2701" xr:uid="{00000000-0005-0000-0000-000086080000}"/>
    <cellStyle name="Input 9 3" xfId="2132" xr:uid="{00000000-0005-0000-0000-000087080000}"/>
    <cellStyle name="Input 9 3 2" xfId="2702" xr:uid="{00000000-0005-0000-0000-000088080000}"/>
    <cellStyle name="Input 9 4" xfId="2133" xr:uid="{00000000-0005-0000-0000-000089080000}"/>
    <cellStyle name="Input 9 4 2" xfId="2703" xr:uid="{00000000-0005-0000-0000-00008A080000}"/>
    <cellStyle name="Input 9 5" xfId="2134" xr:uid="{00000000-0005-0000-0000-00008B080000}"/>
    <cellStyle name="Input 9 5 2" xfId="2704" xr:uid="{00000000-0005-0000-0000-00008C080000}"/>
    <cellStyle name="Input 9 6" xfId="2135" xr:uid="{00000000-0005-0000-0000-00008D080000}"/>
    <cellStyle name="Input 9 6 2" xfId="2705" xr:uid="{00000000-0005-0000-0000-00008E080000}"/>
    <cellStyle name="Linked Cell 10 2" xfId="2136" xr:uid="{00000000-0005-0000-0000-00008F080000}"/>
    <cellStyle name="Linked Cell 10 3" xfId="2137" xr:uid="{00000000-0005-0000-0000-000090080000}"/>
    <cellStyle name="Linked Cell 10 4" xfId="2138" xr:uid="{00000000-0005-0000-0000-000091080000}"/>
    <cellStyle name="Linked Cell 10 5" xfId="2139" xr:uid="{00000000-0005-0000-0000-000092080000}"/>
    <cellStyle name="Linked Cell 10 6" xfId="2140" xr:uid="{00000000-0005-0000-0000-000093080000}"/>
    <cellStyle name="Linked Cell 11 2" xfId="2141" xr:uid="{00000000-0005-0000-0000-000094080000}"/>
    <cellStyle name="Linked Cell 11 3" xfId="2142" xr:uid="{00000000-0005-0000-0000-000095080000}"/>
    <cellStyle name="Linked Cell 11 4" xfId="2143" xr:uid="{00000000-0005-0000-0000-000096080000}"/>
    <cellStyle name="Linked Cell 11 5" xfId="2144" xr:uid="{00000000-0005-0000-0000-000097080000}"/>
    <cellStyle name="Linked Cell 11 6" xfId="2145" xr:uid="{00000000-0005-0000-0000-000098080000}"/>
    <cellStyle name="Linked Cell 2" xfId="197" xr:uid="{00000000-0005-0000-0000-000099080000}"/>
    <cellStyle name="Linked Cell 2 2" xfId="2146" xr:uid="{00000000-0005-0000-0000-00009A080000}"/>
    <cellStyle name="Linked Cell 2 3" xfId="2147" xr:uid="{00000000-0005-0000-0000-00009B080000}"/>
    <cellStyle name="Linked Cell 2 4" xfId="2148" xr:uid="{00000000-0005-0000-0000-00009C080000}"/>
    <cellStyle name="Linked Cell 2 5" xfId="2149" xr:uid="{00000000-0005-0000-0000-00009D080000}"/>
    <cellStyle name="Linked Cell 2 6" xfId="2150" xr:uid="{00000000-0005-0000-0000-00009E080000}"/>
    <cellStyle name="Linked Cell 3" xfId="198" xr:uid="{00000000-0005-0000-0000-00009F080000}"/>
    <cellStyle name="Linked Cell 3 2" xfId="2152" xr:uid="{00000000-0005-0000-0000-0000A0080000}"/>
    <cellStyle name="Linked Cell 3 3" xfId="2153" xr:uid="{00000000-0005-0000-0000-0000A1080000}"/>
    <cellStyle name="Linked Cell 3 4" xfId="2154" xr:uid="{00000000-0005-0000-0000-0000A2080000}"/>
    <cellStyle name="Linked Cell 3 5" xfId="2155" xr:uid="{00000000-0005-0000-0000-0000A3080000}"/>
    <cellStyle name="Linked Cell 3 6" xfId="2156" xr:uid="{00000000-0005-0000-0000-0000A4080000}"/>
    <cellStyle name="Linked Cell 3 7" xfId="2157" xr:uid="{00000000-0005-0000-0000-0000A5080000}"/>
    <cellStyle name="Linked Cell 3 8" xfId="2151" xr:uid="{00000000-0005-0000-0000-0000A6080000}"/>
    <cellStyle name="Linked Cell 4" xfId="199" xr:uid="{00000000-0005-0000-0000-0000A7080000}"/>
    <cellStyle name="Linked Cell 4 2" xfId="2159" xr:uid="{00000000-0005-0000-0000-0000A8080000}"/>
    <cellStyle name="Linked Cell 4 3" xfId="2160" xr:uid="{00000000-0005-0000-0000-0000A9080000}"/>
    <cellStyle name="Linked Cell 4 4" xfId="2161" xr:uid="{00000000-0005-0000-0000-0000AA080000}"/>
    <cellStyle name="Linked Cell 4 5" xfId="2162" xr:uid="{00000000-0005-0000-0000-0000AB080000}"/>
    <cellStyle name="Linked Cell 4 6" xfId="2163" xr:uid="{00000000-0005-0000-0000-0000AC080000}"/>
    <cellStyle name="Linked Cell 4 7" xfId="2164" xr:uid="{00000000-0005-0000-0000-0000AD080000}"/>
    <cellStyle name="Linked Cell 4 8" xfId="2158" xr:uid="{00000000-0005-0000-0000-0000AE080000}"/>
    <cellStyle name="Linked Cell 5" xfId="200" xr:uid="{00000000-0005-0000-0000-0000AF080000}"/>
    <cellStyle name="Linked Cell 5 2" xfId="2165" xr:uid="{00000000-0005-0000-0000-0000B0080000}"/>
    <cellStyle name="Linked Cell 5 3" xfId="2166" xr:uid="{00000000-0005-0000-0000-0000B1080000}"/>
    <cellStyle name="Linked Cell 5 4" xfId="2167" xr:uid="{00000000-0005-0000-0000-0000B2080000}"/>
    <cellStyle name="Linked Cell 5 5" xfId="2168" xr:uid="{00000000-0005-0000-0000-0000B3080000}"/>
    <cellStyle name="Linked Cell 5 6" xfId="2169" xr:uid="{00000000-0005-0000-0000-0000B4080000}"/>
    <cellStyle name="Linked Cell 6" xfId="201" xr:uid="{00000000-0005-0000-0000-0000B5080000}"/>
    <cellStyle name="Linked Cell 6 2" xfId="2170" xr:uid="{00000000-0005-0000-0000-0000B6080000}"/>
    <cellStyle name="Linked Cell 6 3" xfId="2171" xr:uid="{00000000-0005-0000-0000-0000B7080000}"/>
    <cellStyle name="Linked Cell 6 4" xfId="2172" xr:uid="{00000000-0005-0000-0000-0000B8080000}"/>
    <cellStyle name="Linked Cell 6 5" xfId="2173" xr:uid="{00000000-0005-0000-0000-0000B9080000}"/>
    <cellStyle name="Linked Cell 6 6" xfId="2174" xr:uid="{00000000-0005-0000-0000-0000BA080000}"/>
    <cellStyle name="Linked Cell 7" xfId="202" xr:uid="{00000000-0005-0000-0000-0000BB080000}"/>
    <cellStyle name="Linked Cell 7 2" xfId="2175" xr:uid="{00000000-0005-0000-0000-0000BC080000}"/>
    <cellStyle name="Linked Cell 7 3" xfId="2176" xr:uid="{00000000-0005-0000-0000-0000BD080000}"/>
    <cellStyle name="Linked Cell 7 4" xfId="2177" xr:uid="{00000000-0005-0000-0000-0000BE080000}"/>
    <cellStyle name="Linked Cell 7 5" xfId="2178" xr:uid="{00000000-0005-0000-0000-0000BF080000}"/>
    <cellStyle name="Linked Cell 7 6" xfId="2179" xr:uid="{00000000-0005-0000-0000-0000C0080000}"/>
    <cellStyle name="Linked Cell 8 2" xfId="2180" xr:uid="{00000000-0005-0000-0000-0000C1080000}"/>
    <cellStyle name="Linked Cell 8 3" xfId="2181" xr:uid="{00000000-0005-0000-0000-0000C2080000}"/>
    <cellStyle name="Linked Cell 8 4" xfId="2182" xr:uid="{00000000-0005-0000-0000-0000C3080000}"/>
    <cellStyle name="Linked Cell 8 5" xfId="2183" xr:uid="{00000000-0005-0000-0000-0000C4080000}"/>
    <cellStyle name="Linked Cell 8 6" xfId="2184" xr:uid="{00000000-0005-0000-0000-0000C5080000}"/>
    <cellStyle name="Linked Cell 9 2" xfId="2185" xr:uid="{00000000-0005-0000-0000-0000C6080000}"/>
    <cellStyle name="Linked Cell 9 3" xfId="2186" xr:uid="{00000000-0005-0000-0000-0000C7080000}"/>
    <cellStyle name="Linked Cell 9 4" xfId="2187" xr:uid="{00000000-0005-0000-0000-0000C8080000}"/>
    <cellStyle name="Linked Cell 9 5" xfId="2188" xr:uid="{00000000-0005-0000-0000-0000C9080000}"/>
    <cellStyle name="Linked Cell 9 6" xfId="2189" xr:uid="{00000000-0005-0000-0000-0000CA080000}"/>
    <cellStyle name="Neutral 10 2" xfId="2190" xr:uid="{00000000-0005-0000-0000-0000CB080000}"/>
    <cellStyle name="Neutral 10 3" xfId="2191" xr:uid="{00000000-0005-0000-0000-0000CC080000}"/>
    <cellStyle name="Neutral 10 4" xfId="2192" xr:uid="{00000000-0005-0000-0000-0000CD080000}"/>
    <cellStyle name="Neutral 10 5" xfId="2193" xr:uid="{00000000-0005-0000-0000-0000CE080000}"/>
    <cellStyle name="Neutral 10 6" xfId="2194" xr:uid="{00000000-0005-0000-0000-0000CF080000}"/>
    <cellStyle name="Neutral 11 2" xfId="2195" xr:uid="{00000000-0005-0000-0000-0000D0080000}"/>
    <cellStyle name="Neutral 11 3" xfId="2196" xr:uid="{00000000-0005-0000-0000-0000D1080000}"/>
    <cellStyle name="Neutral 11 4" xfId="2197" xr:uid="{00000000-0005-0000-0000-0000D2080000}"/>
    <cellStyle name="Neutral 11 5" xfId="2198" xr:uid="{00000000-0005-0000-0000-0000D3080000}"/>
    <cellStyle name="Neutral 11 6" xfId="2199" xr:uid="{00000000-0005-0000-0000-0000D4080000}"/>
    <cellStyle name="Neutral 2" xfId="203" xr:uid="{00000000-0005-0000-0000-0000D5080000}"/>
    <cellStyle name="Neutral 2 2" xfId="2200" xr:uid="{00000000-0005-0000-0000-0000D6080000}"/>
    <cellStyle name="Neutral 2 3" xfId="2201" xr:uid="{00000000-0005-0000-0000-0000D7080000}"/>
    <cellStyle name="Neutral 2 4" xfId="2202" xr:uid="{00000000-0005-0000-0000-0000D8080000}"/>
    <cellStyle name="Neutral 2 5" xfId="2203" xr:uid="{00000000-0005-0000-0000-0000D9080000}"/>
    <cellStyle name="Neutral 2 6" xfId="2204" xr:uid="{00000000-0005-0000-0000-0000DA080000}"/>
    <cellStyle name="Neutral 3" xfId="204" xr:uid="{00000000-0005-0000-0000-0000DB080000}"/>
    <cellStyle name="Neutral 3 2" xfId="2206" xr:uid="{00000000-0005-0000-0000-0000DC080000}"/>
    <cellStyle name="Neutral 3 3" xfId="2207" xr:uid="{00000000-0005-0000-0000-0000DD080000}"/>
    <cellStyle name="Neutral 3 4" xfId="2208" xr:uid="{00000000-0005-0000-0000-0000DE080000}"/>
    <cellStyle name="Neutral 3 5" xfId="2209" xr:uid="{00000000-0005-0000-0000-0000DF080000}"/>
    <cellStyle name="Neutral 3 6" xfId="2210" xr:uid="{00000000-0005-0000-0000-0000E0080000}"/>
    <cellStyle name="Neutral 3 7" xfId="2211" xr:uid="{00000000-0005-0000-0000-0000E1080000}"/>
    <cellStyle name="Neutral 3 8" xfId="2205" xr:uid="{00000000-0005-0000-0000-0000E2080000}"/>
    <cellStyle name="Neutral 4" xfId="205" xr:uid="{00000000-0005-0000-0000-0000E3080000}"/>
    <cellStyle name="Neutral 4 2" xfId="2213" xr:uid="{00000000-0005-0000-0000-0000E4080000}"/>
    <cellStyle name="Neutral 4 3" xfId="2214" xr:uid="{00000000-0005-0000-0000-0000E5080000}"/>
    <cellStyle name="Neutral 4 4" xfId="2215" xr:uid="{00000000-0005-0000-0000-0000E6080000}"/>
    <cellStyle name="Neutral 4 5" xfId="2216" xr:uid="{00000000-0005-0000-0000-0000E7080000}"/>
    <cellStyle name="Neutral 4 6" xfId="2217" xr:uid="{00000000-0005-0000-0000-0000E8080000}"/>
    <cellStyle name="Neutral 4 7" xfId="2218" xr:uid="{00000000-0005-0000-0000-0000E9080000}"/>
    <cellStyle name="Neutral 4 8" xfId="2212" xr:uid="{00000000-0005-0000-0000-0000EA080000}"/>
    <cellStyle name="Neutral 5" xfId="206" xr:uid="{00000000-0005-0000-0000-0000EB080000}"/>
    <cellStyle name="Neutral 5 2" xfId="2219" xr:uid="{00000000-0005-0000-0000-0000EC080000}"/>
    <cellStyle name="Neutral 5 3" xfId="2220" xr:uid="{00000000-0005-0000-0000-0000ED080000}"/>
    <cellStyle name="Neutral 5 4" xfId="2221" xr:uid="{00000000-0005-0000-0000-0000EE080000}"/>
    <cellStyle name="Neutral 5 5" xfId="2222" xr:uid="{00000000-0005-0000-0000-0000EF080000}"/>
    <cellStyle name="Neutral 5 6" xfId="2223" xr:uid="{00000000-0005-0000-0000-0000F0080000}"/>
    <cellStyle name="Neutral 6" xfId="207" xr:uid="{00000000-0005-0000-0000-0000F1080000}"/>
    <cellStyle name="Neutral 6 2" xfId="2224" xr:uid="{00000000-0005-0000-0000-0000F2080000}"/>
    <cellStyle name="Neutral 6 3" xfId="2225" xr:uid="{00000000-0005-0000-0000-0000F3080000}"/>
    <cellStyle name="Neutral 6 4" xfId="2226" xr:uid="{00000000-0005-0000-0000-0000F4080000}"/>
    <cellStyle name="Neutral 6 5" xfId="2227" xr:uid="{00000000-0005-0000-0000-0000F5080000}"/>
    <cellStyle name="Neutral 6 6" xfId="2228" xr:uid="{00000000-0005-0000-0000-0000F6080000}"/>
    <cellStyle name="Neutral 7" xfId="208" xr:uid="{00000000-0005-0000-0000-0000F7080000}"/>
    <cellStyle name="Neutral 7 2" xfId="2229" xr:uid="{00000000-0005-0000-0000-0000F8080000}"/>
    <cellStyle name="Neutral 7 3" xfId="2230" xr:uid="{00000000-0005-0000-0000-0000F9080000}"/>
    <cellStyle name="Neutral 7 4" xfId="2231" xr:uid="{00000000-0005-0000-0000-0000FA080000}"/>
    <cellStyle name="Neutral 7 5" xfId="2232" xr:uid="{00000000-0005-0000-0000-0000FB080000}"/>
    <cellStyle name="Neutral 7 6" xfId="2233" xr:uid="{00000000-0005-0000-0000-0000FC080000}"/>
    <cellStyle name="Neutral 8 2" xfId="2234" xr:uid="{00000000-0005-0000-0000-0000FD080000}"/>
    <cellStyle name="Neutral 8 3" xfId="2235" xr:uid="{00000000-0005-0000-0000-0000FE080000}"/>
    <cellStyle name="Neutral 8 4" xfId="2236" xr:uid="{00000000-0005-0000-0000-0000FF080000}"/>
    <cellStyle name="Neutral 8 5" xfId="2237" xr:uid="{00000000-0005-0000-0000-000000090000}"/>
    <cellStyle name="Neutral 8 6" xfId="2238" xr:uid="{00000000-0005-0000-0000-000001090000}"/>
    <cellStyle name="Neutral 9 2" xfId="2239" xr:uid="{00000000-0005-0000-0000-000002090000}"/>
    <cellStyle name="Neutral 9 3" xfId="2240" xr:uid="{00000000-0005-0000-0000-000003090000}"/>
    <cellStyle name="Neutral 9 4" xfId="2241" xr:uid="{00000000-0005-0000-0000-000004090000}"/>
    <cellStyle name="Neutral 9 5" xfId="2242" xr:uid="{00000000-0005-0000-0000-000005090000}"/>
    <cellStyle name="Neutral 9 6" xfId="2243" xr:uid="{00000000-0005-0000-0000-000006090000}"/>
    <cellStyle name="No Border" xfId="209" xr:uid="{00000000-0005-0000-0000-000007090000}"/>
    <cellStyle name="Normal" xfId="0" builtinId="0"/>
    <cellStyle name="Normal 10 2" xfId="2244" xr:uid="{00000000-0005-0000-0000-000009090000}"/>
    <cellStyle name="Normal 11 2" xfId="2245" xr:uid="{00000000-0005-0000-0000-00000A090000}"/>
    <cellStyle name="Normal 2" xfId="3" xr:uid="{00000000-0005-0000-0000-00000B090000}"/>
    <cellStyle name="Normal 2 2" xfId="210" xr:uid="{00000000-0005-0000-0000-00000C090000}"/>
    <cellStyle name="Normal 2 2 2" xfId="2247" xr:uid="{00000000-0005-0000-0000-00000D090000}"/>
    <cellStyle name="Normal 2 2 3" xfId="2246" xr:uid="{00000000-0005-0000-0000-00000E090000}"/>
    <cellStyle name="Normal 2 3" xfId="2248" xr:uid="{00000000-0005-0000-0000-00000F090000}"/>
    <cellStyle name="Normal 2 4" xfId="2249" xr:uid="{00000000-0005-0000-0000-000010090000}"/>
    <cellStyle name="Normal 2 5" xfId="2250" xr:uid="{00000000-0005-0000-0000-000011090000}"/>
    <cellStyle name="Normal 2 6" xfId="2251" xr:uid="{00000000-0005-0000-0000-000012090000}"/>
    <cellStyle name="Normal 3" xfId="4" xr:uid="{00000000-0005-0000-0000-000013090000}"/>
    <cellStyle name="Normal 3 10" xfId="2838" xr:uid="{00000000-0005-0000-0000-000014090000}"/>
    <cellStyle name="Normal 3 11" xfId="2858" xr:uid="{00000000-0005-0000-0000-000015090000}"/>
    <cellStyle name="Normal 3 12" xfId="19" xr:uid="{00000000-0005-0000-0000-000016090000}"/>
    <cellStyle name="Normal 3 2" xfId="14" xr:uid="{00000000-0005-0000-0000-000017090000}"/>
    <cellStyle name="Normal 3 2 2" xfId="18" xr:uid="{00000000-0005-0000-0000-000018090000}"/>
    <cellStyle name="Normal 3 2 2 2" xfId="211" xr:uid="{00000000-0005-0000-0000-000019090000}"/>
    <cellStyle name="Normal 3 2 3" xfId="2524" xr:uid="{00000000-0005-0000-0000-00001A090000}"/>
    <cellStyle name="Normal 3 2 3 2" xfId="2848" xr:uid="{00000000-0005-0000-0000-00001B090000}"/>
    <cellStyle name="Normal 3 2 4" xfId="30" xr:uid="{00000000-0005-0000-0000-00001C090000}"/>
    <cellStyle name="Normal 3 2 4 2" xfId="2842" xr:uid="{00000000-0005-0000-0000-00001D090000}"/>
    <cellStyle name="Normal 3 2 5" xfId="23" xr:uid="{00000000-0005-0000-0000-00001E090000}"/>
    <cellStyle name="Normal 3 2 6" xfId="2839" xr:uid="{00000000-0005-0000-0000-00001F090000}"/>
    <cellStyle name="Normal 3 2 7" xfId="20" xr:uid="{00000000-0005-0000-0000-000020090000}"/>
    <cellStyle name="Normal 3 3" xfId="212" xr:uid="{00000000-0005-0000-0000-000021090000}"/>
    <cellStyle name="Normal 3 3 2" xfId="213" xr:uid="{00000000-0005-0000-0000-000022090000}"/>
    <cellStyle name="Normal 3 3 2 2" xfId="2525" xr:uid="{00000000-0005-0000-0000-000023090000}"/>
    <cellStyle name="Normal 3 3 3" xfId="2252" xr:uid="{00000000-0005-0000-0000-000024090000}"/>
    <cellStyle name="Normal 3 4" xfId="2253" xr:uid="{00000000-0005-0000-0000-000025090000}"/>
    <cellStyle name="Normal 3 4 2" xfId="2846" xr:uid="{00000000-0005-0000-0000-000026090000}"/>
    <cellStyle name="Normal 3 5" xfId="2531" xr:uid="{00000000-0005-0000-0000-000027090000}"/>
    <cellStyle name="Normal 3 5 2" xfId="2850" xr:uid="{00000000-0005-0000-0000-000028090000}"/>
    <cellStyle name="Normal 3 6" xfId="2534" xr:uid="{00000000-0005-0000-0000-000029090000}"/>
    <cellStyle name="Normal 3 6 2" xfId="2852" xr:uid="{00000000-0005-0000-0000-00002A090000}"/>
    <cellStyle name="Normal 3 7" xfId="25" xr:uid="{00000000-0005-0000-0000-00002B090000}"/>
    <cellStyle name="Normal 3 7 2" xfId="2841" xr:uid="{00000000-0005-0000-0000-00002C090000}"/>
    <cellStyle name="Normal 3 8" xfId="24" xr:uid="{00000000-0005-0000-0000-00002D090000}"/>
    <cellStyle name="Normal 3 8 2" xfId="2840" xr:uid="{00000000-0005-0000-0000-00002E090000}"/>
    <cellStyle name="Normal 3 9" xfId="22" xr:uid="{00000000-0005-0000-0000-00002F090000}"/>
    <cellStyle name="Normal 4" xfId="16" xr:uid="{00000000-0005-0000-0000-000030090000}"/>
    <cellStyle name="Normal 4 2" xfId="2254" xr:uid="{00000000-0005-0000-0000-000031090000}"/>
    <cellStyle name="Normal 4 2 2" xfId="2847" xr:uid="{00000000-0005-0000-0000-000032090000}"/>
    <cellStyle name="Normal 4 3" xfId="2532" xr:uid="{00000000-0005-0000-0000-000033090000}"/>
    <cellStyle name="Normal 4 3 2" xfId="2851" xr:uid="{00000000-0005-0000-0000-000034090000}"/>
    <cellStyle name="Normal 4 4" xfId="2536" xr:uid="{00000000-0005-0000-0000-000035090000}"/>
    <cellStyle name="Normal 4 4 2" xfId="2854" xr:uid="{00000000-0005-0000-0000-000036090000}"/>
    <cellStyle name="Normal 4 5" xfId="214" xr:uid="{00000000-0005-0000-0000-000037090000}"/>
    <cellStyle name="Normal 4 6" xfId="2844" xr:uid="{00000000-0005-0000-0000-000038090000}"/>
    <cellStyle name="Normal 4 7" xfId="2859" xr:uid="{00000000-0005-0000-0000-000039090000}"/>
    <cellStyle name="Normal 4 8" xfId="21" xr:uid="{00000000-0005-0000-0000-00003A090000}"/>
    <cellStyle name="Normal 5" xfId="17" xr:uid="{00000000-0005-0000-0000-00003B090000}"/>
    <cellStyle name="Normal 5 2" xfId="2255" xr:uid="{00000000-0005-0000-0000-00003C090000}"/>
    <cellStyle name="Normal 5 3" xfId="215" xr:uid="{00000000-0005-0000-0000-00003D090000}"/>
    <cellStyle name="Normal 6" xfId="2533" xr:uid="{00000000-0005-0000-0000-00003E090000}"/>
    <cellStyle name="Normal 6 2" xfId="2256" xr:uid="{00000000-0005-0000-0000-00003F090000}"/>
    <cellStyle name="Normal 7" xfId="2855" xr:uid="{00000000-0005-0000-0000-000040090000}"/>
    <cellStyle name="Normal 7 2" xfId="2257" xr:uid="{00000000-0005-0000-0000-000041090000}"/>
    <cellStyle name="Normal 8 2" xfId="2258" xr:uid="{00000000-0005-0000-0000-000042090000}"/>
    <cellStyle name="Normal 9 2" xfId="2259" xr:uid="{00000000-0005-0000-0000-000043090000}"/>
    <cellStyle name="Normal_AFRPG3" xfId="5" xr:uid="{00000000-0005-0000-0000-000044090000}"/>
    <cellStyle name="Normal_AFRPG41" xfId="6" xr:uid="{00000000-0005-0000-0000-000045090000}"/>
    <cellStyle name="Normal_AFRPG47" xfId="7" xr:uid="{00000000-0005-0000-0000-000046090000}"/>
    <cellStyle name="Normal_AFRPG56" xfId="8" xr:uid="{00000000-0005-0000-0000-000047090000}"/>
    <cellStyle name="Normal_AFRPG59" xfId="9" xr:uid="{00000000-0005-0000-0000-000048090000}"/>
    <cellStyle name="Normal_AFRPG63" xfId="10" xr:uid="{00000000-0005-0000-0000-000049090000}"/>
    <cellStyle name="Normal_AFRPG64" xfId="11" xr:uid="{00000000-0005-0000-0000-00004A090000}"/>
    <cellStyle name="Normal_COVER" xfId="12" xr:uid="{00000000-0005-0000-0000-00004B090000}"/>
    <cellStyle name="Normal_THRESHOLD CALCULATOR v3" xfId="13" xr:uid="{00000000-0005-0000-0000-00004C090000}"/>
    <cellStyle name="Note 10 2" xfId="2260" xr:uid="{00000000-0005-0000-0000-00004D090000}"/>
    <cellStyle name="Note 10 2 2" xfId="2706" xr:uid="{00000000-0005-0000-0000-00004E090000}"/>
    <cellStyle name="Note 10 3" xfId="2261" xr:uid="{00000000-0005-0000-0000-00004F090000}"/>
    <cellStyle name="Note 10 3 2" xfId="2707" xr:uid="{00000000-0005-0000-0000-000050090000}"/>
    <cellStyle name="Note 10 4" xfId="2262" xr:uid="{00000000-0005-0000-0000-000051090000}"/>
    <cellStyle name="Note 10 4 2" xfId="2708" xr:uid="{00000000-0005-0000-0000-000052090000}"/>
    <cellStyle name="Note 10 5" xfId="2263" xr:uid="{00000000-0005-0000-0000-000053090000}"/>
    <cellStyle name="Note 10 5 2" xfId="2709" xr:uid="{00000000-0005-0000-0000-000054090000}"/>
    <cellStyle name="Note 10 6" xfId="2264" xr:uid="{00000000-0005-0000-0000-000055090000}"/>
    <cellStyle name="Note 10 6 2" xfId="2710" xr:uid="{00000000-0005-0000-0000-000056090000}"/>
    <cellStyle name="Note 11 2" xfId="2265" xr:uid="{00000000-0005-0000-0000-000057090000}"/>
    <cellStyle name="Note 11 2 2" xfId="2711" xr:uid="{00000000-0005-0000-0000-000058090000}"/>
    <cellStyle name="Note 11 3" xfId="2266" xr:uid="{00000000-0005-0000-0000-000059090000}"/>
    <cellStyle name="Note 11 3 2" xfId="2712" xr:uid="{00000000-0005-0000-0000-00005A090000}"/>
    <cellStyle name="Note 11 4" xfId="2267" xr:uid="{00000000-0005-0000-0000-00005B090000}"/>
    <cellStyle name="Note 11 4 2" xfId="2713" xr:uid="{00000000-0005-0000-0000-00005C090000}"/>
    <cellStyle name="Note 11 5" xfId="2268" xr:uid="{00000000-0005-0000-0000-00005D090000}"/>
    <cellStyle name="Note 11 5 2" xfId="2714" xr:uid="{00000000-0005-0000-0000-00005E090000}"/>
    <cellStyle name="Note 11 6" xfId="2269" xr:uid="{00000000-0005-0000-0000-00005F090000}"/>
    <cellStyle name="Note 11 6 2" xfId="2715" xr:uid="{00000000-0005-0000-0000-000060090000}"/>
    <cellStyle name="Note 2" xfId="216" xr:uid="{00000000-0005-0000-0000-000061090000}"/>
    <cellStyle name="Note 2 2" xfId="2270" xr:uid="{00000000-0005-0000-0000-000062090000}"/>
    <cellStyle name="Note 2 2 2" xfId="2716" xr:uid="{00000000-0005-0000-0000-000063090000}"/>
    <cellStyle name="Note 2 3" xfId="2271" xr:uid="{00000000-0005-0000-0000-000064090000}"/>
    <cellStyle name="Note 2 3 2" xfId="2717" xr:uid="{00000000-0005-0000-0000-000065090000}"/>
    <cellStyle name="Note 2 4" xfId="2272" xr:uid="{00000000-0005-0000-0000-000066090000}"/>
    <cellStyle name="Note 2 4 2" xfId="2718" xr:uid="{00000000-0005-0000-0000-000067090000}"/>
    <cellStyle name="Note 2 5" xfId="2273" xr:uid="{00000000-0005-0000-0000-000068090000}"/>
    <cellStyle name="Note 2 5 2" xfId="2719" xr:uid="{00000000-0005-0000-0000-000069090000}"/>
    <cellStyle name="Note 2 6" xfId="2274" xr:uid="{00000000-0005-0000-0000-00006A090000}"/>
    <cellStyle name="Note 2 6 2" xfId="2720" xr:uid="{00000000-0005-0000-0000-00006B090000}"/>
    <cellStyle name="Note 2 7" xfId="2561" xr:uid="{00000000-0005-0000-0000-00006C090000}"/>
    <cellStyle name="Note 3" xfId="217" xr:uid="{00000000-0005-0000-0000-00006D090000}"/>
    <cellStyle name="Note 3 2" xfId="2276" xr:uid="{00000000-0005-0000-0000-00006E090000}"/>
    <cellStyle name="Note 3 2 2" xfId="2722" xr:uid="{00000000-0005-0000-0000-00006F090000}"/>
    <cellStyle name="Note 3 3" xfId="2277" xr:uid="{00000000-0005-0000-0000-000070090000}"/>
    <cellStyle name="Note 3 3 2" xfId="2723" xr:uid="{00000000-0005-0000-0000-000071090000}"/>
    <cellStyle name="Note 3 4" xfId="2278" xr:uid="{00000000-0005-0000-0000-000072090000}"/>
    <cellStyle name="Note 3 4 2" xfId="2724" xr:uid="{00000000-0005-0000-0000-000073090000}"/>
    <cellStyle name="Note 3 5" xfId="2279" xr:uid="{00000000-0005-0000-0000-000074090000}"/>
    <cellStyle name="Note 3 5 2" xfId="2725" xr:uid="{00000000-0005-0000-0000-000075090000}"/>
    <cellStyle name="Note 3 6" xfId="2280" xr:uid="{00000000-0005-0000-0000-000076090000}"/>
    <cellStyle name="Note 3 6 2" xfId="2726" xr:uid="{00000000-0005-0000-0000-000077090000}"/>
    <cellStyle name="Note 3 7" xfId="2281" xr:uid="{00000000-0005-0000-0000-000078090000}"/>
    <cellStyle name="Note 3 7 2" xfId="2727" xr:uid="{00000000-0005-0000-0000-000079090000}"/>
    <cellStyle name="Note 3 8" xfId="2275" xr:uid="{00000000-0005-0000-0000-00007A090000}"/>
    <cellStyle name="Note 3 8 2" xfId="2721" xr:uid="{00000000-0005-0000-0000-00007B090000}"/>
    <cellStyle name="Note 3 9" xfId="2562" xr:uid="{00000000-0005-0000-0000-00007C090000}"/>
    <cellStyle name="Note 4" xfId="218" xr:uid="{00000000-0005-0000-0000-00007D090000}"/>
    <cellStyle name="Note 4 2" xfId="2283" xr:uid="{00000000-0005-0000-0000-00007E090000}"/>
    <cellStyle name="Note 4 2 2" xfId="2729" xr:uid="{00000000-0005-0000-0000-00007F090000}"/>
    <cellStyle name="Note 4 3" xfId="2284" xr:uid="{00000000-0005-0000-0000-000080090000}"/>
    <cellStyle name="Note 4 3 2" xfId="2730" xr:uid="{00000000-0005-0000-0000-000081090000}"/>
    <cellStyle name="Note 4 4" xfId="2285" xr:uid="{00000000-0005-0000-0000-000082090000}"/>
    <cellStyle name="Note 4 4 2" xfId="2731" xr:uid="{00000000-0005-0000-0000-000083090000}"/>
    <cellStyle name="Note 4 5" xfId="2286" xr:uid="{00000000-0005-0000-0000-000084090000}"/>
    <cellStyle name="Note 4 5 2" xfId="2732" xr:uid="{00000000-0005-0000-0000-000085090000}"/>
    <cellStyle name="Note 4 6" xfId="2287" xr:uid="{00000000-0005-0000-0000-000086090000}"/>
    <cellStyle name="Note 4 6 2" xfId="2733" xr:uid="{00000000-0005-0000-0000-000087090000}"/>
    <cellStyle name="Note 4 7" xfId="2288" xr:uid="{00000000-0005-0000-0000-000088090000}"/>
    <cellStyle name="Note 4 7 2" xfId="2734" xr:uid="{00000000-0005-0000-0000-000089090000}"/>
    <cellStyle name="Note 4 8" xfId="2282" xr:uid="{00000000-0005-0000-0000-00008A090000}"/>
    <cellStyle name="Note 4 8 2" xfId="2728" xr:uid="{00000000-0005-0000-0000-00008B090000}"/>
    <cellStyle name="Note 4 9" xfId="2563" xr:uid="{00000000-0005-0000-0000-00008C090000}"/>
    <cellStyle name="Note 5" xfId="219" xr:uid="{00000000-0005-0000-0000-00008D090000}"/>
    <cellStyle name="Note 5 2" xfId="2289" xr:uid="{00000000-0005-0000-0000-00008E090000}"/>
    <cellStyle name="Note 5 2 2" xfId="2735" xr:uid="{00000000-0005-0000-0000-00008F090000}"/>
    <cellStyle name="Note 5 3" xfId="2290" xr:uid="{00000000-0005-0000-0000-000090090000}"/>
    <cellStyle name="Note 5 3 2" xfId="2736" xr:uid="{00000000-0005-0000-0000-000091090000}"/>
    <cellStyle name="Note 5 4" xfId="2291" xr:uid="{00000000-0005-0000-0000-000092090000}"/>
    <cellStyle name="Note 5 4 2" xfId="2737" xr:uid="{00000000-0005-0000-0000-000093090000}"/>
    <cellStyle name="Note 5 5" xfId="2292" xr:uid="{00000000-0005-0000-0000-000094090000}"/>
    <cellStyle name="Note 5 5 2" xfId="2738" xr:uid="{00000000-0005-0000-0000-000095090000}"/>
    <cellStyle name="Note 5 6" xfId="2293" xr:uid="{00000000-0005-0000-0000-000096090000}"/>
    <cellStyle name="Note 5 6 2" xfId="2739" xr:uid="{00000000-0005-0000-0000-000097090000}"/>
    <cellStyle name="Note 5 7" xfId="2564" xr:uid="{00000000-0005-0000-0000-000098090000}"/>
    <cellStyle name="Note 6" xfId="220" xr:uid="{00000000-0005-0000-0000-000099090000}"/>
    <cellStyle name="Note 6 2" xfId="2294" xr:uid="{00000000-0005-0000-0000-00009A090000}"/>
    <cellStyle name="Note 6 2 2" xfId="2740" xr:uid="{00000000-0005-0000-0000-00009B090000}"/>
    <cellStyle name="Note 6 3" xfId="2295" xr:uid="{00000000-0005-0000-0000-00009C090000}"/>
    <cellStyle name="Note 6 3 2" xfId="2741" xr:uid="{00000000-0005-0000-0000-00009D090000}"/>
    <cellStyle name="Note 6 4" xfId="2296" xr:uid="{00000000-0005-0000-0000-00009E090000}"/>
    <cellStyle name="Note 6 4 2" xfId="2742" xr:uid="{00000000-0005-0000-0000-00009F090000}"/>
    <cellStyle name="Note 6 5" xfId="2297" xr:uid="{00000000-0005-0000-0000-0000A0090000}"/>
    <cellStyle name="Note 6 5 2" xfId="2743" xr:uid="{00000000-0005-0000-0000-0000A1090000}"/>
    <cellStyle name="Note 6 6" xfId="2298" xr:uid="{00000000-0005-0000-0000-0000A2090000}"/>
    <cellStyle name="Note 6 6 2" xfId="2744" xr:uid="{00000000-0005-0000-0000-0000A3090000}"/>
    <cellStyle name="Note 6 7" xfId="2565" xr:uid="{00000000-0005-0000-0000-0000A4090000}"/>
    <cellStyle name="Note 7" xfId="221" xr:uid="{00000000-0005-0000-0000-0000A5090000}"/>
    <cellStyle name="Note 7 2" xfId="2299" xr:uid="{00000000-0005-0000-0000-0000A6090000}"/>
    <cellStyle name="Note 7 2 2" xfId="2745" xr:uid="{00000000-0005-0000-0000-0000A7090000}"/>
    <cellStyle name="Note 7 3" xfId="2300" xr:uid="{00000000-0005-0000-0000-0000A8090000}"/>
    <cellStyle name="Note 7 3 2" xfId="2746" xr:uid="{00000000-0005-0000-0000-0000A9090000}"/>
    <cellStyle name="Note 7 4" xfId="2301" xr:uid="{00000000-0005-0000-0000-0000AA090000}"/>
    <cellStyle name="Note 7 4 2" xfId="2747" xr:uid="{00000000-0005-0000-0000-0000AB090000}"/>
    <cellStyle name="Note 7 5" xfId="2302" xr:uid="{00000000-0005-0000-0000-0000AC090000}"/>
    <cellStyle name="Note 7 5 2" xfId="2748" xr:uid="{00000000-0005-0000-0000-0000AD090000}"/>
    <cellStyle name="Note 7 6" xfId="2303" xr:uid="{00000000-0005-0000-0000-0000AE090000}"/>
    <cellStyle name="Note 7 6 2" xfId="2749" xr:uid="{00000000-0005-0000-0000-0000AF090000}"/>
    <cellStyle name="Note 7 7" xfId="2566" xr:uid="{00000000-0005-0000-0000-0000B0090000}"/>
    <cellStyle name="Note 8 2" xfId="2304" xr:uid="{00000000-0005-0000-0000-0000B1090000}"/>
    <cellStyle name="Note 8 2 2" xfId="2750" xr:uid="{00000000-0005-0000-0000-0000B2090000}"/>
    <cellStyle name="Note 8 3" xfId="2305" xr:uid="{00000000-0005-0000-0000-0000B3090000}"/>
    <cellStyle name="Note 8 3 2" xfId="2751" xr:uid="{00000000-0005-0000-0000-0000B4090000}"/>
    <cellStyle name="Note 8 4" xfId="2306" xr:uid="{00000000-0005-0000-0000-0000B5090000}"/>
    <cellStyle name="Note 8 4 2" xfId="2752" xr:uid="{00000000-0005-0000-0000-0000B6090000}"/>
    <cellStyle name="Note 8 5" xfId="2307" xr:uid="{00000000-0005-0000-0000-0000B7090000}"/>
    <cellStyle name="Note 8 5 2" xfId="2753" xr:uid="{00000000-0005-0000-0000-0000B8090000}"/>
    <cellStyle name="Note 8 6" xfId="2308" xr:uid="{00000000-0005-0000-0000-0000B9090000}"/>
    <cellStyle name="Note 8 6 2" xfId="2754" xr:uid="{00000000-0005-0000-0000-0000BA090000}"/>
    <cellStyle name="Note 9 2" xfId="2309" xr:uid="{00000000-0005-0000-0000-0000BB090000}"/>
    <cellStyle name="Note 9 2 2" xfId="2755" xr:uid="{00000000-0005-0000-0000-0000BC090000}"/>
    <cellStyle name="Note 9 3" xfId="2310" xr:uid="{00000000-0005-0000-0000-0000BD090000}"/>
    <cellStyle name="Note 9 3 2" xfId="2756" xr:uid="{00000000-0005-0000-0000-0000BE090000}"/>
    <cellStyle name="Note 9 4" xfId="2311" xr:uid="{00000000-0005-0000-0000-0000BF090000}"/>
    <cellStyle name="Note 9 4 2" xfId="2757" xr:uid="{00000000-0005-0000-0000-0000C0090000}"/>
    <cellStyle name="Note 9 5" xfId="2312" xr:uid="{00000000-0005-0000-0000-0000C1090000}"/>
    <cellStyle name="Note 9 5 2" xfId="2758" xr:uid="{00000000-0005-0000-0000-0000C2090000}"/>
    <cellStyle name="Note 9 6" xfId="2313" xr:uid="{00000000-0005-0000-0000-0000C3090000}"/>
    <cellStyle name="Note 9 6 2" xfId="2759" xr:uid="{00000000-0005-0000-0000-0000C4090000}"/>
    <cellStyle name="Number" xfId="222" xr:uid="{00000000-0005-0000-0000-0000C5090000}"/>
    <cellStyle name="Output 10 2" xfId="2314" xr:uid="{00000000-0005-0000-0000-0000C6090000}"/>
    <cellStyle name="Output 10 2 2" xfId="2547" xr:uid="{00000000-0005-0000-0000-0000C7090000}"/>
    <cellStyle name="Output 10 3" xfId="2315" xr:uid="{00000000-0005-0000-0000-0000C8090000}"/>
    <cellStyle name="Output 10 3 2" xfId="2596" xr:uid="{00000000-0005-0000-0000-0000C9090000}"/>
    <cellStyle name="Output 10 4" xfId="2316" xr:uid="{00000000-0005-0000-0000-0000CA090000}"/>
    <cellStyle name="Output 10 4 2" xfId="2597" xr:uid="{00000000-0005-0000-0000-0000CB090000}"/>
    <cellStyle name="Output 10 5" xfId="2317" xr:uid="{00000000-0005-0000-0000-0000CC090000}"/>
    <cellStyle name="Output 10 5 2" xfId="2548" xr:uid="{00000000-0005-0000-0000-0000CD090000}"/>
    <cellStyle name="Output 10 6" xfId="2318" xr:uid="{00000000-0005-0000-0000-0000CE090000}"/>
    <cellStyle name="Output 10 6 2" xfId="2546" xr:uid="{00000000-0005-0000-0000-0000CF090000}"/>
    <cellStyle name="Output 11 2" xfId="2319" xr:uid="{00000000-0005-0000-0000-0000D0090000}"/>
    <cellStyle name="Output 11 2 2" xfId="2545" xr:uid="{00000000-0005-0000-0000-0000D1090000}"/>
    <cellStyle name="Output 11 3" xfId="2320" xr:uid="{00000000-0005-0000-0000-0000D2090000}"/>
    <cellStyle name="Output 11 3 2" xfId="2544" xr:uid="{00000000-0005-0000-0000-0000D3090000}"/>
    <cellStyle name="Output 11 4" xfId="2321" xr:uid="{00000000-0005-0000-0000-0000D4090000}"/>
    <cellStyle name="Output 11 4 2" xfId="2543" xr:uid="{00000000-0005-0000-0000-0000D5090000}"/>
    <cellStyle name="Output 11 5" xfId="2322" xr:uid="{00000000-0005-0000-0000-0000D6090000}"/>
    <cellStyle name="Output 11 5 2" xfId="2542" xr:uid="{00000000-0005-0000-0000-0000D7090000}"/>
    <cellStyle name="Output 11 6" xfId="2323" xr:uid="{00000000-0005-0000-0000-0000D8090000}"/>
    <cellStyle name="Output 11 6 2" xfId="2595" xr:uid="{00000000-0005-0000-0000-0000D9090000}"/>
    <cellStyle name="Output 2" xfId="223" xr:uid="{00000000-0005-0000-0000-0000DA090000}"/>
    <cellStyle name="Output 2 2" xfId="2324" xr:uid="{00000000-0005-0000-0000-0000DB090000}"/>
    <cellStyle name="Output 2 2 2" xfId="2594" xr:uid="{00000000-0005-0000-0000-0000DC090000}"/>
    <cellStyle name="Output 2 3" xfId="2325" xr:uid="{00000000-0005-0000-0000-0000DD090000}"/>
    <cellStyle name="Output 2 3 2" xfId="2593" xr:uid="{00000000-0005-0000-0000-0000DE090000}"/>
    <cellStyle name="Output 2 4" xfId="2326" xr:uid="{00000000-0005-0000-0000-0000DF090000}"/>
    <cellStyle name="Output 2 4 2" xfId="2592" xr:uid="{00000000-0005-0000-0000-0000E0090000}"/>
    <cellStyle name="Output 2 5" xfId="2327" xr:uid="{00000000-0005-0000-0000-0000E1090000}"/>
    <cellStyle name="Output 2 5 2" xfId="2591" xr:uid="{00000000-0005-0000-0000-0000E2090000}"/>
    <cellStyle name="Output 2 6" xfId="2328" xr:uid="{00000000-0005-0000-0000-0000E3090000}"/>
    <cellStyle name="Output 2 6 2" xfId="2590" xr:uid="{00000000-0005-0000-0000-0000E4090000}"/>
    <cellStyle name="Output 2 7" xfId="2772" xr:uid="{00000000-0005-0000-0000-0000E5090000}"/>
    <cellStyle name="Output 3" xfId="224" xr:uid="{00000000-0005-0000-0000-0000E6090000}"/>
    <cellStyle name="Output 3 2" xfId="2330" xr:uid="{00000000-0005-0000-0000-0000E7090000}"/>
    <cellStyle name="Output 3 2 2" xfId="2588" xr:uid="{00000000-0005-0000-0000-0000E8090000}"/>
    <cellStyle name="Output 3 3" xfId="2331" xr:uid="{00000000-0005-0000-0000-0000E9090000}"/>
    <cellStyle name="Output 3 3 2" xfId="2587" xr:uid="{00000000-0005-0000-0000-0000EA090000}"/>
    <cellStyle name="Output 3 4" xfId="2332" xr:uid="{00000000-0005-0000-0000-0000EB090000}"/>
    <cellStyle name="Output 3 4 2" xfId="2541" xr:uid="{00000000-0005-0000-0000-0000EC090000}"/>
    <cellStyle name="Output 3 5" xfId="2333" xr:uid="{00000000-0005-0000-0000-0000ED090000}"/>
    <cellStyle name="Output 3 5 2" xfId="2586" xr:uid="{00000000-0005-0000-0000-0000EE090000}"/>
    <cellStyle name="Output 3 6" xfId="2334" xr:uid="{00000000-0005-0000-0000-0000EF090000}"/>
    <cellStyle name="Output 3 6 2" xfId="2585" xr:uid="{00000000-0005-0000-0000-0000F0090000}"/>
    <cellStyle name="Output 3 7" xfId="2335" xr:uid="{00000000-0005-0000-0000-0000F1090000}"/>
    <cellStyle name="Output 3 7 2" xfId="2584" xr:uid="{00000000-0005-0000-0000-0000F2090000}"/>
    <cellStyle name="Output 3 8" xfId="2329" xr:uid="{00000000-0005-0000-0000-0000F3090000}"/>
    <cellStyle name="Output 3 8 2" xfId="2589" xr:uid="{00000000-0005-0000-0000-0000F4090000}"/>
    <cellStyle name="Output 3 9" xfId="2771" xr:uid="{00000000-0005-0000-0000-0000F5090000}"/>
    <cellStyle name="Output 4" xfId="225" xr:uid="{00000000-0005-0000-0000-0000F6090000}"/>
    <cellStyle name="Output 4 2" xfId="2337" xr:uid="{00000000-0005-0000-0000-0000F7090000}"/>
    <cellStyle name="Output 4 2 2" xfId="2582" xr:uid="{00000000-0005-0000-0000-0000F8090000}"/>
    <cellStyle name="Output 4 3" xfId="2338" xr:uid="{00000000-0005-0000-0000-0000F9090000}"/>
    <cellStyle name="Output 4 3 2" xfId="2581" xr:uid="{00000000-0005-0000-0000-0000FA090000}"/>
    <cellStyle name="Output 4 4" xfId="2339" xr:uid="{00000000-0005-0000-0000-0000FB090000}"/>
    <cellStyle name="Output 4 4 2" xfId="2580" xr:uid="{00000000-0005-0000-0000-0000FC090000}"/>
    <cellStyle name="Output 4 5" xfId="2340" xr:uid="{00000000-0005-0000-0000-0000FD090000}"/>
    <cellStyle name="Output 4 5 2" xfId="2579" xr:uid="{00000000-0005-0000-0000-0000FE090000}"/>
    <cellStyle name="Output 4 6" xfId="2341" xr:uid="{00000000-0005-0000-0000-0000FF090000}"/>
    <cellStyle name="Output 4 6 2" xfId="2578" xr:uid="{00000000-0005-0000-0000-0000000A0000}"/>
    <cellStyle name="Output 4 7" xfId="2342" xr:uid="{00000000-0005-0000-0000-0000010A0000}"/>
    <cellStyle name="Output 4 7 2" xfId="2577" xr:uid="{00000000-0005-0000-0000-0000020A0000}"/>
    <cellStyle name="Output 4 8" xfId="2336" xr:uid="{00000000-0005-0000-0000-0000030A0000}"/>
    <cellStyle name="Output 4 8 2" xfId="2583" xr:uid="{00000000-0005-0000-0000-0000040A0000}"/>
    <cellStyle name="Output 4 9" xfId="2770" xr:uid="{00000000-0005-0000-0000-0000050A0000}"/>
    <cellStyle name="Output 5" xfId="226" xr:uid="{00000000-0005-0000-0000-0000060A0000}"/>
    <cellStyle name="Output 5 2" xfId="2343" xr:uid="{00000000-0005-0000-0000-0000070A0000}"/>
    <cellStyle name="Output 5 2 2" xfId="2540" xr:uid="{00000000-0005-0000-0000-0000080A0000}"/>
    <cellStyle name="Output 5 3" xfId="2344" xr:uid="{00000000-0005-0000-0000-0000090A0000}"/>
    <cellStyle name="Output 5 3 2" xfId="2576" xr:uid="{00000000-0005-0000-0000-00000A0A0000}"/>
    <cellStyle name="Output 5 4" xfId="2345" xr:uid="{00000000-0005-0000-0000-00000B0A0000}"/>
    <cellStyle name="Output 5 4 2" xfId="2575" xr:uid="{00000000-0005-0000-0000-00000C0A0000}"/>
    <cellStyle name="Output 5 5" xfId="2346" xr:uid="{00000000-0005-0000-0000-00000D0A0000}"/>
    <cellStyle name="Output 5 5 2" xfId="2574" xr:uid="{00000000-0005-0000-0000-00000E0A0000}"/>
    <cellStyle name="Output 5 6" xfId="2347" xr:uid="{00000000-0005-0000-0000-00000F0A0000}"/>
    <cellStyle name="Output 5 6 2" xfId="2573" xr:uid="{00000000-0005-0000-0000-0000100A0000}"/>
    <cellStyle name="Output 5 7" xfId="2769" xr:uid="{00000000-0005-0000-0000-0000110A0000}"/>
    <cellStyle name="Output 6" xfId="227" xr:uid="{00000000-0005-0000-0000-0000120A0000}"/>
    <cellStyle name="Output 6 2" xfId="2348" xr:uid="{00000000-0005-0000-0000-0000130A0000}"/>
    <cellStyle name="Output 6 2 2" xfId="2572" xr:uid="{00000000-0005-0000-0000-0000140A0000}"/>
    <cellStyle name="Output 6 3" xfId="2349" xr:uid="{00000000-0005-0000-0000-0000150A0000}"/>
    <cellStyle name="Output 6 3 2" xfId="2571" xr:uid="{00000000-0005-0000-0000-0000160A0000}"/>
    <cellStyle name="Output 6 4" xfId="2350" xr:uid="{00000000-0005-0000-0000-0000170A0000}"/>
    <cellStyle name="Output 6 4 2" xfId="2570" xr:uid="{00000000-0005-0000-0000-0000180A0000}"/>
    <cellStyle name="Output 6 5" xfId="2351" xr:uid="{00000000-0005-0000-0000-0000190A0000}"/>
    <cellStyle name="Output 6 5 2" xfId="2569" xr:uid="{00000000-0005-0000-0000-00001A0A0000}"/>
    <cellStyle name="Output 6 6" xfId="2352" xr:uid="{00000000-0005-0000-0000-00001B0A0000}"/>
    <cellStyle name="Output 6 6 2" xfId="2568" xr:uid="{00000000-0005-0000-0000-00001C0A0000}"/>
    <cellStyle name="Output 6 7" xfId="2768" xr:uid="{00000000-0005-0000-0000-00001D0A0000}"/>
    <cellStyle name="Output 7" xfId="228" xr:uid="{00000000-0005-0000-0000-00001E0A0000}"/>
    <cellStyle name="Output 7 2" xfId="2353" xr:uid="{00000000-0005-0000-0000-00001F0A0000}"/>
    <cellStyle name="Output 7 2 2" xfId="2567" xr:uid="{00000000-0005-0000-0000-0000200A0000}"/>
    <cellStyle name="Output 7 3" xfId="2354" xr:uid="{00000000-0005-0000-0000-0000210A0000}"/>
    <cellStyle name="Output 7 3 2" xfId="2537" xr:uid="{00000000-0005-0000-0000-0000220A0000}"/>
    <cellStyle name="Output 7 4" xfId="2355" xr:uid="{00000000-0005-0000-0000-0000230A0000}"/>
    <cellStyle name="Output 7 4 2" xfId="2539" xr:uid="{00000000-0005-0000-0000-0000240A0000}"/>
    <cellStyle name="Output 7 5" xfId="2356" xr:uid="{00000000-0005-0000-0000-0000250A0000}"/>
    <cellStyle name="Output 7 5 2" xfId="2538" xr:uid="{00000000-0005-0000-0000-0000260A0000}"/>
    <cellStyle name="Output 7 6" xfId="2357" xr:uid="{00000000-0005-0000-0000-0000270A0000}"/>
    <cellStyle name="Output 7 6 2" xfId="2773" xr:uid="{00000000-0005-0000-0000-0000280A0000}"/>
    <cellStyle name="Output 7 7" xfId="2767" xr:uid="{00000000-0005-0000-0000-0000290A0000}"/>
    <cellStyle name="Output 8 2" xfId="2358" xr:uid="{00000000-0005-0000-0000-00002A0A0000}"/>
    <cellStyle name="Output 8 2 2" xfId="2774" xr:uid="{00000000-0005-0000-0000-00002B0A0000}"/>
    <cellStyle name="Output 8 3" xfId="2359" xr:uid="{00000000-0005-0000-0000-00002C0A0000}"/>
    <cellStyle name="Output 8 3 2" xfId="2775" xr:uid="{00000000-0005-0000-0000-00002D0A0000}"/>
    <cellStyle name="Output 8 4" xfId="2360" xr:uid="{00000000-0005-0000-0000-00002E0A0000}"/>
    <cellStyle name="Output 8 4 2" xfId="2776" xr:uid="{00000000-0005-0000-0000-00002F0A0000}"/>
    <cellStyle name="Output 8 5" xfId="2361" xr:uid="{00000000-0005-0000-0000-0000300A0000}"/>
    <cellStyle name="Output 8 5 2" xfId="2777" xr:uid="{00000000-0005-0000-0000-0000310A0000}"/>
    <cellStyle name="Output 8 6" xfId="2362" xr:uid="{00000000-0005-0000-0000-0000320A0000}"/>
    <cellStyle name="Output 8 6 2" xfId="2778" xr:uid="{00000000-0005-0000-0000-0000330A0000}"/>
    <cellStyle name="Output 9 2" xfId="2363" xr:uid="{00000000-0005-0000-0000-0000340A0000}"/>
    <cellStyle name="Output 9 2 2" xfId="2779" xr:uid="{00000000-0005-0000-0000-0000350A0000}"/>
    <cellStyle name="Output 9 3" xfId="2364" xr:uid="{00000000-0005-0000-0000-0000360A0000}"/>
    <cellStyle name="Output 9 3 2" xfId="2780" xr:uid="{00000000-0005-0000-0000-0000370A0000}"/>
    <cellStyle name="Output 9 4" xfId="2365" xr:uid="{00000000-0005-0000-0000-0000380A0000}"/>
    <cellStyle name="Output 9 4 2" xfId="2781" xr:uid="{00000000-0005-0000-0000-0000390A0000}"/>
    <cellStyle name="Output 9 5" xfId="2366" xr:uid="{00000000-0005-0000-0000-00003A0A0000}"/>
    <cellStyle name="Output 9 5 2" xfId="2782" xr:uid="{00000000-0005-0000-0000-00003B0A0000}"/>
    <cellStyle name="Output 9 6" xfId="2367" xr:uid="{00000000-0005-0000-0000-00003C0A0000}"/>
    <cellStyle name="Output 9 6 2" xfId="2783" xr:uid="{00000000-0005-0000-0000-00003D0A0000}"/>
    <cellStyle name="Rounding" xfId="229" xr:uid="{00000000-0005-0000-0000-00003E0A0000}"/>
    <cellStyle name="Sheet Title" xfId="230" xr:uid="{00000000-0005-0000-0000-00003F0A0000}"/>
    <cellStyle name="Single Border" xfId="231" xr:uid="{00000000-0005-0000-0000-0000400A0000}"/>
    <cellStyle name="Single Underline" xfId="232" xr:uid="{00000000-0005-0000-0000-0000410A0000}"/>
    <cellStyle name="STYLE1" xfId="233" xr:uid="{00000000-0005-0000-0000-0000420A0000}"/>
    <cellStyle name="STYLE2" xfId="234" xr:uid="{00000000-0005-0000-0000-0000430A0000}"/>
    <cellStyle name="Title 10 2" xfId="2368" xr:uid="{00000000-0005-0000-0000-0000440A0000}"/>
    <cellStyle name="Title 10 3" xfId="2369" xr:uid="{00000000-0005-0000-0000-0000450A0000}"/>
    <cellStyle name="Title 10 4" xfId="2370" xr:uid="{00000000-0005-0000-0000-0000460A0000}"/>
    <cellStyle name="Title 10 5" xfId="2371" xr:uid="{00000000-0005-0000-0000-0000470A0000}"/>
    <cellStyle name="Title 10 6" xfId="2372" xr:uid="{00000000-0005-0000-0000-0000480A0000}"/>
    <cellStyle name="Title 11 2" xfId="2373" xr:uid="{00000000-0005-0000-0000-0000490A0000}"/>
    <cellStyle name="Title 11 3" xfId="2374" xr:uid="{00000000-0005-0000-0000-00004A0A0000}"/>
    <cellStyle name="Title 11 4" xfId="2375" xr:uid="{00000000-0005-0000-0000-00004B0A0000}"/>
    <cellStyle name="Title 11 5" xfId="2376" xr:uid="{00000000-0005-0000-0000-00004C0A0000}"/>
    <cellStyle name="Title 11 6" xfId="2377" xr:uid="{00000000-0005-0000-0000-00004D0A0000}"/>
    <cellStyle name="Title 2" xfId="2378" xr:uid="{00000000-0005-0000-0000-00004E0A0000}"/>
    <cellStyle name="Title 2 2" xfId="2379" xr:uid="{00000000-0005-0000-0000-00004F0A0000}"/>
    <cellStyle name="Title 2 3" xfId="2380" xr:uid="{00000000-0005-0000-0000-0000500A0000}"/>
    <cellStyle name="Title 2 4" xfId="2381" xr:uid="{00000000-0005-0000-0000-0000510A0000}"/>
    <cellStyle name="Title 2 5" xfId="2382" xr:uid="{00000000-0005-0000-0000-0000520A0000}"/>
    <cellStyle name="Title 2 6" xfId="2383" xr:uid="{00000000-0005-0000-0000-0000530A0000}"/>
    <cellStyle name="Title 3" xfId="2384" xr:uid="{00000000-0005-0000-0000-0000540A0000}"/>
    <cellStyle name="Title 3 2" xfId="2385" xr:uid="{00000000-0005-0000-0000-0000550A0000}"/>
    <cellStyle name="Title 3 3" xfId="2386" xr:uid="{00000000-0005-0000-0000-0000560A0000}"/>
    <cellStyle name="Title 3 4" xfId="2387" xr:uid="{00000000-0005-0000-0000-0000570A0000}"/>
    <cellStyle name="Title 3 5" xfId="2388" xr:uid="{00000000-0005-0000-0000-0000580A0000}"/>
    <cellStyle name="Title 3 6" xfId="2389" xr:uid="{00000000-0005-0000-0000-0000590A0000}"/>
    <cellStyle name="Title 4 2" xfId="2390" xr:uid="{00000000-0005-0000-0000-00005A0A0000}"/>
    <cellStyle name="Title 4 3" xfId="2391" xr:uid="{00000000-0005-0000-0000-00005B0A0000}"/>
    <cellStyle name="Title 4 4" xfId="2392" xr:uid="{00000000-0005-0000-0000-00005C0A0000}"/>
    <cellStyle name="Title 4 5" xfId="2393" xr:uid="{00000000-0005-0000-0000-00005D0A0000}"/>
    <cellStyle name="Title 4 6" xfId="2394" xr:uid="{00000000-0005-0000-0000-00005E0A0000}"/>
    <cellStyle name="Title 5 2" xfId="2395" xr:uid="{00000000-0005-0000-0000-00005F0A0000}"/>
    <cellStyle name="Title 5 3" xfId="2396" xr:uid="{00000000-0005-0000-0000-0000600A0000}"/>
    <cellStyle name="Title 5 4" xfId="2397" xr:uid="{00000000-0005-0000-0000-0000610A0000}"/>
    <cellStyle name="Title 5 5" xfId="2398" xr:uid="{00000000-0005-0000-0000-0000620A0000}"/>
    <cellStyle name="Title 5 6" xfId="2399" xr:uid="{00000000-0005-0000-0000-0000630A0000}"/>
    <cellStyle name="Title 6 2" xfId="2400" xr:uid="{00000000-0005-0000-0000-0000640A0000}"/>
    <cellStyle name="Title 6 3" xfId="2401" xr:uid="{00000000-0005-0000-0000-0000650A0000}"/>
    <cellStyle name="Title 6 4" xfId="2402" xr:uid="{00000000-0005-0000-0000-0000660A0000}"/>
    <cellStyle name="Title 6 5" xfId="2403" xr:uid="{00000000-0005-0000-0000-0000670A0000}"/>
    <cellStyle name="Title 6 6" xfId="2404" xr:uid="{00000000-0005-0000-0000-0000680A0000}"/>
    <cellStyle name="Title 7 2" xfId="2405" xr:uid="{00000000-0005-0000-0000-0000690A0000}"/>
    <cellStyle name="Title 7 3" xfId="2406" xr:uid="{00000000-0005-0000-0000-00006A0A0000}"/>
    <cellStyle name="Title 7 4" xfId="2407" xr:uid="{00000000-0005-0000-0000-00006B0A0000}"/>
    <cellStyle name="Title 7 5" xfId="2408" xr:uid="{00000000-0005-0000-0000-00006C0A0000}"/>
    <cellStyle name="Title 7 6" xfId="2409" xr:uid="{00000000-0005-0000-0000-00006D0A0000}"/>
    <cellStyle name="Title 8 2" xfId="2410" xr:uid="{00000000-0005-0000-0000-00006E0A0000}"/>
    <cellStyle name="Title 8 3" xfId="2411" xr:uid="{00000000-0005-0000-0000-00006F0A0000}"/>
    <cellStyle name="Title 8 4" xfId="2412" xr:uid="{00000000-0005-0000-0000-0000700A0000}"/>
    <cellStyle name="Title 8 5" xfId="2413" xr:uid="{00000000-0005-0000-0000-0000710A0000}"/>
    <cellStyle name="Title 8 6" xfId="2414" xr:uid="{00000000-0005-0000-0000-0000720A0000}"/>
    <cellStyle name="Title 9 2" xfId="2415" xr:uid="{00000000-0005-0000-0000-0000730A0000}"/>
    <cellStyle name="Title 9 3" xfId="2416" xr:uid="{00000000-0005-0000-0000-0000740A0000}"/>
    <cellStyle name="Title 9 4" xfId="2417" xr:uid="{00000000-0005-0000-0000-0000750A0000}"/>
    <cellStyle name="Title 9 5" xfId="2418" xr:uid="{00000000-0005-0000-0000-0000760A0000}"/>
    <cellStyle name="Title 9 6" xfId="2419" xr:uid="{00000000-0005-0000-0000-0000770A0000}"/>
    <cellStyle name="Top Bold Border" xfId="235" xr:uid="{00000000-0005-0000-0000-0000780A0000}"/>
    <cellStyle name="Top Double Border" xfId="236" xr:uid="{00000000-0005-0000-0000-0000790A0000}"/>
    <cellStyle name="Top Single Border" xfId="237" xr:uid="{00000000-0005-0000-0000-00007A0A0000}"/>
    <cellStyle name="Top Single Border 2" xfId="2766" xr:uid="{00000000-0005-0000-0000-00007B0A0000}"/>
    <cellStyle name="Total 10 2" xfId="2420" xr:uid="{00000000-0005-0000-0000-00007C0A0000}"/>
    <cellStyle name="Total 10 2 2" xfId="2784" xr:uid="{00000000-0005-0000-0000-00007D0A0000}"/>
    <cellStyle name="Total 10 3" xfId="2421" xr:uid="{00000000-0005-0000-0000-00007E0A0000}"/>
    <cellStyle name="Total 10 3 2" xfId="2785" xr:uid="{00000000-0005-0000-0000-00007F0A0000}"/>
    <cellStyle name="Total 10 4" xfId="2422" xr:uid="{00000000-0005-0000-0000-0000800A0000}"/>
    <cellStyle name="Total 10 4 2" xfId="2786" xr:uid="{00000000-0005-0000-0000-0000810A0000}"/>
    <cellStyle name="Total 10 5" xfId="2423" xr:uid="{00000000-0005-0000-0000-0000820A0000}"/>
    <cellStyle name="Total 10 5 2" xfId="2787" xr:uid="{00000000-0005-0000-0000-0000830A0000}"/>
    <cellStyle name="Total 10 6" xfId="2424" xr:uid="{00000000-0005-0000-0000-0000840A0000}"/>
    <cellStyle name="Total 10 6 2" xfId="2788" xr:uid="{00000000-0005-0000-0000-0000850A0000}"/>
    <cellStyle name="Total 11 2" xfId="2425" xr:uid="{00000000-0005-0000-0000-0000860A0000}"/>
    <cellStyle name="Total 11 2 2" xfId="2789" xr:uid="{00000000-0005-0000-0000-0000870A0000}"/>
    <cellStyle name="Total 11 3" xfId="2426" xr:uid="{00000000-0005-0000-0000-0000880A0000}"/>
    <cellStyle name="Total 11 3 2" xfId="2790" xr:uid="{00000000-0005-0000-0000-0000890A0000}"/>
    <cellStyle name="Total 11 4" xfId="2427" xr:uid="{00000000-0005-0000-0000-00008A0A0000}"/>
    <cellStyle name="Total 11 4 2" xfId="2791" xr:uid="{00000000-0005-0000-0000-00008B0A0000}"/>
    <cellStyle name="Total 11 5" xfId="2428" xr:uid="{00000000-0005-0000-0000-00008C0A0000}"/>
    <cellStyle name="Total 11 5 2" xfId="2792" xr:uid="{00000000-0005-0000-0000-00008D0A0000}"/>
    <cellStyle name="Total 11 6" xfId="2429" xr:uid="{00000000-0005-0000-0000-00008E0A0000}"/>
    <cellStyle name="Total 11 6 2" xfId="2793" xr:uid="{00000000-0005-0000-0000-00008F0A0000}"/>
    <cellStyle name="Total 2" xfId="238" xr:uid="{00000000-0005-0000-0000-0000900A0000}"/>
    <cellStyle name="Total 2 2" xfId="2430" xr:uid="{00000000-0005-0000-0000-0000910A0000}"/>
    <cellStyle name="Total 2 2 2" xfId="2794" xr:uid="{00000000-0005-0000-0000-0000920A0000}"/>
    <cellStyle name="Total 2 3" xfId="2431" xr:uid="{00000000-0005-0000-0000-0000930A0000}"/>
    <cellStyle name="Total 2 3 2" xfId="2795" xr:uid="{00000000-0005-0000-0000-0000940A0000}"/>
    <cellStyle name="Total 2 4" xfId="2432" xr:uid="{00000000-0005-0000-0000-0000950A0000}"/>
    <cellStyle name="Total 2 4 2" xfId="2796" xr:uid="{00000000-0005-0000-0000-0000960A0000}"/>
    <cellStyle name="Total 2 5" xfId="2433" xr:uid="{00000000-0005-0000-0000-0000970A0000}"/>
    <cellStyle name="Total 2 5 2" xfId="2797" xr:uid="{00000000-0005-0000-0000-0000980A0000}"/>
    <cellStyle name="Total 2 6" xfId="2434" xr:uid="{00000000-0005-0000-0000-0000990A0000}"/>
    <cellStyle name="Total 2 6 2" xfId="2798" xr:uid="{00000000-0005-0000-0000-00009A0A0000}"/>
    <cellStyle name="Total 2 7" xfId="2765" xr:uid="{00000000-0005-0000-0000-00009B0A0000}"/>
    <cellStyle name="Total 3" xfId="239" xr:uid="{00000000-0005-0000-0000-00009C0A0000}"/>
    <cellStyle name="Total 3 2" xfId="2436" xr:uid="{00000000-0005-0000-0000-00009D0A0000}"/>
    <cellStyle name="Total 3 2 2" xfId="2800" xr:uid="{00000000-0005-0000-0000-00009E0A0000}"/>
    <cellStyle name="Total 3 3" xfId="2437" xr:uid="{00000000-0005-0000-0000-00009F0A0000}"/>
    <cellStyle name="Total 3 3 2" xfId="2801" xr:uid="{00000000-0005-0000-0000-0000A00A0000}"/>
    <cellStyle name="Total 3 4" xfId="2438" xr:uid="{00000000-0005-0000-0000-0000A10A0000}"/>
    <cellStyle name="Total 3 4 2" xfId="2802" xr:uid="{00000000-0005-0000-0000-0000A20A0000}"/>
    <cellStyle name="Total 3 5" xfId="2439" xr:uid="{00000000-0005-0000-0000-0000A30A0000}"/>
    <cellStyle name="Total 3 5 2" xfId="2803" xr:uid="{00000000-0005-0000-0000-0000A40A0000}"/>
    <cellStyle name="Total 3 6" xfId="2440" xr:uid="{00000000-0005-0000-0000-0000A50A0000}"/>
    <cellStyle name="Total 3 6 2" xfId="2804" xr:uid="{00000000-0005-0000-0000-0000A60A0000}"/>
    <cellStyle name="Total 3 7" xfId="2441" xr:uid="{00000000-0005-0000-0000-0000A70A0000}"/>
    <cellStyle name="Total 3 7 2" xfId="2805" xr:uid="{00000000-0005-0000-0000-0000A80A0000}"/>
    <cellStyle name="Total 3 8" xfId="2435" xr:uid="{00000000-0005-0000-0000-0000A90A0000}"/>
    <cellStyle name="Total 3 8 2" xfId="2799" xr:uid="{00000000-0005-0000-0000-0000AA0A0000}"/>
    <cellStyle name="Total 3 9" xfId="2764" xr:uid="{00000000-0005-0000-0000-0000AB0A0000}"/>
    <cellStyle name="Total 4" xfId="240" xr:uid="{00000000-0005-0000-0000-0000AC0A0000}"/>
    <cellStyle name="Total 4 2" xfId="2443" xr:uid="{00000000-0005-0000-0000-0000AD0A0000}"/>
    <cellStyle name="Total 4 2 2" xfId="2807" xr:uid="{00000000-0005-0000-0000-0000AE0A0000}"/>
    <cellStyle name="Total 4 3" xfId="2444" xr:uid="{00000000-0005-0000-0000-0000AF0A0000}"/>
    <cellStyle name="Total 4 3 2" xfId="2808" xr:uid="{00000000-0005-0000-0000-0000B00A0000}"/>
    <cellStyle name="Total 4 4" xfId="2445" xr:uid="{00000000-0005-0000-0000-0000B10A0000}"/>
    <cellStyle name="Total 4 4 2" xfId="2809" xr:uid="{00000000-0005-0000-0000-0000B20A0000}"/>
    <cellStyle name="Total 4 5" xfId="2446" xr:uid="{00000000-0005-0000-0000-0000B30A0000}"/>
    <cellStyle name="Total 4 5 2" xfId="2810" xr:uid="{00000000-0005-0000-0000-0000B40A0000}"/>
    <cellStyle name="Total 4 6" xfId="2447" xr:uid="{00000000-0005-0000-0000-0000B50A0000}"/>
    <cellStyle name="Total 4 6 2" xfId="2811" xr:uid="{00000000-0005-0000-0000-0000B60A0000}"/>
    <cellStyle name="Total 4 7" xfId="2448" xr:uid="{00000000-0005-0000-0000-0000B70A0000}"/>
    <cellStyle name="Total 4 7 2" xfId="2812" xr:uid="{00000000-0005-0000-0000-0000B80A0000}"/>
    <cellStyle name="Total 4 8" xfId="2442" xr:uid="{00000000-0005-0000-0000-0000B90A0000}"/>
    <cellStyle name="Total 4 8 2" xfId="2806" xr:uid="{00000000-0005-0000-0000-0000BA0A0000}"/>
    <cellStyle name="Total 4 9" xfId="2763" xr:uid="{00000000-0005-0000-0000-0000BB0A0000}"/>
    <cellStyle name="Total 5" xfId="241" xr:uid="{00000000-0005-0000-0000-0000BC0A0000}"/>
    <cellStyle name="Total 5 2" xfId="2449" xr:uid="{00000000-0005-0000-0000-0000BD0A0000}"/>
    <cellStyle name="Total 5 2 2" xfId="2813" xr:uid="{00000000-0005-0000-0000-0000BE0A0000}"/>
    <cellStyle name="Total 5 3" xfId="2450" xr:uid="{00000000-0005-0000-0000-0000BF0A0000}"/>
    <cellStyle name="Total 5 3 2" xfId="2814" xr:uid="{00000000-0005-0000-0000-0000C00A0000}"/>
    <cellStyle name="Total 5 4" xfId="2451" xr:uid="{00000000-0005-0000-0000-0000C10A0000}"/>
    <cellStyle name="Total 5 4 2" xfId="2815" xr:uid="{00000000-0005-0000-0000-0000C20A0000}"/>
    <cellStyle name="Total 5 5" xfId="2452" xr:uid="{00000000-0005-0000-0000-0000C30A0000}"/>
    <cellStyle name="Total 5 5 2" xfId="2816" xr:uid="{00000000-0005-0000-0000-0000C40A0000}"/>
    <cellStyle name="Total 5 6" xfId="2453" xr:uid="{00000000-0005-0000-0000-0000C50A0000}"/>
    <cellStyle name="Total 5 6 2" xfId="2817" xr:uid="{00000000-0005-0000-0000-0000C60A0000}"/>
    <cellStyle name="Total 5 7" xfId="2762" xr:uid="{00000000-0005-0000-0000-0000C70A0000}"/>
    <cellStyle name="Total 6" xfId="242" xr:uid="{00000000-0005-0000-0000-0000C80A0000}"/>
    <cellStyle name="Total 6 2" xfId="2454" xr:uid="{00000000-0005-0000-0000-0000C90A0000}"/>
    <cellStyle name="Total 6 2 2" xfId="2818" xr:uid="{00000000-0005-0000-0000-0000CA0A0000}"/>
    <cellStyle name="Total 6 3" xfId="2455" xr:uid="{00000000-0005-0000-0000-0000CB0A0000}"/>
    <cellStyle name="Total 6 3 2" xfId="2819" xr:uid="{00000000-0005-0000-0000-0000CC0A0000}"/>
    <cellStyle name="Total 6 4" xfId="2456" xr:uid="{00000000-0005-0000-0000-0000CD0A0000}"/>
    <cellStyle name="Total 6 4 2" xfId="2820" xr:uid="{00000000-0005-0000-0000-0000CE0A0000}"/>
    <cellStyle name="Total 6 5" xfId="2457" xr:uid="{00000000-0005-0000-0000-0000CF0A0000}"/>
    <cellStyle name="Total 6 5 2" xfId="2821" xr:uid="{00000000-0005-0000-0000-0000D00A0000}"/>
    <cellStyle name="Total 6 6" xfId="2458" xr:uid="{00000000-0005-0000-0000-0000D10A0000}"/>
    <cellStyle name="Total 6 6 2" xfId="2822" xr:uid="{00000000-0005-0000-0000-0000D20A0000}"/>
    <cellStyle name="Total 6 7" xfId="2761" xr:uid="{00000000-0005-0000-0000-0000D30A0000}"/>
    <cellStyle name="Total 7" xfId="243" xr:uid="{00000000-0005-0000-0000-0000D40A0000}"/>
    <cellStyle name="Total 7 2" xfId="2459" xr:uid="{00000000-0005-0000-0000-0000D50A0000}"/>
    <cellStyle name="Total 7 2 2" xfId="2823" xr:uid="{00000000-0005-0000-0000-0000D60A0000}"/>
    <cellStyle name="Total 7 3" xfId="2460" xr:uid="{00000000-0005-0000-0000-0000D70A0000}"/>
    <cellStyle name="Total 7 3 2" xfId="2824" xr:uid="{00000000-0005-0000-0000-0000D80A0000}"/>
    <cellStyle name="Total 7 4" xfId="2461" xr:uid="{00000000-0005-0000-0000-0000D90A0000}"/>
    <cellStyle name="Total 7 4 2" xfId="2825" xr:uid="{00000000-0005-0000-0000-0000DA0A0000}"/>
    <cellStyle name="Total 7 5" xfId="2462" xr:uid="{00000000-0005-0000-0000-0000DB0A0000}"/>
    <cellStyle name="Total 7 5 2" xfId="2826" xr:uid="{00000000-0005-0000-0000-0000DC0A0000}"/>
    <cellStyle name="Total 7 6" xfId="2463" xr:uid="{00000000-0005-0000-0000-0000DD0A0000}"/>
    <cellStyle name="Total 7 6 2" xfId="2827" xr:uid="{00000000-0005-0000-0000-0000DE0A0000}"/>
    <cellStyle name="Total 7 7" xfId="2760" xr:uid="{00000000-0005-0000-0000-0000DF0A0000}"/>
    <cellStyle name="Total 8 2" xfId="2464" xr:uid="{00000000-0005-0000-0000-0000E00A0000}"/>
    <cellStyle name="Total 8 2 2" xfId="2828" xr:uid="{00000000-0005-0000-0000-0000E10A0000}"/>
    <cellStyle name="Total 8 3" xfId="2465" xr:uid="{00000000-0005-0000-0000-0000E20A0000}"/>
    <cellStyle name="Total 8 3 2" xfId="2829" xr:uid="{00000000-0005-0000-0000-0000E30A0000}"/>
    <cellStyle name="Total 8 4" xfId="2466" xr:uid="{00000000-0005-0000-0000-0000E40A0000}"/>
    <cellStyle name="Total 8 4 2" xfId="2830" xr:uid="{00000000-0005-0000-0000-0000E50A0000}"/>
    <cellStyle name="Total 8 5" xfId="2467" xr:uid="{00000000-0005-0000-0000-0000E60A0000}"/>
    <cellStyle name="Total 8 5 2" xfId="2831" xr:uid="{00000000-0005-0000-0000-0000E70A0000}"/>
    <cellStyle name="Total 8 6" xfId="2468" xr:uid="{00000000-0005-0000-0000-0000E80A0000}"/>
    <cellStyle name="Total 8 6 2" xfId="2832" xr:uid="{00000000-0005-0000-0000-0000E90A0000}"/>
    <cellStyle name="Total 9 2" xfId="2469" xr:uid="{00000000-0005-0000-0000-0000EA0A0000}"/>
    <cellStyle name="Total 9 2 2" xfId="2833" xr:uid="{00000000-0005-0000-0000-0000EB0A0000}"/>
    <cellStyle name="Total 9 3" xfId="2470" xr:uid="{00000000-0005-0000-0000-0000EC0A0000}"/>
    <cellStyle name="Total 9 3 2" xfId="2834" xr:uid="{00000000-0005-0000-0000-0000ED0A0000}"/>
    <cellStyle name="Total 9 4" xfId="2471" xr:uid="{00000000-0005-0000-0000-0000EE0A0000}"/>
    <cellStyle name="Total 9 4 2" xfId="2835" xr:uid="{00000000-0005-0000-0000-0000EF0A0000}"/>
    <cellStyle name="Total 9 5" xfId="2472" xr:uid="{00000000-0005-0000-0000-0000F00A0000}"/>
    <cellStyle name="Total 9 5 2" xfId="2836" xr:uid="{00000000-0005-0000-0000-0000F10A0000}"/>
    <cellStyle name="Total 9 6" xfId="2473" xr:uid="{00000000-0005-0000-0000-0000F20A0000}"/>
    <cellStyle name="Total 9 6 2" xfId="2837" xr:uid="{00000000-0005-0000-0000-0000F30A0000}"/>
    <cellStyle name="Warning Text 10 2" xfId="2474" xr:uid="{00000000-0005-0000-0000-0000F40A0000}"/>
    <cellStyle name="Warning Text 10 3" xfId="2475" xr:uid="{00000000-0005-0000-0000-0000F50A0000}"/>
    <cellStyle name="Warning Text 10 4" xfId="2476" xr:uid="{00000000-0005-0000-0000-0000F60A0000}"/>
    <cellStyle name="Warning Text 10 5" xfId="2477" xr:uid="{00000000-0005-0000-0000-0000F70A0000}"/>
    <cellStyle name="Warning Text 10 6" xfId="2478" xr:uid="{00000000-0005-0000-0000-0000F80A0000}"/>
    <cellStyle name="Warning Text 11 2" xfId="2479" xr:uid="{00000000-0005-0000-0000-0000F90A0000}"/>
    <cellStyle name="Warning Text 11 3" xfId="2480" xr:uid="{00000000-0005-0000-0000-0000FA0A0000}"/>
    <cellStyle name="Warning Text 11 4" xfId="2481" xr:uid="{00000000-0005-0000-0000-0000FB0A0000}"/>
    <cellStyle name="Warning Text 11 5" xfId="2482" xr:uid="{00000000-0005-0000-0000-0000FC0A0000}"/>
    <cellStyle name="Warning Text 11 6" xfId="2483" xr:uid="{00000000-0005-0000-0000-0000FD0A0000}"/>
    <cellStyle name="Warning Text 2" xfId="244" xr:uid="{00000000-0005-0000-0000-0000FE0A0000}"/>
    <cellStyle name="Warning Text 2 2" xfId="2484" xr:uid="{00000000-0005-0000-0000-0000FF0A0000}"/>
    <cellStyle name="Warning Text 2 3" xfId="2485" xr:uid="{00000000-0005-0000-0000-0000000B0000}"/>
    <cellStyle name="Warning Text 2 4" xfId="2486" xr:uid="{00000000-0005-0000-0000-0000010B0000}"/>
    <cellStyle name="Warning Text 2 5" xfId="2487" xr:uid="{00000000-0005-0000-0000-0000020B0000}"/>
    <cellStyle name="Warning Text 2 6" xfId="2488" xr:uid="{00000000-0005-0000-0000-0000030B0000}"/>
    <cellStyle name="Warning Text 3" xfId="245" xr:uid="{00000000-0005-0000-0000-0000040B0000}"/>
    <cellStyle name="Warning Text 3 2" xfId="2489" xr:uid="{00000000-0005-0000-0000-0000050B0000}"/>
    <cellStyle name="Warning Text 3 3" xfId="2490" xr:uid="{00000000-0005-0000-0000-0000060B0000}"/>
    <cellStyle name="Warning Text 3 4" xfId="2491" xr:uid="{00000000-0005-0000-0000-0000070B0000}"/>
    <cellStyle name="Warning Text 3 5" xfId="2492" xr:uid="{00000000-0005-0000-0000-0000080B0000}"/>
    <cellStyle name="Warning Text 3 6" xfId="2493" xr:uid="{00000000-0005-0000-0000-0000090B0000}"/>
    <cellStyle name="Warning Text 4" xfId="246" xr:uid="{00000000-0005-0000-0000-00000A0B0000}"/>
    <cellStyle name="Warning Text 4 2" xfId="2494" xr:uid="{00000000-0005-0000-0000-00000B0B0000}"/>
    <cellStyle name="Warning Text 4 3" xfId="2495" xr:uid="{00000000-0005-0000-0000-00000C0B0000}"/>
    <cellStyle name="Warning Text 4 4" xfId="2496" xr:uid="{00000000-0005-0000-0000-00000D0B0000}"/>
    <cellStyle name="Warning Text 4 5" xfId="2497" xr:uid="{00000000-0005-0000-0000-00000E0B0000}"/>
    <cellStyle name="Warning Text 4 6" xfId="2498" xr:uid="{00000000-0005-0000-0000-00000F0B0000}"/>
    <cellStyle name="Warning Text 5" xfId="247" xr:uid="{00000000-0005-0000-0000-0000100B0000}"/>
    <cellStyle name="Warning Text 5 2" xfId="2499" xr:uid="{00000000-0005-0000-0000-0000110B0000}"/>
    <cellStyle name="Warning Text 5 3" xfId="2500" xr:uid="{00000000-0005-0000-0000-0000120B0000}"/>
    <cellStyle name="Warning Text 5 4" xfId="2501" xr:uid="{00000000-0005-0000-0000-0000130B0000}"/>
    <cellStyle name="Warning Text 5 5" xfId="2502" xr:uid="{00000000-0005-0000-0000-0000140B0000}"/>
    <cellStyle name="Warning Text 5 6" xfId="2503" xr:uid="{00000000-0005-0000-0000-0000150B0000}"/>
    <cellStyle name="Warning Text 6" xfId="248" xr:uid="{00000000-0005-0000-0000-0000160B0000}"/>
    <cellStyle name="Warning Text 6 2" xfId="2504" xr:uid="{00000000-0005-0000-0000-0000170B0000}"/>
    <cellStyle name="Warning Text 6 3" xfId="2505" xr:uid="{00000000-0005-0000-0000-0000180B0000}"/>
    <cellStyle name="Warning Text 6 4" xfId="2506" xr:uid="{00000000-0005-0000-0000-0000190B0000}"/>
    <cellStyle name="Warning Text 6 5" xfId="2507" xr:uid="{00000000-0005-0000-0000-00001A0B0000}"/>
    <cellStyle name="Warning Text 6 6" xfId="2508" xr:uid="{00000000-0005-0000-0000-00001B0B0000}"/>
    <cellStyle name="Warning Text 7" xfId="249" xr:uid="{00000000-0005-0000-0000-00001C0B0000}"/>
    <cellStyle name="Warning Text 7 2" xfId="2509" xr:uid="{00000000-0005-0000-0000-00001D0B0000}"/>
    <cellStyle name="Warning Text 7 3" xfId="2510" xr:uid="{00000000-0005-0000-0000-00001E0B0000}"/>
    <cellStyle name="Warning Text 7 4" xfId="2511" xr:uid="{00000000-0005-0000-0000-00001F0B0000}"/>
    <cellStyle name="Warning Text 7 5" xfId="2512" xr:uid="{00000000-0005-0000-0000-0000200B0000}"/>
    <cellStyle name="Warning Text 7 6" xfId="2513" xr:uid="{00000000-0005-0000-0000-0000210B0000}"/>
    <cellStyle name="Warning Text 8 2" xfId="2514" xr:uid="{00000000-0005-0000-0000-0000220B0000}"/>
    <cellStyle name="Warning Text 8 3" xfId="2515" xr:uid="{00000000-0005-0000-0000-0000230B0000}"/>
    <cellStyle name="Warning Text 8 4" xfId="2516" xr:uid="{00000000-0005-0000-0000-0000240B0000}"/>
    <cellStyle name="Warning Text 8 5" xfId="2517" xr:uid="{00000000-0005-0000-0000-0000250B0000}"/>
    <cellStyle name="Warning Text 8 6" xfId="2518" xr:uid="{00000000-0005-0000-0000-0000260B0000}"/>
    <cellStyle name="Warning Text 9 2" xfId="2519" xr:uid="{00000000-0005-0000-0000-0000270B0000}"/>
    <cellStyle name="Warning Text 9 3" xfId="2520" xr:uid="{00000000-0005-0000-0000-0000280B0000}"/>
    <cellStyle name="Warning Text 9 4" xfId="2521" xr:uid="{00000000-0005-0000-0000-0000290B0000}"/>
    <cellStyle name="Warning Text 9 5" xfId="2522" xr:uid="{00000000-0005-0000-0000-00002A0B0000}"/>
    <cellStyle name="Warning Text 9 6" xfId="2523"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43" sqref="A4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2075</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x14ac:dyDescent="0.2">
      <c r="A13" s="2041">
        <v>5016207017</v>
      </c>
      <c r="B13" s="2042"/>
      <c r="C13" s="2042"/>
      <c r="D13" s="2042"/>
      <c r="E13" s="2042"/>
      <c r="F13" s="2042"/>
      <c r="G13" s="2042"/>
      <c r="H13" s="2043"/>
      <c r="I13" s="31"/>
      <c r="J13" s="30"/>
      <c r="K13" s="28"/>
      <c r="L13" s="30"/>
      <c r="M13" s="30"/>
      <c r="N13" s="30"/>
      <c r="O13" s="30"/>
      <c r="P13" s="30"/>
      <c r="Q13" s="30"/>
      <c r="R13" s="30"/>
      <c r="S13" s="30"/>
      <c r="T13" s="2046" t="s">
        <v>2090</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2076</v>
      </c>
      <c r="B15" s="2044"/>
      <c r="C15" s="2044"/>
      <c r="D15" s="2044"/>
      <c r="E15" s="2044"/>
      <c r="F15" s="2044"/>
      <c r="G15" s="2044"/>
      <c r="H15" s="2045"/>
      <c r="T15" s="2050" t="s">
        <v>2091</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2077</v>
      </c>
      <c r="B17" s="2001"/>
      <c r="C17" s="2001"/>
      <c r="D17" s="2001"/>
      <c r="E17" s="2001"/>
      <c r="F17" s="2001"/>
      <c r="G17" s="2001"/>
      <c r="H17" s="2026"/>
      <c r="T17" s="2057" t="s">
        <v>2092</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2078</v>
      </c>
      <c r="B19" s="1986"/>
      <c r="C19" s="1986"/>
      <c r="D19" s="1986"/>
      <c r="E19" s="1986"/>
      <c r="F19" s="1986"/>
      <c r="G19" s="1986"/>
      <c r="H19" s="1966"/>
      <c r="I19" s="30"/>
      <c r="J19" s="99"/>
      <c r="K19" s="40"/>
      <c r="L19" s="38"/>
      <c r="M19" s="112" t="s">
        <v>333</v>
      </c>
      <c r="P19" s="27"/>
      <c r="Q19" s="27"/>
      <c r="R19" s="27"/>
      <c r="S19" s="31"/>
      <c r="T19" s="2040" t="s">
        <v>2093</v>
      </c>
      <c r="U19" s="1965"/>
      <c r="V19" s="1965"/>
      <c r="W19" s="1966"/>
      <c r="X19" s="2055" t="s">
        <v>2094</v>
      </c>
      <c r="Y19" s="2056"/>
      <c r="Z19" s="2053">
        <v>60050</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2079</v>
      </c>
      <c r="B21" s="1965"/>
      <c r="C21" s="1965"/>
      <c r="D21" s="1965"/>
      <c r="E21" s="1965"/>
      <c r="F21" s="1965"/>
      <c r="G21" s="1965"/>
      <c r="H21" s="1966"/>
      <c r="I21" s="2020" t="s">
        <v>699</v>
      </c>
      <c r="J21" s="2015"/>
      <c r="K21" s="2015"/>
      <c r="L21" s="2015"/>
      <c r="M21" s="2015"/>
      <c r="N21" s="2015"/>
      <c r="O21" s="2015"/>
      <c r="P21" s="2015"/>
      <c r="Q21" s="2015"/>
      <c r="R21" s="2015"/>
      <c r="S21" s="2021"/>
      <c r="T21" s="2064" t="s">
        <v>2095</v>
      </c>
      <c r="U21" s="2065"/>
      <c r="V21" s="2065"/>
      <c r="W21" s="2065"/>
      <c r="X21" s="2070" t="s">
        <v>2096</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t="s">
        <v>2080</v>
      </c>
      <c r="B23" s="2018"/>
      <c r="C23" s="2018"/>
      <c r="D23" s="2018"/>
      <c r="E23" s="2018"/>
      <c r="F23" s="2018"/>
      <c r="G23" s="2018"/>
      <c r="H23" s="2019"/>
      <c r="T23" s="2000" t="s">
        <v>2097</v>
      </c>
      <c r="U23" s="2063"/>
      <c r="V23" s="2063"/>
      <c r="W23" s="2063"/>
      <c r="X23" s="2067">
        <v>43434</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60068</v>
      </c>
      <c r="B25" s="1965"/>
      <c r="C25" s="1965"/>
      <c r="D25" s="1965"/>
      <c r="E25" s="1965"/>
      <c r="F25" s="1965"/>
      <c r="G25" s="1965"/>
      <c r="H25" s="1966"/>
      <c r="I25" s="113"/>
      <c r="J25" s="1989"/>
      <c r="K25" s="1989"/>
      <c r="L25" s="1989"/>
      <c r="M25" s="1989"/>
      <c r="N25" s="1989"/>
      <c r="O25" s="1989"/>
      <c r="P25" s="1989"/>
      <c r="Q25" s="1989"/>
      <c r="R25" s="1989"/>
      <c r="S25" s="1990"/>
      <c r="T25" s="2060" t="s">
        <v>2098</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t="s">
        <v>2089</v>
      </c>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2082</v>
      </c>
      <c r="B38" s="2001"/>
      <c r="C38" s="2001"/>
      <c r="D38" s="2001"/>
      <c r="E38" s="2001"/>
      <c r="F38" s="1965"/>
      <c r="G38" s="1965"/>
      <c r="H38" s="1966"/>
      <c r="I38" s="1993" t="s">
        <v>2085</v>
      </c>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2083</v>
      </c>
      <c r="B40" s="1979"/>
      <c r="C40" s="1980"/>
      <c r="D40" s="1980"/>
      <c r="E40" s="1980"/>
      <c r="F40" s="1981"/>
      <c r="G40" s="1981"/>
      <c r="H40" s="1982"/>
      <c r="I40" s="2003" t="s">
        <v>2086</v>
      </c>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t="s">
        <v>2235</v>
      </c>
      <c r="B42" s="1984"/>
      <c r="C42" s="1985"/>
      <c r="D42" s="1983" t="s">
        <v>2084</v>
      </c>
      <c r="E42" s="1984"/>
      <c r="F42" s="1984"/>
      <c r="G42" s="1984"/>
      <c r="H42" s="1985"/>
      <c r="I42" s="1967" t="s">
        <v>2087</v>
      </c>
      <c r="J42" s="1968"/>
      <c r="K42" s="1968"/>
      <c r="L42" s="1968"/>
      <c r="M42" s="1968"/>
      <c r="N42" s="1968"/>
      <c r="O42" s="1969"/>
      <c r="P42" s="2002" t="s">
        <v>2088</v>
      </c>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46" sqref="J4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6" t="s">
        <v>1903</v>
      </c>
      <c r="B2" s="1549" t="s">
        <v>2035</v>
      </c>
      <c r="C2" s="715" t="s">
        <v>1908</v>
      </c>
      <c r="D2" s="715" t="s">
        <v>1909</v>
      </c>
      <c r="E2" s="715" t="s">
        <v>1910</v>
      </c>
      <c r="F2" s="715" t="s">
        <v>1911</v>
      </c>
    </row>
    <row r="3" spans="1:6" ht="12" customHeight="1" x14ac:dyDescent="0.2">
      <c r="A3" s="2207"/>
      <c r="B3" s="1546"/>
      <c r="C3" s="1547"/>
      <c r="D3" s="1548" t="s">
        <v>274</v>
      </c>
      <c r="E3" s="1547"/>
      <c r="F3" s="1548" t="s">
        <v>275</v>
      </c>
    </row>
    <row r="4" spans="1:6" ht="13.7" customHeight="1" x14ac:dyDescent="0.2">
      <c r="A4" s="716" t="s">
        <v>1217</v>
      </c>
      <c r="B4" s="1770">
        <v>86602185</v>
      </c>
      <c r="C4" s="1545">
        <v>46720855</v>
      </c>
      <c r="D4" s="1773">
        <f>B4-C4</f>
        <v>39881330</v>
      </c>
      <c r="E4" s="1545">
        <v>90541452</v>
      </c>
      <c r="F4" s="1773">
        <f>E4-C4</f>
        <v>43820597</v>
      </c>
    </row>
    <row r="5" spans="1:6" ht="13.7" customHeight="1" x14ac:dyDescent="0.2">
      <c r="A5" s="716" t="s">
        <v>925</v>
      </c>
      <c r="B5" s="1771">
        <v>17643842</v>
      </c>
      <c r="C5" s="585">
        <v>9514365</v>
      </c>
      <c r="D5" s="1774">
        <f t="shared" ref="D5:D18" si="0">B5-C5</f>
        <v>8129477</v>
      </c>
      <c r="E5" s="585">
        <v>18438131</v>
      </c>
      <c r="F5" s="1774">
        <f>E5-C5</f>
        <v>8923766</v>
      </c>
    </row>
    <row r="6" spans="1:6" ht="13.7" customHeight="1" x14ac:dyDescent="0.2">
      <c r="A6" s="716" t="s">
        <v>431</v>
      </c>
      <c r="B6" s="1771">
        <v>1645876</v>
      </c>
      <c r="C6" s="585">
        <v>957246</v>
      </c>
      <c r="D6" s="1774">
        <f t="shared" si="0"/>
        <v>688630</v>
      </c>
      <c r="E6" s="585">
        <v>1627499</v>
      </c>
      <c r="F6" s="1774">
        <f t="shared" ref="F6:F18" si="1">E6-C6</f>
        <v>670253</v>
      </c>
    </row>
    <row r="7" spans="1:6" ht="13.7" customHeight="1" x14ac:dyDescent="0.2">
      <c r="A7" s="716" t="s">
        <v>157</v>
      </c>
      <c r="B7" s="1771">
        <v>819308</v>
      </c>
      <c r="C7" s="585">
        <v>440097</v>
      </c>
      <c r="D7" s="1774">
        <f t="shared" si="0"/>
        <v>379211</v>
      </c>
      <c r="E7" s="585">
        <v>852875</v>
      </c>
      <c r="F7" s="1774">
        <f t="shared" si="1"/>
        <v>412778</v>
      </c>
    </row>
    <row r="8" spans="1:6" ht="13.7" customHeight="1" x14ac:dyDescent="0.2">
      <c r="A8" s="716" t="s">
        <v>1241</v>
      </c>
      <c r="B8" s="1771">
        <v>951332</v>
      </c>
      <c r="C8" s="585">
        <v>379310</v>
      </c>
      <c r="D8" s="1774">
        <f t="shared" si="0"/>
        <v>572022</v>
      </c>
      <c r="E8" s="585">
        <v>735075</v>
      </c>
      <c r="F8" s="1774">
        <f t="shared" si="1"/>
        <v>355765</v>
      </c>
    </row>
    <row r="9" spans="1:6" ht="13.7" customHeight="1" x14ac:dyDescent="0.2">
      <c r="A9" s="716" t="s">
        <v>428</v>
      </c>
      <c r="B9" s="1771">
        <f>'Revenues 9-14'!H5</f>
        <v>0</v>
      </c>
      <c r="C9" s="585">
        <v>0</v>
      </c>
      <c r="D9" s="1774">
        <f t="shared" si="0"/>
        <v>0</v>
      </c>
      <c r="E9" s="585">
        <v>0</v>
      </c>
      <c r="F9" s="1774">
        <f t="shared" si="1"/>
        <v>0</v>
      </c>
    </row>
    <row r="10" spans="1:6" ht="13.7" customHeight="1" x14ac:dyDescent="0.2">
      <c r="A10" s="716" t="s">
        <v>427</v>
      </c>
      <c r="B10" s="1771">
        <f>'Revenues 9-14'!I5</f>
        <v>0</v>
      </c>
      <c r="C10" s="585">
        <v>0</v>
      </c>
      <c r="D10" s="1774">
        <f t="shared" si="0"/>
        <v>0</v>
      </c>
      <c r="E10" s="585">
        <v>0</v>
      </c>
      <c r="F10" s="1774">
        <f t="shared" si="1"/>
        <v>0</v>
      </c>
    </row>
    <row r="11" spans="1:6" x14ac:dyDescent="0.2">
      <c r="A11" s="716" t="s">
        <v>429</v>
      </c>
      <c r="B11" s="1771">
        <v>1136186</v>
      </c>
      <c r="C11" s="585">
        <v>607869</v>
      </c>
      <c r="D11" s="1774">
        <f t="shared" si="0"/>
        <v>528317</v>
      </c>
      <c r="E11" s="585">
        <v>1178004</v>
      </c>
      <c r="F11" s="1774">
        <f t="shared" si="1"/>
        <v>570135</v>
      </c>
    </row>
    <row r="12" spans="1:6" ht="13.7" customHeight="1" x14ac:dyDescent="0.2">
      <c r="A12" s="716" t="s">
        <v>159</v>
      </c>
      <c r="B12" s="1771">
        <v>1107186</v>
      </c>
      <c r="C12" s="585">
        <v>600574</v>
      </c>
      <c r="D12" s="1774">
        <f t="shared" si="0"/>
        <v>506612</v>
      </c>
      <c r="E12" s="585">
        <v>1163868</v>
      </c>
      <c r="F12" s="1774">
        <f t="shared" si="1"/>
        <v>563294</v>
      </c>
    </row>
    <row r="13" spans="1:6" ht="13.7" customHeight="1" x14ac:dyDescent="0.2">
      <c r="A13" s="716" t="s">
        <v>993</v>
      </c>
      <c r="B13" s="1771">
        <f>SUM('Revenues 9-14'!C6:D6)</f>
        <v>0</v>
      </c>
      <c r="C13" s="585">
        <v>0</v>
      </c>
      <c r="D13" s="1774">
        <f t="shared" si="0"/>
        <v>0</v>
      </c>
      <c r="E13" s="585">
        <v>0</v>
      </c>
      <c r="F13" s="1774">
        <f t="shared" si="1"/>
        <v>0</v>
      </c>
    </row>
    <row r="14" spans="1:6" ht="13.7" customHeight="1" x14ac:dyDescent="0.2">
      <c r="A14" s="716" t="s">
        <v>430</v>
      </c>
      <c r="B14" s="1771">
        <v>1587742</v>
      </c>
      <c r="C14" s="585">
        <v>930601</v>
      </c>
      <c r="D14" s="1774">
        <f t="shared" si="0"/>
        <v>657141</v>
      </c>
      <c r="E14" s="585">
        <v>1597374</v>
      </c>
      <c r="F14" s="1774">
        <f t="shared" si="1"/>
        <v>666773</v>
      </c>
    </row>
    <row r="15" spans="1:6" ht="13.7" customHeight="1" x14ac:dyDescent="0.2">
      <c r="A15" s="716" t="s">
        <v>1220</v>
      </c>
      <c r="B15" s="1771">
        <f>'Revenues 9-14'!E9</f>
        <v>0</v>
      </c>
      <c r="C15" s="585">
        <v>0</v>
      </c>
      <c r="D15" s="1774">
        <f t="shared" si="0"/>
        <v>0</v>
      </c>
      <c r="E15" s="585">
        <v>0</v>
      </c>
      <c r="F15" s="1774">
        <f t="shared" si="1"/>
        <v>0</v>
      </c>
    </row>
    <row r="16" spans="1:6" ht="13.7" customHeight="1" x14ac:dyDescent="0.2">
      <c r="A16" s="716" t="s">
        <v>1221</v>
      </c>
      <c r="B16" s="1771">
        <v>2758136</v>
      </c>
      <c r="C16" s="585">
        <v>1512126</v>
      </c>
      <c r="D16" s="1774">
        <f t="shared" si="0"/>
        <v>1246010</v>
      </c>
      <c r="E16" s="585">
        <v>3029828</v>
      </c>
      <c r="F16" s="1774">
        <f t="shared" si="1"/>
        <v>1517702</v>
      </c>
    </row>
    <row r="17" spans="1:6" ht="13.7" customHeight="1" x14ac:dyDescent="0.2">
      <c r="A17" s="716" t="s">
        <v>1222</v>
      </c>
      <c r="B17" s="1771">
        <f>'Revenues 9-14'!C10</f>
        <v>0</v>
      </c>
      <c r="C17" s="585">
        <v>0</v>
      </c>
      <c r="D17" s="1774">
        <f t="shared" si="0"/>
        <v>0</v>
      </c>
      <c r="E17" s="585">
        <v>0</v>
      </c>
      <c r="F17" s="1774">
        <f t="shared" si="1"/>
        <v>0</v>
      </c>
    </row>
    <row r="18" spans="1:6" ht="13.7" customHeight="1" x14ac:dyDescent="0.2">
      <c r="A18" s="716" t="s">
        <v>786</v>
      </c>
      <c r="B18" s="1771">
        <f>SUM('Revenues 9-14'!C11:K11)</f>
        <v>0</v>
      </c>
      <c r="C18" s="585">
        <v>0</v>
      </c>
      <c r="D18" s="1774">
        <f t="shared" si="0"/>
        <v>0</v>
      </c>
      <c r="E18" s="585">
        <v>0</v>
      </c>
      <c r="F18" s="1774">
        <f t="shared" si="1"/>
        <v>0</v>
      </c>
    </row>
    <row r="19" spans="1:6" ht="13.7" customHeight="1" thickBot="1" x14ac:dyDescent="0.25">
      <c r="A19" s="1775" t="s">
        <v>1223</v>
      </c>
      <c r="B19" s="1772">
        <f>SUM(B4:B18)</f>
        <v>114251793</v>
      </c>
      <c r="C19" s="1772">
        <f>SUM(C4:C18)</f>
        <v>61663043</v>
      </c>
      <c r="D19" s="1772">
        <f>SUM(D4:D18)</f>
        <v>52588750</v>
      </c>
      <c r="E19" s="1772">
        <f>SUM(E4:E18)</f>
        <v>119164106</v>
      </c>
      <c r="F19" s="1772">
        <f>SUM(F4:F18)</f>
        <v>57501063</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46" sqref="J4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1903</v>
      </c>
      <c r="B2" s="2234"/>
      <c r="C2" s="1908" t="s">
        <v>2036</v>
      </c>
      <c r="D2" s="724" t="s">
        <v>2043</v>
      </c>
      <c r="E2" s="724" t="s">
        <v>2044</v>
      </c>
      <c r="F2" s="1908" t="s">
        <v>2037</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6">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9" t="s">
        <v>652</v>
      </c>
      <c r="B15" s="2220"/>
      <c r="C15" s="1776">
        <f>SUM(C6:C14)</f>
        <v>0</v>
      </c>
      <c r="D15" s="1776">
        <f>SUM(D6:D14)</f>
        <v>0</v>
      </c>
      <c r="E15" s="1776">
        <f>SUM(E6:E14)</f>
        <v>0</v>
      </c>
      <c r="F15" s="1776">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6">
        <f>SUM(C17+D17)-E17</f>
        <v>0</v>
      </c>
    </row>
    <row r="18" spans="1:11" ht="12.75" customHeight="1" thickTop="1" thickBot="1" x14ac:dyDescent="0.25">
      <c r="A18" s="2214" t="s">
        <v>6</v>
      </c>
      <c r="B18" s="2215"/>
      <c r="C18" s="727"/>
      <c r="D18" s="585"/>
      <c r="E18" s="727"/>
      <c r="F18" s="1776">
        <f>SUM(C18+D18)-E18</f>
        <v>0</v>
      </c>
    </row>
    <row r="19" spans="1:11" ht="12.75" customHeight="1" thickTop="1" thickBot="1" x14ac:dyDescent="0.25">
      <c r="A19" s="2214" t="s">
        <v>406</v>
      </c>
      <c r="B19" s="2215"/>
      <c r="C19" s="727"/>
      <c r="D19" s="585"/>
      <c r="E19" s="727"/>
      <c r="F19" s="1776">
        <f>SUM(C19+D19)-E19</f>
        <v>0</v>
      </c>
    </row>
    <row r="20" spans="1:11" ht="12.75" customHeight="1" thickTop="1" thickBot="1" x14ac:dyDescent="0.25">
      <c r="A20" s="2214" t="s">
        <v>468</v>
      </c>
      <c r="B20" s="2215"/>
      <c r="C20" s="727"/>
      <c r="D20" s="585"/>
      <c r="E20" s="727"/>
      <c r="F20" s="1776">
        <f>SUM(C20+D20)-E20</f>
        <v>0</v>
      </c>
    </row>
    <row r="21" spans="1:11" ht="14.25" thickTop="1" thickBot="1" x14ac:dyDescent="0.25">
      <c r="A21" s="2219" t="s">
        <v>653</v>
      </c>
      <c r="B21" s="2220"/>
      <c r="C21" s="1776">
        <f>SUM(C17:C20)</f>
        <v>0</v>
      </c>
      <c r="D21" s="1776">
        <f>SUM(D17:D20)</f>
        <v>0</v>
      </c>
      <c r="E21" s="1776">
        <f>SUM(E17:E20)</f>
        <v>0</v>
      </c>
      <c r="F21" s="1776">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6">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6">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6">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0"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2099</v>
      </c>
      <c r="B31" s="734">
        <v>40637</v>
      </c>
      <c r="C31" s="735">
        <v>5305000</v>
      </c>
      <c r="D31" s="736">
        <v>3</v>
      </c>
      <c r="E31" s="735">
        <v>3875000</v>
      </c>
      <c r="F31" s="735"/>
      <c r="G31" s="735"/>
      <c r="H31" s="735">
        <v>600000</v>
      </c>
      <c r="I31" s="1777">
        <f>((E31+F31)-H31)+G31</f>
        <v>3275000</v>
      </c>
      <c r="J31" s="735">
        <v>3275000</v>
      </c>
      <c r="K31" s="737"/>
    </row>
    <row r="32" spans="1:11" ht="12" customHeight="1" x14ac:dyDescent="0.2">
      <c r="A32" s="733" t="s">
        <v>2100</v>
      </c>
      <c r="B32" s="734">
        <v>41156</v>
      </c>
      <c r="C32" s="735">
        <v>4265000</v>
      </c>
      <c r="D32" s="736">
        <v>3</v>
      </c>
      <c r="E32" s="735">
        <v>1005000</v>
      </c>
      <c r="F32" s="735"/>
      <c r="G32" s="735"/>
      <c r="H32" s="735">
        <v>460000</v>
      </c>
      <c r="I32" s="1777">
        <f>((E32+F32)-H32)+G32</f>
        <v>545000</v>
      </c>
      <c r="J32" s="735">
        <v>545000</v>
      </c>
      <c r="K32" s="737"/>
    </row>
    <row r="33" spans="1:11" ht="12" customHeight="1" x14ac:dyDescent="0.2">
      <c r="A33" s="733" t="s">
        <v>2101</v>
      </c>
      <c r="B33" s="734">
        <v>42724</v>
      </c>
      <c r="C33" s="735">
        <v>9535000</v>
      </c>
      <c r="D33" s="736">
        <v>1</v>
      </c>
      <c r="E33" s="735">
        <v>9535000</v>
      </c>
      <c r="F33" s="735"/>
      <c r="G33" s="735"/>
      <c r="H33" s="735"/>
      <c r="I33" s="1777">
        <f t="shared" ref="I33:I48" si="1">((E33+F33)-H33)+G33</f>
        <v>9535000</v>
      </c>
      <c r="J33" s="735">
        <v>9535000</v>
      </c>
      <c r="K33" s="737"/>
    </row>
    <row r="34" spans="1:11" ht="12" customHeight="1" x14ac:dyDescent="0.2">
      <c r="A34" s="733" t="s">
        <v>2102</v>
      </c>
      <c r="B34" s="734">
        <v>42724</v>
      </c>
      <c r="C34" s="735">
        <v>1185000</v>
      </c>
      <c r="D34" s="736">
        <v>3</v>
      </c>
      <c r="E34" s="735">
        <v>1185000</v>
      </c>
      <c r="F34" s="735"/>
      <c r="G34" s="735"/>
      <c r="H34" s="735"/>
      <c r="I34" s="1777">
        <f t="shared" si="1"/>
        <v>1185000</v>
      </c>
      <c r="J34" s="735">
        <f>1185000-149875</f>
        <v>1035125</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20290000</v>
      </c>
      <c r="D49" s="746"/>
      <c r="E49" s="1777">
        <f t="shared" ref="E49:J49" si="2">SUM(E31:E48)</f>
        <v>15600000</v>
      </c>
      <c r="F49" s="1777">
        <f t="shared" si="2"/>
        <v>0</v>
      </c>
      <c r="G49" s="1777">
        <f t="shared" si="2"/>
        <v>0</v>
      </c>
      <c r="H49" s="1777">
        <f t="shared" si="2"/>
        <v>1060000</v>
      </c>
      <c r="I49" s="1777">
        <f t="shared" si="2"/>
        <v>14540000</v>
      </c>
      <c r="J49" s="1777">
        <f t="shared" si="2"/>
        <v>14390125</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4" colorId="8" zoomScale="110" zoomScaleNormal="110" workbookViewId="0">
      <selection activeCell="J46" sqref="J4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1"/>
      <c r="I1" s="761"/>
      <c r="J1" s="433"/>
    </row>
    <row r="2" spans="1:11" ht="26.25" x14ac:dyDescent="0.2">
      <c r="A2" s="2256" t="s">
        <v>1776</v>
      </c>
      <c r="B2" s="2257"/>
      <c r="C2" s="2257"/>
      <c r="D2" s="2257"/>
      <c r="E2" s="2258"/>
      <c r="F2" s="762" t="s">
        <v>960</v>
      </c>
      <c r="G2" s="763" t="s">
        <v>1773</v>
      </c>
      <c r="H2" s="763" t="s">
        <v>430</v>
      </c>
      <c r="I2" s="763" t="s">
        <v>1220</v>
      </c>
      <c r="J2" s="763" t="s">
        <v>1917</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v>1535697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61170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0" t="s">
        <v>1918</v>
      </c>
      <c r="B10" s="2241"/>
      <c r="C10" s="2241"/>
      <c r="D10" s="2241"/>
      <c r="E10" s="2243"/>
      <c r="F10" s="784" t="s">
        <v>917</v>
      </c>
      <c r="G10" s="783"/>
      <c r="H10" s="785"/>
      <c r="I10" s="765"/>
      <c r="J10" s="766"/>
      <c r="K10" s="766">
        <f>+'Revenues 9-14'!C147</f>
        <v>88429</v>
      </c>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8"/>
      <c r="G12" s="1779">
        <f>SUM(G5:G11)</f>
        <v>0</v>
      </c>
      <c r="H12" s="1779">
        <f>SUM(H5:H11)</f>
        <v>1535697</v>
      </c>
      <c r="I12" s="1779">
        <f>SUM(I5:I11)</f>
        <v>0</v>
      </c>
      <c r="J12" s="1779">
        <f>SUM(J5:J11)</f>
        <v>0</v>
      </c>
      <c r="K12" s="1779">
        <f>SUM(K5:K11)</f>
        <v>149599</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v>1535697</v>
      </c>
      <c r="I14" s="772"/>
      <c r="J14" s="774"/>
      <c r="K14" s="766">
        <v>149599</v>
      </c>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1914</v>
      </c>
      <c r="B19" s="2249"/>
      <c r="C19" s="2249"/>
      <c r="D19" s="2249"/>
      <c r="E19" s="2250"/>
      <c r="F19" s="790" t="s">
        <v>990</v>
      </c>
      <c r="G19" s="783"/>
      <c r="H19" s="783"/>
      <c r="I19" s="783"/>
      <c r="J19" s="766"/>
      <c r="K19" s="796"/>
    </row>
    <row r="20" spans="1:11" x14ac:dyDescent="0.2">
      <c r="A20" s="2251" t="s">
        <v>1919</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80"/>
      <c r="G21" s="793"/>
      <c r="H21" s="797"/>
      <c r="I21" s="797"/>
      <c r="J21" s="1781">
        <f>SUM(J18:J20)</f>
        <v>0</v>
      </c>
      <c r="K21" s="794"/>
    </row>
    <row r="22" spans="1:11" ht="13.5" thickTop="1" x14ac:dyDescent="0.2">
      <c r="A22" s="2241" t="s">
        <v>1920</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82"/>
      <c r="G23" s="1779">
        <f>SUM(G14:G16,G21,G22)</f>
        <v>0</v>
      </c>
      <c r="H23" s="1779">
        <f>SUM(H14:H16,H21,H22)</f>
        <v>1535697</v>
      </c>
      <c r="I23" s="1779">
        <f>SUM(I14:I16,I21,I22)</f>
        <v>0</v>
      </c>
      <c r="J23" s="1779">
        <f>SUM(J14:J16,J21,J22)</f>
        <v>0</v>
      </c>
      <c r="K23" s="1779">
        <f>SUM(K14:K16,K21,K22)</f>
        <v>149599</v>
      </c>
    </row>
    <row r="24" spans="1:11" ht="14.25" thickTop="1" thickBot="1" x14ac:dyDescent="0.25">
      <c r="A24" s="2271" t="s">
        <v>2024</v>
      </c>
      <c r="B24" s="2270"/>
      <c r="C24" s="2270"/>
      <c r="D24" s="2270"/>
      <c r="E24" s="2270"/>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2075</v>
      </c>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1915</v>
      </c>
      <c r="B46" s="408" t="s">
        <v>1774</v>
      </c>
    </row>
    <row r="47" spans="1:11" s="824" customFormat="1" ht="12.75" customHeight="1" x14ac:dyDescent="0.2">
      <c r="A47" s="822"/>
      <c r="B47" s="823" t="s">
        <v>1775</v>
      </c>
      <c r="E47" s="823"/>
      <c r="K47" s="825"/>
    </row>
    <row r="48" spans="1:11" ht="12.75" customHeight="1" x14ac:dyDescent="0.2">
      <c r="A48" s="1553"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46" sqref="J4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2033</v>
      </c>
      <c r="B1" s="2277"/>
      <c r="C1" s="2278"/>
      <c r="D1" s="827"/>
      <c r="E1" s="828"/>
      <c r="F1" s="828"/>
      <c r="G1" s="829"/>
      <c r="H1" s="830"/>
      <c r="I1" s="831"/>
      <c r="J1" s="2274"/>
      <c r="K1" s="2275"/>
      <c r="L1" s="2275"/>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1356386</v>
      </c>
      <c r="D5" s="842"/>
      <c r="E5" s="842"/>
      <c r="F5" s="1781">
        <f>(C5+D5)-E5</f>
        <v>1356386</v>
      </c>
      <c r="G5" s="838"/>
      <c r="H5" s="843"/>
      <c r="I5" s="843"/>
      <c r="J5" s="843"/>
      <c r="K5" s="794"/>
      <c r="L5" s="1790">
        <f>F5-K5</f>
        <v>1356386</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129057658</v>
      </c>
      <c r="D8" s="845">
        <v>10276510</v>
      </c>
      <c r="E8" s="845"/>
      <c r="F8" s="1781">
        <f>(C8+D8)-E8</f>
        <v>139334168</v>
      </c>
      <c r="G8" s="844">
        <v>50</v>
      </c>
      <c r="H8" s="766">
        <v>85650038</v>
      </c>
      <c r="I8" s="766">
        <v>3206044</v>
      </c>
      <c r="J8" s="766"/>
      <c r="K8" s="1790">
        <f>(H8+I8)-J8</f>
        <v>88856082</v>
      </c>
      <c r="L8" s="1790">
        <f>F8-K8</f>
        <v>50478086</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9646503</v>
      </c>
      <c r="D10" s="847">
        <v>642481</v>
      </c>
      <c r="E10" s="847"/>
      <c r="F10" s="1785">
        <f>(C10+D10)-E10</f>
        <v>10288984</v>
      </c>
      <c r="G10" s="844">
        <v>20</v>
      </c>
      <c r="H10" s="848">
        <v>5229517</v>
      </c>
      <c r="I10" s="848">
        <v>391731</v>
      </c>
      <c r="J10" s="848"/>
      <c r="K10" s="1790">
        <f>(H10+I10)-J10</f>
        <v>5621248</v>
      </c>
      <c r="L10" s="1790">
        <f>F10-K10</f>
        <v>4667736</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c r="D12" s="845"/>
      <c r="E12" s="845"/>
      <c r="F12" s="1781">
        <f>(C12+D12)-E12</f>
        <v>0</v>
      </c>
      <c r="G12" s="844">
        <v>10</v>
      </c>
      <c r="H12" s="766"/>
      <c r="I12" s="766"/>
      <c r="J12" s="766"/>
      <c r="K12" s="1790">
        <f>(H12+I12)-J12</f>
        <v>0</v>
      </c>
      <c r="L12" s="1790">
        <f>F12-K12</f>
        <v>0</v>
      </c>
    </row>
    <row r="13" spans="1:14" ht="14.25" thickTop="1" thickBot="1" x14ac:dyDescent="0.25">
      <c r="A13" s="849" t="s">
        <v>1184</v>
      </c>
      <c r="B13" s="841">
        <v>252</v>
      </c>
      <c r="C13" s="845">
        <v>29396848</v>
      </c>
      <c r="D13" s="845">
        <v>307672</v>
      </c>
      <c r="E13" s="845"/>
      <c r="F13" s="1781">
        <f>(C13+D13)-E13</f>
        <v>29704520</v>
      </c>
      <c r="G13" s="844">
        <v>5</v>
      </c>
      <c r="H13" s="766">
        <v>23794531</v>
      </c>
      <c r="I13" s="766">
        <v>692337</v>
      </c>
      <c r="J13" s="766"/>
      <c r="K13" s="1790">
        <f>(H13+I13)-J13</f>
        <v>24486868</v>
      </c>
      <c r="L13" s="1790">
        <f>F13-K13</f>
        <v>5217652</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v>4760297</v>
      </c>
      <c r="D15" s="845">
        <v>3284284</v>
      </c>
      <c r="E15" s="845">
        <v>4760297</v>
      </c>
      <c r="F15" s="1781">
        <f>(C15+D15)-E15</f>
        <v>3284284</v>
      </c>
      <c r="G15" s="850" t="s">
        <v>917</v>
      </c>
      <c r="H15" s="782"/>
      <c r="I15" s="782"/>
      <c r="J15" s="782"/>
      <c r="K15" s="782"/>
      <c r="L15" s="1790">
        <f>F15-K15</f>
        <v>3284284</v>
      </c>
    </row>
    <row r="16" spans="1:14" ht="15" customHeight="1" thickTop="1" thickBot="1" x14ac:dyDescent="0.25">
      <c r="A16" s="1786" t="s">
        <v>664</v>
      </c>
      <c r="B16" s="1787">
        <v>200</v>
      </c>
      <c r="C16" s="1781">
        <f>SUM(C3,C5:C6,C8:C10,C12:C15)</f>
        <v>174217692</v>
      </c>
      <c r="D16" s="1781">
        <f>SUM(D3,D5:D6,D8:D10,D12:D15)</f>
        <v>14510947</v>
      </c>
      <c r="E16" s="1781">
        <f>SUM(E3,E5:E6,E8:E10,E12:E15)</f>
        <v>4760297</v>
      </c>
      <c r="F16" s="1781">
        <f>SUM(F3,F5:F6,F8:F10,F12:F15)</f>
        <v>183968342</v>
      </c>
      <c r="G16" s="844"/>
      <c r="H16" s="1781">
        <f>SUM(H3,H6,H8:H10,H12:H14,)</f>
        <v>114674086</v>
      </c>
      <c r="I16" s="1781">
        <f>SUM(I3,I6,I8:I10,I12:I14,)</f>
        <v>4290112</v>
      </c>
      <c r="J16" s="1781">
        <f>SUM(J3,J6,J8:J10,J12:J14,)</f>
        <v>0</v>
      </c>
      <c r="K16" s="1781">
        <f>(H16+I16)-J16</f>
        <v>118964198</v>
      </c>
      <c r="L16" s="1781">
        <f>F16-K16</f>
        <v>65004144</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56885</v>
      </c>
      <c r="G17" s="838">
        <v>10</v>
      </c>
      <c r="H17" s="770"/>
      <c r="I17" s="1790">
        <f>F17/G17</f>
        <v>5688.5</v>
      </c>
      <c r="J17" s="770"/>
      <c r="K17" s="796"/>
      <c r="L17" s="796"/>
    </row>
    <row r="18" spans="1:12" ht="14.25" thickTop="1" thickBot="1" x14ac:dyDescent="0.25">
      <c r="A18" s="1788" t="s">
        <v>706</v>
      </c>
      <c r="B18" s="1789"/>
      <c r="C18" s="772"/>
      <c r="D18" s="772"/>
      <c r="E18" s="772"/>
      <c r="F18" s="851"/>
      <c r="G18" s="852"/>
      <c r="H18" s="774"/>
      <c r="I18" s="1781">
        <f>SUM(I16,I17)</f>
        <v>4295800.5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61" activePane="bottomLeft" state="frozen"/>
      <selection activeCell="J46" sqref="J46"/>
      <selection pane="bottomLeft" activeCell="J46" sqref="J4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103585041</v>
      </c>
      <c r="G8" s="866"/>
    </row>
    <row r="9" spans="1:7" x14ac:dyDescent="0.2">
      <c r="A9" s="870" t="s">
        <v>480</v>
      </c>
      <c r="B9" s="871" t="s">
        <v>1987</v>
      </c>
      <c r="C9" s="872"/>
      <c r="D9" s="870" t="s">
        <v>522</v>
      </c>
      <c r="E9" s="869"/>
      <c r="F9" s="1934">
        <f>'Expenditures 15-22'!K151</f>
        <v>15786756</v>
      </c>
      <c r="G9" s="873"/>
    </row>
    <row r="10" spans="1:7" x14ac:dyDescent="0.2">
      <c r="A10" s="870" t="s">
        <v>520</v>
      </c>
      <c r="B10" s="871" t="s">
        <v>1988</v>
      </c>
      <c r="C10" s="872"/>
      <c r="D10" s="870" t="s">
        <v>522</v>
      </c>
      <c r="E10" s="869"/>
      <c r="F10" s="1934">
        <f>'Expenditures 15-22'!K174</f>
        <v>1558899</v>
      </c>
      <c r="G10" s="873"/>
    </row>
    <row r="11" spans="1:7" x14ac:dyDescent="0.2">
      <c r="A11" s="870" t="s">
        <v>481</v>
      </c>
      <c r="B11" s="871" t="s">
        <v>1989</v>
      </c>
      <c r="C11" s="872"/>
      <c r="D11" s="870" t="s">
        <v>522</v>
      </c>
      <c r="E11" s="869"/>
      <c r="F11" s="1934">
        <f>'Expenditures 15-22'!K210</f>
        <v>2486982</v>
      </c>
      <c r="G11" s="873"/>
    </row>
    <row r="12" spans="1:7" x14ac:dyDescent="0.2">
      <c r="A12" s="870" t="s">
        <v>482</v>
      </c>
      <c r="B12" s="871" t="s">
        <v>1990</v>
      </c>
      <c r="C12" s="872"/>
      <c r="D12" s="870" t="s">
        <v>522</v>
      </c>
      <c r="E12" s="869"/>
      <c r="F12" s="1934">
        <f>'Expenditures 15-22'!K295</f>
        <v>3707942</v>
      </c>
      <c r="G12" s="873"/>
    </row>
    <row r="13" spans="1:7" x14ac:dyDescent="0.2">
      <c r="A13" s="870" t="s">
        <v>108</v>
      </c>
      <c r="B13" s="871" t="s">
        <v>1991</v>
      </c>
      <c r="C13" s="872"/>
      <c r="D13" s="870" t="s">
        <v>522</v>
      </c>
      <c r="E13" s="869"/>
      <c r="F13" s="1934">
        <f>'Expenditures 15-22'!K342</f>
        <v>800768</v>
      </c>
      <c r="G13" s="874"/>
    </row>
    <row r="14" spans="1:7" ht="12" customHeight="1" thickBot="1" x14ac:dyDescent="0.25">
      <c r="A14" s="1791"/>
      <c r="B14" s="1792"/>
      <c r="C14" s="1793"/>
      <c r="D14" s="1794" t="s">
        <v>522</v>
      </c>
      <c r="E14" s="1795" t="s">
        <v>1015</v>
      </c>
      <c r="F14" s="1796">
        <f>SUM(F8:F13)</f>
        <v>127926388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924948</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2548543</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386090</v>
      </c>
      <c r="G52" s="866"/>
    </row>
    <row r="53" spans="1:7" x14ac:dyDescent="0.2">
      <c r="A53" s="870" t="s">
        <v>479</v>
      </c>
      <c r="B53" s="870" t="s">
        <v>1551</v>
      </c>
      <c r="C53" s="890">
        <f>'Expenditures 15-22'!B102</f>
        <v>4000</v>
      </c>
      <c r="D53" s="889" t="str">
        <f>'Expenditures 15-22'!A102</f>
        <v>Total Payments to Other Govt Units</v>
      </c>
      <c r="E53" s="869"/>
      <c r="F53" s="1938">
        <f>'Expenditures 15-22'!K102</f>
        <v>1773765</v>
      </c>
      <c r="G53" s="866"/>
    </row>
    <row r="54" spans="1:7" x14ac:dyDescent="0.2">
      <c r="A54" s="870" t="s">
        <v>479</v>
      </c>
      <c r="B54" s="870" t="s">
        <v>1552</v>
      </c>
      <c r="C54" s="890" t="s">
        <v>1039</v>
      </c>
      <c r="D54" s="886" t="s">
        <v>1157</v>
      </c>
      <c r="E54" s="869"/>
      <c r="F54" s="1938">
        <f>'Expenditures 15-22'!G114</f>
        <v>224403</v>
      </c>
      <c r="G54" s="866"/>
    </row>
    <row r="55" spans="1:7" x14ac:dyDescent="0.2">
      <c r="A55" s="870" t="s">
        <v>479</v>
      </c>
      <c r="B55" s="870" t="s">
        <v>1553</v>
      </c>
      <c r="C55" s="890" t="s">
        <v>1039</v>
      </c>
      <c r="D55" s="886" t="s">
        <v>309</v>
      </c>
      <c r="E55" s="869"/>
      <c r="F55" s="1938">
        <f>'Expenditures 15-22'!I114</f>
        <v>56885</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8">
        <f>'Expenditures 15-22'!K139</f>
        <v>0</v>
      </c>
      <c r="G57" s="866"/>
    </row>
    <row r="58" spans="1:7" x14ac:dyDescent="0.2">
      <c r="A58" s="870" t="s">
        <v>480</v>
      </c>
      <c r="B58" s="870" t="s">
        <v>1993</v>
      </c>
      <c r="C58" s="887" t="s">
        <v>1039</v>
      </c>
      <c r="D58" s="886" t="s">
        <v>1157</v>
      </c>
      <c r="E58" s="869"/>
      <c r="F58" s="1940">
        <f>'Expenditures 15-22'!G151</f>
        <v>2759957</v>
      </c>
      <c r="G58" s="866"/>
    </row>
    <row r="59" spans="1:7" x14ac:dyDescent="0.2">
      <c r="A59" s="894" t="s">
        <v>480</v>
      </c>
      <c r="B59" s="857" t="s">
        <v>1994</v>
      </c>
      <c r="C59" s="895" t="s">
        <v>1039</v>
      </c>
      <c r="D59" s="857" t="s">
        <v>309</v>
      </c>
      <c r="F59" s="1941">
        <f>'Expenditures 15-22'!I151</f>
        <v>0</v>
      </c>
      <c r="G59" s="866"/>
    </row>
    <row r="60" spans="1:7" x14ac:dyDescent="0.2">
      <c r="A60" s="894" t="s">
        <v>520</v>
      </c>
      <c r="B60" s="857" t="s">
        <v>1995</v>
      </c>
      <c r="C60" s="895">
        <v>4000</v>
      </c>
      <c r="D60" s="857" t="s">
        <v>330</v>
      </c>
      <c r="F60" s="1939">
        <f>'Expenditures 15-22'!K160</f>
        <v>0</v>
      </c>
      <c r="G60" s="866"/>
    </row>
    <row r="61" spans="1:7" x14ac:dyDescent="0.2">
      <c r="A61" s="896" t="s">
        <v>520</v>
      </c>
      <c r="B61" s="896" t="s">
        <v>1996</v>
      </c>
      <c r="C61" s="897" t="str">
        <f>'Expenditures 15-22'!B170</f>
        <v>5300</v>
      </c>
      <c r="D61" s="898" t="s">
        <v>329</v>
      </c>
      <c r="E61" s="880"/>
      <c r="F61" s="1938">
        <f>'Expenditures 15-22'!K170</f>
        <v>1060000</v>
      </c>
      <c r="G61" s="866"/>
    </row>
    <row r="62" spans="1:7" x14ac:dyDescent="0.2">
      <c r="A62" s="870" t="s">
        <v>481</v>
      </c>
      <c r="B62" s="870" t="s">
        <v>1997</v>
      </c>
      <c r="C62" s="887">
        <f>'Expenditures 15-22'!B185</f>
        <v>3000</v>
      </c>
      <c r="D62" s="877" t="s">
        <v>469</v>
      </c>
      <c r="E62" s="869"/>
      <c r="F62" s="1938">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1999</v>
      </c>
      <c r="C64" s="897" t="str">
        <f>'Expenditures 15-22'!B206</f>
        <v>5300</v>
      </c>
      <c r="D64" s="893" t="s">
        <v>329</v>
      </c>
      <c r="E64" s="869"/>
      <c r="F64" s="1938">
        <f>'Expenditures 15-22'!K206</f>
        <v>0</v>
      </c>
      <c r="G64" s="866"/>
    </row>
    <row r="65" spans="1:8" x14ac:dyDescent="0.2">
      <c r="A65" s="870" t="s">
        <v>481</v>
      </c>
      <c r="B65" s="870" t="s">
        <v>2000</v>
      </c>
      <c r="C65" s="887" t="s">
        <v>1039</v>
      </c>
      <c r="D65" s="886" t="s">
        <v>1157</v>
      </c>
      <c r="E65" s="869"/>
      <c r="F65" s="1938">
        <f>'Expenditures 15-22'!G210</f>
        <v>0</v>
      </c>
      <c r="G65" s="866"/>
    </row>
    <row r="66" spans="1:8" x14ac:dyDescent="0.2">
      <c r="A66" s="870" t="s">
        <v>481</v>
      </c>
      <c r="B66" s="870" t="s">
        <v>2001</v>
      </c>
      <c r="C66" s="887" t="s">
        <v>1039</v>
      </c>
      <c r="D66" s="886" t="s">
        <v>309</v>
      </c>
      <c r="E66" s="869"/>
      <c r="F66" s="1938">
        <f>'Expenditures 15-22'!I210</f>
        <v>0</v>
      </c>
      <c r="G66" s="866"/>
    </row>
    <row r="67" spans="1:8" x14ac:dyDescent="0.2">
      <c r="A67" s="870" t="s">
        <v>482</v>
      </c>
      <c r="B67" s="870" t="s">
        <v>2002</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2004</v>
      </c>
      <c r="C70" s="887">
        <f>'Expenditures 15-22'!B221</f>
        <v>1300</v>
      </c>
      <c r="D70" s="888" t="str">
        <f>'Expenditures 15-22'!A221</f>
        <v>Adult/Continuing Education Programs</v>
      </c>
      <c r="E70" s="869"/>
      <c r="F70" s="1938">
        <f>'Expenditures 15-22'!K221</f>
        <v>0</v>
      </c>
      <c r="G70" s="866"/>
    </row>
    <row r="71" spans="1:8" x14ac:dyDescent="0.2">
      <c r="A71" s="870" t="s">
        <v>482</v>
      </c>
      <c r="B71" s="870" t="s">
        <v>2005</v>
      </c>
      <c r="C71" s="887">
        <f>'Expenditures 15-22'!B224</f>
        <v>1600</v>
      </c>
      <c r="D71" s="888" t="str">
        <f>'Expenditures 15-22'!A224</f>
        <v>Summer School Programs</v>
      </c>
      <c r="E71" s="869"/>
      <c r="F71" s="1938">
        <f>'Expenditures 15-22'!K224</f>
        <v>35994</v>
      </c>
      <c r="G71" s="866"/>
    </row>
    <row r="72" spans="1:8" x14ac:dyDescent="0.2">
      <c r="A72" s="870" t="s">
        <v>482</v>
      </c>
      <c r="B72" s="870" t="s">
        <v>2006</v>
      </c>
      <c r="C72" s="887">
        <f>'Expenditures 15-22'!B280</f>
        <v>3000</v>
      </c>
      <c r="D72" s="877" t="s">
        <v>469</v>
      </c>
      <c r="E72" s="869"/>
      <c r="F72" s="1938">
        <f>'Expenditures 15-22'!K280</f>
        <v>62</v>
      </c>
      <c r="G72" s="866"/>
    </row>
    <row r="73" spans="1:8" x14ac:dyDescent="0.2">
      <c r="A73" s="870" t="s">
        <v>482</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2008</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1015</v>
      </c>
      <c r="F76" s="1799">
        <f>SUM(F18:F74)</f>
        <v>9770647</v>
      </c>
      <c r="G76" s="866"/>
    </row>
    <row r="77" spans="1:8" s="894" customFormat="1" ht="12" customHeight="1" thickTop="1" thickBot="1" x14ac:dyDescent="0.25">
      <c r="A77" s="1800"/>
      <c r="B77" s="1797"/>
      <c r="C77" s="1793"/>
      <c r="D77" s="1798" t="s">
        <v>2010</v>
      </c>
      <c r="E77" s="1795"/>
      <c r="F77" s="1801">
        <f>(F14-F76)</f>
        <v>118155741</v>
      </c>
      <c r="G77" s="870"/>
    </row>
    <row r="78" spans="1:8" s="894" customFormat="1" ht="12" customHeight="1" thickTop="1" x14ac:dyDescent="0.2">
      <c r="A78" s="1802"/>
      <c r="B78" s="1797"/>
      <c r="C78" s="1793"/>
      <c r="D78" s="1798" t="s">
        <v>2057</v>
      </c>
      <c r="E78" s="1795"/>
      <c r="F78" s="899">
        <v>5891.32</v>
      </c>
      <c r="G78" s="900"/>
      <c r="H78" s="870"/>
    </row>
    <row r="79" spans="1:8" s="894" customFormat="1" ht="12" customHeight="1" thickBot="1" x14ac:dyDescent="0.25">
      <c r="A79" s="1803"/>
      <c r="B79" s="1797"/>
      <c r="C79" s="1793"/>
      <c r="D79" s="1798" t="s">
        <v>2011</v>
      </c>
      <c r="E79" s="1795" t="s">
        <v>1015</v>
      </c>
      <c r="F79" s="1804">
        <f>IF(F78&gt;0,F77/F78," Complete Line 78")</f>
        <v>20055.902751845089</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129725</v>
      </c>
      <c r="G94" s="913"/>
    </row>
    <row r="95" spans="1:7" x14ac:dyDescent="0.2">
      <c r="A95" s="909" t="s">
        <v>142</v>
      </c>
      <c r="B95" s="909" t="s">
        <v>177</v>
      </c>
      <c r="C95" s="911">
        <v>1700</v>
      </c>
      <c r="D95" s="919" t="str">
        <f>'Revenues 9-14'!A82</f>
        <v>Total District/School Activity Income</v>
      </c>
      <c r="E95" s="907"/>
      <c r="F95" s="1810">
        <f>SUM('Revenues 9-14'!C82,'Revenues 9-14'!D82)</f>
        <v>1961475</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618</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101328</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1966</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87175</v>
      </c>
      <c r="G104" s="913"/>
    </row>
    <row r="105" spans="1:7" x14ac:dyDescent="0.2">
      <c r="A105" s="909" t="s">
        <v>524</v>
      </c>
      <c r="B105" s="909" t="s">
        <v>842</v>
      </c>
      <c r="C105" s="914">
        <v>3100</v>
      </c>
      <c r="D105" s="920" t="str">
        <f>'Revenues 9-14'!A131</f>
        <v>Total Special Education</v>
      </c>
      <c r="E105" s="907"/>
      <c r="F105" s="1810">
        <f>SUM('Revenues 9-14'!C131:D131,'Revenues 9-14'!F131)</f>
        <v>1967474</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292010</v>
      </c>
      <c r="G106" s="913"/>
    </row>
    <row r="107" spans="1:7" x14ac:dyDescent="0.2">
      <c r="A107" s="922" t="s">
        <v>685</v>
      </c>
      <c r="B107" s="909" t="s">
        <v>843</v>
      </c>
      <c r="C107" s="921">
        <v>3300</v>
      </c>
      <c r="D107" s="912" t="str">
        <f>'Revenues 9-14'!A144</f>
        <v>Total Bilingual Ed</v>
      </c>
      <c r="E107" s="907"/>
      <c r="F107" s="1810">
        <f>SUM('Revenues 9-14'!C144,'Revenues 9-14'!G144)</f>
        <v>93452</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88429</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1712680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8753</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61880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23751</v>
      </c>
      <c r="G129" s="931"/>
    </row>
    <row r="130" spans="1:7" x14ac:dyDescent="0.2">
      <c r="A130" s="928" t="s">
        <v>689</v>
      </c>
      <c r="B130" s="928" t="s">
        <v>804</v>
      </c>
      <c r="C130" s="933">
        <v>4300</v>
      </c>
      <c r="D130" s="934" t="str">
        <f>'Revenues 9-14'!A211</f>
        <v>Total Title I</v>
      </c>
      <c r="E130" s="907"/>
      <c r="F130" s="1810">
        <f>SUM('Revenues 9-14'!C211,'Revenues 9-14'!D211,'Revenues 9-14'!F211,'Revenues 9-14'!G211)</f>
        <v>838720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15409</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1343361</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138756</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141885</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13855</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23338</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108451</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88911</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373246</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517469</v>
      </c>
      <c r="G174" s="928"/>
    </row>
    <row r="175" spans="1:7" x14ac:dyDescent="0.2">
      <c r="A175" s="1943" t="s">
        <v>5</v>
      </c>
      <c r="B175" s="1944" t="s">
        <v>2056</v>
      </c>
      <c r="C175" s="1945">
        <v>3100</v>
      </c>
      <c r="D175" s="1946" t="s">
        <v>2059</v>
      </c>
      <c r="E175" s="907"/>
      <c r="F175" s="1930">
        <v>1862371</v>
      </c>
      <c r="G175" s="928"/>
    </row>
    <row r="176" spans="1:7" x14ac:dyDescent="0.2">
      <c r="A176" s="1943" t="s">
        <v>685</v>
      </c>
      <c r="B176" s="1944" t="s">
        <v>2056</v>
      </c>
      <c r="C176" s="1945">
        <v>3300</v>
      </c>
      <c r="D176" s="1946" t="s">
        <v>2060</v>
      </c>
      <c r="E176" s="907"/>
      <c r="F176" s="1930">
        <v>93589</v>
      </c>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1015</v>
      </c>
      <c r="F178" s="1809">
        <f>SUM(F84:F136,F161:F176)</f>
        <v>12090077</v>
      </c>
    </row>
    <row r="179" spans="1:7" ht="12" customHeight="1" x14ac:dyDescent="0.2">
      <c r="A179" s="1791"/>
      <c r="B179" s="1805"/>
      <c r="C179" s="1806"/>
      <c r="D179" s="1807" t="s">
        <v>2013</v>
      </c>
      <c r="E179" s="1808"/>
      <c r="F179" s="1810">
        <f>'PCTC-OEPP 27-28'!F77-F178</f>
        <v>106065664</v>
      </c>
    </row>
    <row r="180" spans="1:7" ht="12" customHeight="1" x14ac:dyDescent="0.2">
      <c r="A180" s="1791"/>
      <c r="B180" s="1805"/>
      <c r="C180" s="1806"/>
      <c r="D180" s="1807" t="s">
        <v>1922</v>
      </c>
      <c r="E180" s="1808"/>
      <c r="F180" s="1810">
        <f>'Cap Outlay Deprec 26'!I18</f>
        <v>4295800.5</v>
      </c>
    </row>
    <row r="181" spans="1:7" ht="12" customHeight="1" x14ac:dyDescent="0.2">
      <c r="A181" s="1791"/>
      <c r="B181" s="1805"/>
      <c r="C181" s="1806"/>
      <c r="D181" s="1807" t="s">
        <v>2014</v>
      </c>
      <c r="E181" s="1808"/>
      <c r="F181" s="1810">
        <f>F179+F180</f>
        <v>110361464.5</v>
      </c>
    </row>
    <row r="182" spans="1:7" ht="12" customHeight="1" x14ac:dyDescent="0.2">
      <c r="A182" s="1791"/>
      <c r="B182" s="1811"/>
      <c r="C182" s="1806"/>
      <c r="D182" s="1807" t="str">
        <f>D78</f>
        <v>9 Month ADA from District Average Daily Attendance/Prior General State Aid Inquiry 2017-2018</v>
      </c>
      <c r="E182" s="1808"/>
      <c r="F182" s="1812">
        <f>'PCTC-OEPP 27-28'!F78</f>
        <v>5891.32</v>
      </c>
      <c r="G182" s="931"/>
    </row>
    <row r="183" spans="1:7" ht="12" customHeight="1" thickBot="1" x14ac:dyDescent="0.25">
      <c r="A183" s="1791"/>
      <c r="B183" s="1811"/>
      <c r="C183" s="1806"/>
      <c r="D183" s="1807" t="s">
        <v>2015</v>
      </c>
      <c r="E183" s="1808" t="s">
        <v>1626</v>
      </c>
      <c r="F183" s="1813">
        <f>F181/F182</f>
        <v>18732.892543606526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pane ySplit="16" topLeftCell="A17" activePane="bottomLeft" state="frozen"/>
      <selection activeCell="J46" sqref="J46"/>
      <selection pane="bottomLeft" activeCell="J46" sqref="J46"/>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3" t="s">
        <v>1923</v>
      </c>
      <c r="B4" s="2294"/>
      <c r="C4" s="2294"/>
      <c r="D4" s="2294"/>
      <c r="E4" s="2294"/>
      <c r="F4" s="2294"/>
      <c r="G4" s="2295"/>
    </row>
    <row r="5" spans="1:7" x14ac:dyDescent="0.25">
      <c r="A5" s="2296"/>
      <c r="B5" s="2297"/>
      <c r="C5" s="2297"/>
      <c r="D5" s="2297"/>
      <c r="E5" s="2297"/>
      <c r="F5" s="2297"/>
      <c r="G5" s="2298"/>
    </row>
    <row r="6" spans="1:7" ht="18.75" x14ac:dyDescent="0.25">
      <c r="A6" s="1555" t="s">
        <v>1924</v>
      </c>
      <c r="B6" s="1556"/>
      <c r="C6" s="1556"/>
      <c r="D6" s="1556"/>
      <c r="E6" s="1556"/>
      <c r="F6" s="1556"/>
      <c r="G6" s="1557"/>
    </row>
    <row r="7" spans="1:7" ht="30.75" customHeight="1" x14ac:dyDescent="0.25">
      <c r="A7" s="2299" t="s">
        <v>2073</v>
      </c>
      <c r="B7" s="2300"/>
      <c r="C7" s="2300"/>
      <c r="D7" s="2300"/>
      <c r="E7" s="2300"/>
      <c r="F7" s="2300"/>
      <c r="G7" s="2301"/>
    </row>
    <row r="8" spans="1:7" ht="15.75" customHeight="1" x14ac:dyDescent="0.25">
      <c r="A8" s="2302" t="s">
        <v>2022</v>
      </c>
      <c r="B8" s="2303"/>
      <c r="C8" s="2303"/>
      <c r="D8" s="2303"/>
      <c r="E8" s="2303"/>
      <c r="F8" s="2303"/>
      <c r="G8" s="2304"/>
    </row>
    <row r="9" spans="1:7" ht="35.25" customHeight="1" x14ac:dyDescent="0.25">
      <c r="A9" s="2299" t="s">
        <v>2021</v>
      </c>
      <c r="B9" s="2300"/>
      <c r="C9" s="2300"/>
      <c r="D9" s="2300"/>
      <c r="E9" s="2300"/>
      <c r="F9" s="2300"/>
      <c r="G9" s="2301"/>
    </row>
    <row r="10" spans="1:7" ht="15" customHeight="1" x14ac:dyDescent="0.25">
      <c r="A10" s="1558" t="s">
        <v>1925</v>
      </c>
      <c r="B10" s="1559"/>
      <c r="C10" s="1559"/>
      <c r="D10" s="1559"/>
      <c r="E10" s="1559"/>
      <c r="F10" s="1559"/>
      <c r="G10" s="1560"/>
    </row>
    <row r="11" spans="1:7" ht="17.25" customHeight="1" x14ac:dyDescent="0.25">
      <c r="A11" s="2299" t="s">
        <v>1939</v>
      </c>
      <c r="B11" s="2300"/>
      <c r="C11" s="2300"/>
      <c r="D11" s="2300"/>
      <c r="E11" s="2300"/>
      <c r="F11" s="2300"/>
      <c r="G11" s="2301"/>
    </row>
    <row r="12" spans="1:7" ht="15" customHeight="1" x14ac:dyDescent="0.25">
      <c r="A12" s="1558" t="s">
        <v>1930</v>
      </c>
      <c r="B12" s="1559"/>
      <c r="C12" s="1559"/>
      <c r="D12" s="1559"/>
      <c r="E12" s="1559"/>
      <c r="F12" s="1559"/>
      <c r="G12" s="1560"/>
    </row>
    <row r="13" spans="1:7" ht="32.25" customHeight="1" x14ac:dyDescent="0.25">
      <c r="A13" s="2290" t="s">
        <v>1931</v>
      </c>
      <c r="B13" s="2291"/>
      <c r="C13" s="2291"/>
      <c r="D13" s="2291"/>
      <c r="E13" s="2291"/>
      <c r="F13" s="2291"/>
      <c r="G13" s="2292"/>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1" t="s">
        <v>2228</v>
      </c>
      <c r="B17" s="1962" t="s">
        <v>2230</v>
      </c>
      <c r="C17" s="1963" t="s">
        <v>2232</v>
      </c>
      <c r="D17" s="1866">
        <v>773213</v>
      </c>
      <c r="E17" s="1561">
        <f t="shared" ref="E17:E141" si="1">IF(D17&lt;=25000,D17,IF(D17&gt;25000,25000,0))</f>
        <v>25000</v>
      </c>
      <c r="F17" s="1814">
        <f t="shared" si="0"/>
        <v>25000</v>
      </c>
      <c r="G17" s="1815">
        <f>IF(F17=0,0,D17-F17)</f>
        <v>748213</v>
      </c>
      <c r="H17" s="1668"/>
    </row>
    <row r="18" spans="1:8" x14ac:dyDescent="0.25">
      <c r="A18" s="1961" t="s">
        <v>2229</v>
      </c>
      <c r="B18" s="1962" t="s">
        <v>2231</v>
      </c>
      <c r="C18" s="1963" t="s">
        <v>2233</v>
      </c>
      <c r="D18" s="1866">
        <v>75000</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50000</v>
      </c>
    </row>
    <row r="19" spans="1:8" x14ac:dyDescent="0.25">
      <c r="A19" s="1961" t="s">
        <v>2229</v>
      </c>
      <c r="B19" s="1962" t="s">
        <v>2231</v>
      </c>
      <c r="C19" s="1963" t="s">
        <v>2234</v>
      </c>
      <c r="D19" s="1866">
        <v>69768</v>
      </c>
      <c r="E19" s="1561">
        <f t="shared" si="2"/>
        <v>25000</v>
      </c>
      <c r="F19" s="1814">
        <f t="shared" si="3"/>
        <v>25000</v>
      </c>
      <c r="G19" s="1815">
        <f t="shared" si="4"/>
        <v>44768</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917981</v>
      </c>
      <c r="E141" s="1562">
        <f t="shared" si="1"/>
        <v>25000</v>
      </c>
      <c r="F141" s="1816">
        <f>SUM(F17:F140)</f>
        <v>75000</v>
      </c>
      <c r="G141" s="1817">
        <f>SUM(G17:G140)</f>
        <v>842981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J46" sqref="J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10" t="s">
        <v>1943</v>
      </c>
      <c r="B11" s="2311"/>
      <c r="C11" s="2311"/>
      <c r="D11" s="231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78833666</v>
      </c>
      <c r="F19" s="1821"/>
      <c r="G19" s="1823">
        <f>'Expenditures 15-22'!K33-SUM('Expenditures 15-22'!G33,'Expenditures 15-22'!I33)+'Expenditures 15-22'!D229</f>
        <v>78833666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9244954</v>
      </c>
      <c r="F21" s="1824"/>
      <c r="G21" s="1827">
        <f>'Expenditures 15-22'!K42-SUM('Expenditures 15-22'!G42,'Expenditures 15-22'!I42)+'Expenditures 15-22'!K120-SUM('Expenditures 15-22'!G120,'Expenditures 15-22'!I120)+'Expenditures 15-22'!K180-SUM('Expenditures 15-22'!G180,'Expenditures 15-22'!I180)+'Expenditures 15-22'!D238</f>
        <v>9244954</v>
      </c>
      <c r="H21" s="988"/>
      <c r="I21" s="162"/>
    </row>
    <row r="22" spans="1:9" s="669" customFormat="1" ht="12" customHeight="1" x14ac:dyDescent="0.2">
      <c r="A22" s="995" t="s">
        <v>585</v>
      </c>
      <c r="B22" s="996"/>
      <c r="C22" s="994">
        <v>2200</v>
      </c>
      <c r="D22" s="1824"/>
      <c r="E22" s="1826">
        <f>'Expenditures 15-22'!K47-SUM('Expenditures 15-22'!G47,'Expenditures 15-22'!I47)+'Expenditures 15-22'!D243</f>
        <v>4241100</v>
      </c>
      <c r="F22" s="1824"/>
      <c r="G22" s="1827">
        <f>'Expenditures 15-22'!K47-SUM('Expenditures 15-22'!G47,'Expenditures 15-22'!I47)+'Expenditures 15-22'!D243</f>
        <v>4241100</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2846510</v>
      </c>
      <c r="F23" s="1824"/>
      <c r="G23" s="1826">
        <f>'Expenditures 15-22'!K53-SUM('Expenditures 15-22'!G53,'Expenditures 15-22'!I53)+'Expenditures 15-22'!D257+'Expenditures 15-22'!K330-SUM('Expenditures 15-22'!G330,'Expenditures 15-22'!I330)</f>
        <v>2846510</v>
      </c>
      <c r="H23" s="988"/>
      <c r="I23" s="162"/>
    </row>
    <row r="24" spans="1:9" s="669" customFormat="1" ht="12" customHeight="1" x14ac:dyDescent="0.2">
      <c r="A24" s="995" t="s">
        <v>587</v>
      </c>
      <c r="B24" s="996"/>
      <c r="C24" s="994">
        <v>2400</v>
      </c>
      <c r="D24" s="1824"/>
      <c r="E24" s="1826">
        <f>'Expenditures 15-22'!K57-SUM('Expenditures 15-22'!G57,'Expenditures 15-22'!I57)+'Expenditures 15-22'!D261</f>
        <v>6936737</v>
      </c>
      <c r="F24" s="1824"/>
      <c r="G24" s="1827">
        <f>'Expenditures 15-22'!K57-SUM('Expenditures 15-22'!G57,'Expenditures 15-22'!I57)+'Expenditures 15-22'!D261</f>
        <v>6936737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388657</v>
      </c>
      <c r="E26" s="1826">
        <f>'Expenditures 15-22'!K122-SUM('Expenditures 15-22'!G122,'Expenditures 15-22'!I122)+E7</f>
        <v>0</v>
      </c>
      <c r="F26" s="1826">
        <f>'Expenditures 15-22'!K59-SUM('Expenditures 15-22'!G59,'Expenditures 15-22'!I59)+'Expenditures 15-22'!D263-E7</f>
        <v>388657</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673645</v>
      </c>
      <c r="E27" s="1826">
        <f>E8</f>
        <v>0</v>
      </c>
      <c r="F27" s="1826">
        <f>'Expenditures 15-22'!K60-SUM('Expenditures 15-22'!G60,'Expenditures 15-22'!I60)+'Expenditures 15-22'!D264-E8</f>
        <v>673645</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14008768</v>
      </c>
      <c r="F28" s="1828">
        <f>'Expenditures 15-22'!K61-SUM('Expenditures 15-22'!G61,'Expenditures 15-22'!I61)+'Expenditures 15-22'!K124-SUM('Expenditures 15-22'!G124,'Expenditures 15-22'!I124)+'Expenditures 15-22'!D266-E9</f>
        <v>14008768</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2490115</v>
      </c>
      <c r="F29" s="1824"/>
      <c r="G29" s="1827">
        <f>'Expenditures 15-22'!K62-SUM('Expenditures 15-22'!G62,'Expenditures 15-22'!I62)+'Expenditures 15-22'!K125-SUM('Expenditures 15-22'!G125,'Expenditures 15-22'!I125)+'Expenditures 15-22'!K182-SUM('Expenditures 15-22'!G182,'Expenditures 15-22'!I182)+'Expenditures 15-22'!D267</f>
        <v>2490115</v>
      </c>
      <c r="H29" s="986"/>
    </row>
    <row r="30" spans="1:9" ht="12" customHeight="1" x14ac:dyDescent="0.2">
      <c r="A30" s="995" t="s">
        <v>102</v>
      </c>
      <c r="B30" s="998"/>
      <c r="C30" s="994">
        <v>2560</v>
      </c>
      <c r="D30" s="1824"/>
      <c r="E30" s="1826">
        <f>'Expenditures 15-22'!K63-SUM('Expenditures 15-22'!G63,'Expenditures 15-22'!I63)+'Expenditures 15-22'!D268-E10</f>
        <v>16194</v>
      </c>
      <c r="F30" s="1824"/>
      <c r="G30" s="1826">
        <f>'Expenditures 15-22'!K63-SUM('Expenditures 15-22'!G63,'Expenditures 15-22'!I63)+'Expenditures 15-22'!D268-E10</f>
        <v>16194</v>
      </c>
    </row>
    <row r="31" spans="1:9" ht="12" customHeight="1" x14ac:dyDescent="0.2">
      <c r="A31" s="995" t="s">
        <v>103</v>
      </c>
      <c r="B31" s="998"/>
      <c r="C31" s="994">
        <v>2570</v>
      </c>
      <c r="D31" s="1826">
        <f>'Expenditures 15-22'!K64-SUM('Expenditures 15-22'!G64,'Expenditures 15-22'!I64)+'Expenditures 15-22'!D269-E12</f>
        <v>1028021</v>
      </c>
      <c r="E31" s="1826">
        <f>E12</f>
        <v>0</v>
      </c>
      <c r="F31" s="1826">
        <f>'Expenditures 15-22'!K64-SUM('Expenditures 15-22'!G64,'Expenditures 15-22'!I64)+'Expenditures 15-22'!D269-E12</f>
        <v>1028021</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176292</v>
      </c>
      <c r="F35" s="1824"/>
      <c r="G35" s="1826">
        <f>'Expenditures 15-22'!K69-SUM('Expenditures 15-22'!G69,'Expenditures 15-22'!I69)+'Expenditures 15-22'!D274</f>
        <v>176292</v>
      </c>
    </row>
    <row r="36" spans="1:7" ht="12" customHeight="1" x14ac:dyDescent="0.2">
      <c r="A36" s="995" t="s">
        <v>423</v>
      </c>
      <c r="B36" s="998"/>
      <c r="C36" s="994">
        <v>2640</v>
      </c>
      <c r="D36" s="1826">
        <f>'Expenditures 15-22'!K70-SUM('Expenditures 15-22'!G70,'Expenditures 15-22'!I70)+'Expenditures 15-22'!D275-E13</f>
        <v>281291</v>
      </c>
      <c r="E36" s="1826">
        <f>E13</f>
        <v>0</v>
      </c>
      <c r="F36" s="1826">
        <f>'Expenditures 15-22'!K70-SUM('Expenditures 15-22'!G70,'Expenditures 15-22'!I70)+'Expenditures 15-22'!D275-E13</f>
        <v>281291</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377</v>
      </c>
      <c r="F38" s="1824"/>
      <c r="G38" s="1826">
        <f>'Expenditures 15-22'!K73-SUM('Expenditures 15-22'!G73,'Expenditures 15-22'!I73)+'Expenditures 15-22'!K128-SUM('Expenditures 15-22'!G128,'Expenditures 15-22'!I128)+'Expenditures 15-22'!K183-SUM('Expenditures 15-22'!G183,'Expenditures 15-22'!I183)+'Expenditures 15-22'!D278</f>
        <v>377</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386152</v>
      </c>
      <c r="F39" s="1824"/>
      <c r="G39" s="1826">
        <f>'Expenditures 15-22'!K75-SUM('Expenditures 15-22'!G75,'Expenditures 15-22'!I75)+'Expenditures 15-22'!K130-SUM('Expenditures 15-22'!G130,'Expenditures 15-22'!I130)+'Expenditures 15-22'!K185-SUM('Expenditures 15-22'!G185,'Expenditures 15-22'!I185)+'Expenditures 15-22'!D280</f>
        <v>386152</v>
      </c>
    </row>
    <row r="40" spans="1:7" ht="12" customHeight="1" x14ac:dyDescent="0.2">
      <c r="A40" s="991" t="s">
        <v>1928</v>
      </c>
      <c r="B40" s="992"/>
      <c r="C40" s="994"/>
      <c r="D40" s="1824"/>
      <c r="E40" s="1828">
        <f>-'Contracts Paid in CY 29'!G141</f>
        <v>-842981</v>
      </c>
      <c r="F40" s="1824"/>
      <c r="G40" s="1828">
        <f>-'Contracts Paid in CY 29'!G141</f>
        <v>-842981</v>
      </c>
    </row>
    <row r="41" spans="1:7" ht="12" customHeight="1" x14ac:dyDescent="0.2">
      <c r="A41" s="999" t="s">
        <v>158</v>
      </c>
      <c r="B41" s="1000"/>
      <c r="C41" s="1001"/>
      <c r="D41" s="1828">
        <f>SUM(D19:D39)</f>
        <v>2371614</v>
      </c>
      <c r="E41" s="1828">
        <f>SUM(E19:E40)</f>
        <v>118337884</v>
      </c>
      <c r="F41" s="1828">
        <f>SUM(F19:F39)</f>
        <v>16380382</v>
      </c>
      <c r="G41" s="1828">
        <f>SUM(G19:G40)</f>
        <v>104329116</v>
      </c>
    </row>
    <row r="42" spans="1:7" x14ac:dyDescent="0.2">
      <c r="A42" s="988"/>
      <c r="B42" s="162"/>
      <c r="C42" s="1002"/>
      <c r="D42" s="2308" t="s">
        <v>543</v>
      </c>
      <c r="E42" s="2309"/>
      <c r="F42" s="1003" t="s">
        <v>544</v>
      </c>
      <c r="G42" s="1004"/>
    </row>
    <row r="43" spans="1:7" ht="12" customHeight="1" x14ac:dyDescent="0.2">
      <c r="A43" s="988"/>
      <c r="B43" s="162"/>
      <c r="C43" s="1002"/>
      <c r="D43" s="1829" t="s">
        <v>493</v>
      </c>
      <c r="E43" s="1830">
        <f>D41</f>
        <v>2371614</v>
      </c>
      <c r="F43" s="1829" t="s">
        <v>495</v>
      </c>
      <c r="G43" s="1830">
        <f>F41</f>
        <v>16380382</v>
      </c>
    </row>
    <row r="44" spans="1:7" ht="12" customHeight="1" x14ac:dyDescent="0.2">
      <c r="A44" s="988"/>
      <c r="B44" s="162"/>
      <c r="C44" s="1002"/>
      <c r="D44" s="1829" t="s">
        <v>494</v>
      </c>
      <c r="E44" s="1830">
        <f>E41</f>
        <v>118337884</v>
      </c>
      <c r="F44" s="1829" t="s">
        <v>494</v>
      </c>
      <c r="G44" s="1830">
        <f>G41</f>
        <v>104329116</v>
      </c>
    </row>
    <row r="45" spans="1:7" ht="12" customHeight="1" x14ac:dyDescent="0.2">
      <c r="A45" s="988"/>
      <c r="B45" s="162"/>
      <c r="C45" s="162"/>
      <c r="D45" s="1831" t="s">
        <v>1063</v>
      </c>
      <c r="E45" s="1832">
        <f>(E43/E44)</f>
        <v>2.0041037745782239E-2</v>
      </c>
      <c r="F45" s="1831" t="s">
        <v>1063</v>
      </c>
      <c r="G45" s="1832">
        <f>(G43/G44)</f>
        <v>0.15700681293992752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J46" sqref="J46"/>
      <selection pane="bottomLeft" activeCell="J46" sqref="J46"/>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7" t="s">
        <v>1446</v>
      </c>
      <c r="B1" s="2327"/>
      <c r="C1" s="2327"/>
      <c r="D1" s="2327"/>
      <c r="E1" s="2327"/>
      <c r="F1" s="2327"/>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8" t="s">
        <v>1627</v>
      </c>
      <c r="B5" s="2329"/>
      <c r="C5" s="2330"/>
      <c r="D5" s="2330"/>
      <c r="E5" s="2330"/>
      <c r="F5" s="2330"/>
    </row>
    <row r="6" spans="1:10" ht="12" customHeight="1" x14ac:dyDescent="0.25">
      <c r="A6" s="1874"/>
      <c r="B6" s="1875"/>
      <c r="C6" s="2331" t="str">
        <f>COVER!A17</f>
        <v>MAINE TOWNSHIP HIGH SCHOOL DISTRICT 207</v>
      </c>
      <c r="D6" s="2331"/>
      <c r="E6" s="2331"/>
      <c r="F6" s="1876"/>
    </row>
    <row r="7" spans="1:10" ht="11.25" customHeight="1" thickBot="1" x14ac:dyDescent="0.3">
      <c r="A7" s="1874"/>
      <c r="B7" s="1875"/>
      <c r="C7" s="2332">
        <f>COVER!A13</f>
        <v>5016207017</v>
      </c>
      <c r="D7" s="2332"/>
      <c r="E7" s="2332"/>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2075</v>
      </c>
      <c r="D19" s="1889" t="s">
        <v>2075</v>
      </c>
      <c r="E19" s="1892"/>
      <c r="F19" s="1891" t="s">
        <v>2151</v>
      </c>
      <c r="H19" s="1902">
        <f t="shared" si="0"/>
        <v>5</v>
      </c>
      <c r="I19" s="1902">
        <f t="shared" si="1"/>
        <v>5</v>
      </c>
      <c r="J19" s="1902">
        <f t="shared" si="2"/>
        <v>0</v>
      </c>
    </row>
    <row r="20" spans="1:12" ht="12" customHeight="1" x14ac:dyDescent="0.2">
      <c r="A20" s="1887" t="s">
        <v>1609</v>
      </c>
      <c r="B20" s="1888"/>
      <c r="C20" s="1889" t="s">
        <v>2075</v>
      </c>
      <c r="D20" s="1889" t="s">
        <v>2075</v>
      </c>
      <c r="E20" s="1892"/>
      <c r="F20" s="1891" t="s">
        <v>2152</v>
      </c>
      <c r="H20" s="1902">
        <f t="shared" si="0"/>
        <v>5</v>
      </c>
      <c r="I20" s="1902">
        <f t="shared" si="1"/>
        <v>5</v>
      </c>
      <c r="J20" s="1902">
        <f t="shared" si="2"/>
        <v>0</v>
      </c>
    </row>
    <row r="21" spans="1:12" ht="12" customHeight="1" x14ac:dyDescent="0.2">
      <c r="A21" s="1887" t="s">
        <v>1610</v>
      </c>
      <c r="B21" s="1888"/>
      <c r="C21" s="1889" t="s">
        <v>2075</v>
      </c>
      <c r="D21" s="1889" t="s">
        <v>2075</v>
      </c>
      <c r="E21" s="1892"/>
      <c r="F21" s="1891" t="s">
        <v>2153</v>
      </c>
      <c r="H21" s="1902">
        <f t="shared" si="0"/>
        <v>5</v>
      </c>
      <c r="I21" s="1902">
        <f t="shared" si="1"/>
        <v>5</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2075</v>
      </c>
      <c r="D25" s="1889" t="s">
        <v>2075</v>
      </c>
      <c r="E25" s="1892"/>
      <c r="F25" s="1891" t="s">
        <v>2154</v>
      </c>
      <c r="H25" s="1902">
        <f t="shared" si="0"/>
        <v>5</v>
      </c>
      <c r="I25" s="1902">
        <f t="shared" si="1"/>
        <v>5</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2075</v>
      </c>
      <c r="D31" s="1889" t="s">
        <v>2075</v>
      </c>
      <c r="E31" s="1892"/>
      <c r="F31" s="1891" t="s">
        <v>2155</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2075</v>
      </c>
      <c r="D33" s="1889" t="s">
        <v>2075</v>
      </c>
      <c r="E33" s="1892"/>
      <c r="F33" s="1891" t="s">
        <v>2156</v>
      </c>
      <c r="H33" s="1902">
        <f t="shared" si="0"/>
        <v>5</v>
      </c>
      <c r="I33" s="1902">
        <f t="shared" si="1"/>
        <v>5</v>
      </c>
      <c r="J33" s="1902">
        <f t="shared" si="2"/>
        <v>0</v>
      </c>
    </row>
    <row r="34" spans="1:11" ht="12" customHeight="1" x14ac:dyDescent="0.25">
      <c r="A34" s="1894"/>
      <c r="B34" s="1894"/>
      <c r="C34" s="1894"/>
      <c r="D34" s="1894"/>
      <c r="E34" s="1894"/>
      <c r="F34" s="1894"/>
      <c r="H34" s="1902">
        <f>SUM(H11:H32)</f>
        <v>25</v>
      </c>
      <c r="I34" s="1902">
        <f>SUM(I11:I32)</f>
        <v>25</v>
      </c>
      <c r="J34" s="1902">
        <f>SUM(J11:J32)</f>
        <v>0</v>
      </c>
      <c r="K34" s="1902">
        <f>SUM(H34:J34)</f>
        <v>50</v>
      </c>
    </row>
    <row r="35" spans="1:11" ht="12" customHeight="1" x14ac:dyDescent="0.2">
      <c r="A35" s="1895" t="s">
        <v>1459</v>
      </c>
      <c r="B35" s="1896"/>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7"/>
      <c r="B39" s="1897"/>
      <c r="C39" s="1897"/>
      <c r="D39" s="1897"/>
      <c r="E39" s="1897"/>
      <c r="F39" s="1897"/>
    </row>
    <row r="40" spans="1:11" s="1894" customFormat="1" ht="12" customHeight="1" x14ac:dyDescent="0.25">
      <c r="A40" s="1898" t="s">
        <v>1458</v>
      </c>
      <c r="B40" s="1899"/>
      <c r="C40" s="2322"/>
      <c r="D40" s="2322"/>
      <c r="E40" s="2322"/>
      <c r="F40" s="2323"/>
      <c r="H40" s="1903"/>
      <c r="I40" s="1903"/>
      <c r="J40" s="1903"/>
      <c r="K40" s="1903"/>
    </row>
    <row r="41" spans="1:11" s="1894" customFormat="1" ht="12" customHeight="1" x14ac:dyDescent="0.25">
      <c r="A41" s="2324"/>
      <c r="B41" s="2325"/>
      <c r="C41" s="2325"/>
      <c r="D41" s="2325"/>
      <c r="E41" s="2325"/>
      <c r="F41" s="2326"/>
      <c r="H41" s="1903"/>
      <c r="I41" s="1903"/>
      <c r="J41" s="1903"/>
      <c r="K41" s="1903"/>
    </row>
    <row r="42" spans="1:11" s="1894" customFormat="1" ht="12" customHeight="1" x14ac:dyDescent="0.25">
      <c r="A42" s="2324"/>
      <c r="B42" s="2325"/>
      <c r="C42" s="2325"/>
      <c r="D42" s="2325"/>
      <c r="E42" s="2325"/>
      <c r="F42" s="2326"/>
      <c r="H42" s="1903"/>
      <c r="I42" s="1903"/>
      <c r="J42" s="1903"/>
      <c r="K42" s="1903"/>
    </row>
    <row r="43" spans="1:11" s="1894" customFormat="1" ht="15" x14ac:dyDescent="0.25">
      <c r="A43" s="2313"/>
      <c r="B43" s="2314"/>
      <c r="C43" s="2314"/>
      <c r="D43" s="2314"/>
      <c r="E43" s="2314"/>
      <c r="F43" s="2315"/>
      <c r="H43" s="1903"/>
      <c r="I43" s="1903"/>
      <c r="J43" s="1903"/>
      <c r="K43" s="1903"/>
    </row>
    <row r="44" spans="1:11" s="1894" customFormat="1" ht="12" hidden="1" customHeight="1" x14ac:dyDescent="0.25">
      <c r="A44" s="2313"/>
      <c r="B44" s="2314"/>
      <c r="C44" s="2314"/>
      <c r="D44" s="2314"/>
      <c r="E44" s="2314"/>
      <c r="F44" s="231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46" sqref="J4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0" t="str">
        <f>COVER!A17</f>
        <v>MAINE TOWNSHIP HIGH SCHOOL DISTRICT 207</v>
      </c>
      <c r="J6" s="2341"/>
      <c r="Q6" s="1685"/>
    </row>
    <row r="7" spans="1:17" x14ac:dyDescent="0.2">
      <c r="A7" s="2342" t="s">
        <v>924</v>
      </c>
      <c r="B7" s="2343"/>
      <c r="C7" s="2343"/>
      <c r="D7" s="2343"/>
      <c r="E7" s="2344"/>
      <c r="F7" s="1018"/>
      <c r="G7" s="1010"/>
      <c r="H7" s="1017" t="s">
        <v>390</v>
      </c>
      <c r="I7" s="2345">
        <f>COVER!A13</f>
        <v>5016207017</v>
      </c>
      <c r="J7" s="2345"/>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1088767</v>
      </c>
      <c r="F12" s="1040"/>
      <c r="G12" s="1833">
        <f t="shared" ref="G12:G18" si="0">SUM(E12:F12)</f>
        <v>1088767</v>
      </c>
      <c r="H12" s="1041">
        <v>1144663</v>
      </c>
      <c r="I12" s="1040"/>
      <c r="J12" s="1833">
        <f t="shared" ref="J12:J18" si="1">SUM(H12:I12)</f>
        <v>1144663</v>
      </c>
    </row>
    <row r="13" spans="1:17" ht="15" customHeight="1" x14ac:dyDescent="0.2">
      <c r="A13" s="1036">
        <v>2</v>
      </c>
      <c r="B13" s="1037" t="s">
        <v>44</v>
      </c>
      <c r="C13" s="1038"/>
      <c r="D13" s="1039">
        <v>2330</v>
      </c>
      <c r="E13" s="1833">
        <f>'Expenditures 15-22'!K51</f>
        <v>585812</v>
      </c>
      <c r="F13" s="1040"/>
      <c r="G13" s="1833">
        <f t="shared" si="0"/>
        <v>585812</v>
      </c>
      <c r="H13" s="1041">
        <v>646045</v>
      </c>
      <c r="I13" s="1040"/>
      <c r="J13" s="1833">
        <f t="shared" si="1"/>
        <v>646045</v>
      </c>
    </row>
    <row r="14" spans="1:17" ht="15" customHeight="1" x14ac:dyDescent="0.2">
      <c r="A14" s="1036">
        <v>3</v>
      </c>
      <c r="B14" s="1037" t="s">
        <v>45</v>
      </c>
      <c r="C14" s="1038"/>
      <c r="D14" s="1042">
        <v>2490</v>
      </c>
      <c r="E14" s="1833">
        <f>'Expenditures 15-22'!K56</f>
        <v>3212978</v>
      </c>
      <c r="F14" s="1040"/>
      <c r="G14" s="1833">
        <f t="shared" si="0"/>
        <v>3212978</v>
      </c>
      <c r="H14" s="1041">
        <v>3441845</v>
      </c>
      <c r="I14" s="1040"/>
      <c r="J14" s="1833">
        <f t="shared" si="1"/>
        <v>3441845</v>
      </c>
    </row>
    <row r="15" spans="1:17" ht="15" customHeight="1" x14ac:dyDescent="0.2">
      <c r="A15" s="1036">
        <v>4</v>
      </c>
      <c r="B15" s="1037" t="s">
        <v>1128</v>
      </c>
      <c r="C15" s="1038"/>
      <c r="D15" s="1039">
        <v>2510</v>
      </c>
      <c r="E15" s="1833">
        <f>'Expenditures 15-22'!K59</f>
        <v>373119</v>
      </c>
      <c r="F15" s="1833">
        <f>'Expenditures 15-22'!K122</f>
        <v>0</v>
      </c>
      <c r="G15" s="1833">
        <f t="shared" si="0"/>
        <v>373119</v>
      </c>
      <c r="H15" s="1041">
        <v>377943</v>
      </c>
      <c r="I15" s="1041">
        <v>0</v>
      </c>
      <c r="J15" s="1833">
        <f t="shared" si="1"/>
        <v>377943</v>
      </c>
    </row>
    <row r="16" spans="1:17" ht="15" customHeight="1" x14ac:dyDescent="0.2">
      <c r="A16" s="1036">
        <v>5</v>
      </c>
      <c r="B16" s="1037" t="s">
        <v>103</v>
      </c>
      <c r="C16" s="1038"/>
      <c r="D16" s="1039">
        <v>2570</v>
      </c>
      <c r="E16" s="1833">
        <f>'Expenditures 15-22'!K64</f>
        <v>1001044</v>
      </c>
      <c r="F16" s="1040"/>
      <c r="G16" s="1833">
        <f t="shared" si="0"/>
        <v>1001044</v>
      </c>
      <c r="H16" s="1041">
        <v>947145</v>
      </c>
      <c r="I16" s="1040"/>
      <c r="J16" s="1833">
        <f t="shared" si="1"/>
        <v>947145</v>
      </c>
    </row>
    <row r="17" spans="1:10" ht="15" customHeight="1" x14ac:dyDescent="0.2">
      <c r="A17" s="1036">
        <v>6</v>
      </c>
      <c r="B17" s="1037" t="s">
        <v>1120</v>
      </c>
      <c r="C17" s="1038"/>
      <c r="D17" s="1039">
        <v>2610</v>
      </c>
      <c r="E17" s="1833">
        <f>'Expenditures 15-22'!K67</f>
        <v>0</v>
      </c>
      <c r="F17" s="1040"/>
      <c r="G17" s="1833">
        <f t="shared" si="0"/>
        <v>0</v>
      </c>
      <c r="H17" s="1041">
        <v>0</v>
      </c>
      <c r="I17" s="1040"/>
      <c r="J17" s="1833">
        <f t="shared" si="1"/>
        <v>0</v>
      </c>
    </row>
    <row r="18" spans="1:10" ht="22.5" customHeight="1" x14ac:dyDescent="0.2">
      <c r="A18" s="1043">
        <v>7</v>
      </c>
      <c r="B18" s="2349" t="s">
        <v>7</v>
      </c>
      <c r="C18" s="2350"/>
      <c r="D18" s="235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6261720</v>
      </c>
      <c r="F19" s="1835">
        <f t="shared" si="2"/>
        <v>0</v>
      </c>
      <c r="G19" s="1835">
        <f t="shared" si="2"/>
        <v>6261720</v>
      </c>
      <c r="H19" s="1835">
        <f t="shared" si="2"/>
        <v>6557641</v>
      </c>
      <c r="I19" s="1835">
        <f t="shared" si="2"/>
        <v>0</v>
      </c>
      <c r="J19" s="1835">
        <f t="shared" si="2"/>
        <v>6557641</v>
      </c>
    </row>
    <row r="20" spans="1:10" ht="13.5" thickTop="1" x14ac:dyDescent="0.2">
      <c r="A20" s="1036">
        <v>9</v>
      </c>
      <c r="B20" s="2352" t="s">
        <v>1703</v>
      </c>
      <c r="C20" s="2352"/>
      <c r="D20" s="2353"/>
      <c r="E20" s="1047"/>
      <c r="F20" s="1047"/>
      <c r="G20" s="1047"/>
      <c r="H20" s="1047"/>
      <c r="I20" s="1047"/>
      <c r="J20" s="1836">
        <f>IF(AND(G19&gt;0,J19&gt;0),(((J19-G19)/G19)),"Enter Budget Data")</f>
        <v>4.7258740409983201E-2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1942</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74"/>
  <sheetViews>
    <sheetView showGridLines="0" topLeftCell="A40" zoomScale="110" zoomScaleNormal="110" workbookViewId="0">
      <selection activeCell="J46" sqref="J46"/>
    </sheetView>
  </sheetViews>
  <sheetFormatPr defaultColWidth="9.140625" defaultRowHeight="12.75" x14ac:dyDescent="0.2"/>
  <cols>
    <col min="1" max="1" width="5.5703125" style="329" customWidth="1"/>
    <col min="2" max="2" width="3" style="329" customWidth="1"/>
    <col min="3" max="3" width="109.140625" style="329" customWidth="1"/>
    <col min="4" max="4" width="3.140625" style="329" customWidth="1"/>
    <col min="5" max="16384" width="9.140625" style="329"/>
  </cols>
  <sheetData>
    <row r="2" spans="1:3" x14ac:dyDescent="0.2">
      <c r="B2" s="389" t="s">
        <v>276</v>
      </c>
    </row>
    <row r="3" spans="1:3" x14ac:dyDescent="0.2">
      <c r="B3" s="329" t="s">
        <v>277</v>
      </c>
    </row>
    <row r="5" spans="1:3" x14ac:dyDescent="0.2">
      <c r="A5" s="329" t="s">
        <v>2222</v>
      </c>
    </row>
    <row r="6" spans="1:3" x14ac:dyDescent="0.2">
      <c r="B6" s="329" t="s">
        <v>2223</v>
      </c>
    </row>
    <row r="7" spans="1:3" x14ac:dyDescent="0.2">
      <c r="B7" s="329" t="s">
        <v>2224</v>
      </c>
    </row>
    <row r="8" spans="1:3" x14ac:dyDescent="0.2">
      <c r="A8" s="329" t="s">
        <v>2120</v>
      </c>
      <c r="B8" s="1069"/>
    </row>
    <row r="9" spans="1:3" x14ac:dyDescent="0.2">
      <c r="A9" s="675"/>
      <c r="B9" s="1956" t="s">
        <v>2121</v>
      </c>
      <c r="C9" s="675"/>
    </row>
    <row r="10" spans="1:3" x14ac:dyDescent="0.2">
      <c r="A10" s="675"/>
      <c r="B10" s="1956"/>
      <c r="C10" s="675" t="s">
        <v>2149</v>
      </c>
    </row>
    <row r="11" spans="1:3" x14ac:dyDescent="0.2">
      <c r="A11" s="675"/>
      <c r="B11" s="1956" t="s">
        <v>2122</v>
      </c>
      <c r="C11" s="675"/>
    </row>
    <row r="12" spans="1:3" x14ac:dyDescent="0.2">
      <c r="A12" s="675"/>
      <c r="B12" s="1956"/>
      <c r="C12" s="675" t="s">
        <v>2148</v>
      </c>
    </row>
    <row r="13" spans="1:3" x14ac:dyDescent="0.2">
      <c r="A13" s="675"/>
      <c r="B13" s="1956" t="s">
        <v>2123</v>
      </c>
      <c r="C13" s="675"/>
    </row>
    <row r="14" spans="1:3" x14ac:dyDescent="0.2">
      <c r="A14" s="675"/>
      <c r="B14" s="1956"/>
      <c r="C14" s="675" t="s">
        <v>2138</v>
      </c>
    </row>
    <row r="15" spans="1:3" x14ac:dyDescent="0.2">
      <c r="A15" s="675"/>
      <c r="B15" s="1956" t="s">
        <v>2124</v>
      </c>
      <c r="C15" s="675"/>
    </row>
    <row r="16" spans="1:3" x14ac:dyDescent="0.2">
      <c r="A16" s="675"/>
      <c r="B16" s="1956"/>
      <c r="C16" s="675" t="s">
        <v>2150</v>
      </c>
    </row>
    <row r="17" spans="2:3" x14ac:dyDescent="0.2">
      <c r="B17" s="1956" t="s">
        <v>2125</v>
      </c>
      <c r="C17" s="675"/>
    </row>
    <row r="18" spans="2:3" x14ac:dyDescent="0.2">
      <c r="B18" s="1956"/>
      <c r="C18" s="675" t="s">
        <v>2138</v>
      </c>
    </row>
    <row r="19" spans="2:3" x14ac:dyDescent="0.2">
      <c r="B19" s="1956" t="s">
        <v>2126</v>
      </c>
      <c r="C19" s="675"/>
    </row>
    <row r="20" spans="2:3" x14ac:dyDescent="0.2">
      <c r="B20" s="1069"/>
      <c r="C20" s="329" t="s">
        <v>2139</v>
      </c>
    </row>
    <row r="21" spans="2:3" x14ac:dyDescent="0.2">
      <c r="B21" s="1069" t="s">
        <v>2127</v>
      </c>
    </row>
    <row r="22" spans="2:3" x14ac:dyDescent="0.2">
      <c r="B22" s="1069"/>
      <c r="C22" s="329" t="s">
        <v>2140</v>
      </c>
    </row>
    <row r="23" spans="2:3" x14ac:dyDescent="0.2">
      <c r="B23" s="1069" t="s">
        <v>2131</v>
      </c>
    </row>
    <row r="24" spans="2:3" x14ac:dyDescent="0.2">
      <c r="B24" s="1069"/>
      <c r="C24" s="329" t="s">
        <v>2141</v>
      </c>
    </row>
    <row r="25" spans="2:3" x14ac:dyDescent="0.2">
      <c r="B25" s="1069" t="s">
        <v>2132</v>
      </c>
    </row>
    <row r="26" spans="2:3" x14ac:dyDescent="0.2">
      <c r="B26" s="1069"/>
      <c r="C26" s="329" t="s">
        <v>2142</v>
      </c>
    </row>
    <row r="27" spans="2:3" x14ac:dyDescent="0.2">
      <c r="B27" s="1069" t="s">
        <v>2128</v>
      </c>
    </row>
    <row r="28" spans="2:3" x14ac:dyDescent="0.2">
      <c r="B28" s="1069"/>
      <c r="C28" s="329" t="s">
        <v>2143</v>
      </c>
    </row>
    <row r="29" spans="2:3" x14ac:dyDescent="0.2">
      <c r="B29" s="1069" t="s">
        <v>2129</v>
      </c>
    </row>
    <row r="30" spans="2:3" x14ac:dyDescent="0.2">
      <c r="B30" s="1069"/>
      <c r="C30" s="329" t="s">
        <v>2144</v>
      </c>
    </row>
    <row r="31" spans="2:3" x14ac:dyDescent="0.2">
      <c r="B31" s="1069" t="s">
        <v>2130</v>
      </c>
    </row>
    <row r="32" spans="2:3" x14ac:dyDescent="0.2">
      <c r="B32" s="1069"/>
      <c r="C32" s="329" t="s">
        <v>2145</v>
      </c>
    </row>
    <row r="33" spans="1:3" x14ac:dyDescent="0.2">
      <c r="B33" s="1069" t="s">
        <v>2133</v>
      </c>
    </row>
    <row r="34" spans="1:3" x14ac:dyDescent="0.2">
      <c r="B34" s="1069"/>
      <c r="C34" s="329" t="s">
        <v>2146</v>
      </c>
    </row>
    <row r="35" spans="1:3" x14ac:dyDescent="0.2">
      <c r="B35" s="1069"/>
    </row>
    <row r="36" spans="1:3" x14ac:dyDescent="0.2">
      <c r="A36" s="329" t="s">
        <v>6</v>
      </c>
      <c r="B36" s="1069"/>
    </row>
    <row r="37" spans="1:3" x14ac:dyDescent="0.2">
      <c r="B37" s="1069" t="s">
        <v>2124</v>
      </c>
    </row>
    <row r="38" spans="1:3" x14ac:dyDescent="0.2">
      <c r="B38" s="1069"/>
      <c r="C38" s="329" t="s">
        <v>2138</v>
      </c>
    </row>
    <row r="39" spans="1:3" x14ac:dyDescent="0.2">
      <c r="B39" s="1069" t="s">
        <v>2125</v>
      </c>
    </row>
    <row r="40" spans="1:3" x14ac:dyDescent="0.2">
      <c r="B40" s="1069"/>
      <c r="C40" s="329" t="s">
        <v>2138</v>
      </c>
    </row>
    <row r="41" spans="1:3" x14ac:dyDescent="0.2">
      <c r="B41" s="1069"/>
    </row>
    <row r="42" spans="1:3" x14ac:dyDescent="0.2">
      <c r="A42" s="329" t="s">
        <v>2134</v>
      </c>
      <c r="B42" s="1069"/>
    </row>
    <row r="43" spans="1:3" x14ac:dyDescent="0.2">
      <c r="B43" s="1956" t="s">
        <v>2135</v>
      </c>
      <c r="C43" s="675"/>
    </row>
    <row r="44" spans="1:3" x14ac:dyDescent="0.2">
      <c r="B44" s="1069"/>
      <c r="C44" s="329" t="s">
        <v>2147</v>
      </c>
    </row>
    <row r="45" spans="1:3" x14ac:dyDescent="0.2">
      <c r="B45" s="1069"/>
    </row>
    <row r="46" spans="1:3" x14ac:dyDescent="0.2">
      <c r="A46" s="329" t="s">
        <v>2136</v>
      </c>
      <c r="B46" s="1069"/>
    </row>
    <row r="47" spans="1:3" x14ac:dyDescent="0.2">
      <c r="B47" s="1069" t="s">
        <v>2132</v>
      </c>
    </row>
    <row r="48" spans="1:3" x14ac:dyDescent="0.2">
      <c r="B48" s="1069"/>
      <c r="C48" s="329" t="s">
        <v>2137</v>
      </c>
    </row>
    <row r="49" spans="1:3" x14ac:dyDescent="0.2">
      <c r="B49" s="1069" t="s">
        <v>2129</v>
      </c>
    </row>
    <row r="50" spans="1:3" x14ac:dyDescent="0.2">
      <c r="B50" s="1069"/>
      <c r="C50" s="329" t="s">
        <v>2137</v>
      </c>
    </row>
    <row r="51" spans="1:3" x14ac:dyDescent="0.2">
      <c r="B51" s="1069"/>
    </row>
    <row r="52" spans="1:3" x14ac:dyDescent="0.2">
      <c r="A52" s="329" t="s">
        <v>2210</v>
      </c>
      <c r="B52" s="1069"/>
    </row>
    <row r="53" spans="1:3" x14ac:dyDescent="0.2">
      <c r="B53" s="1069" t="s">
        <v>2125</v>
      </c>
    </row>
    <row r="54" spans="1:3" x14ac:dyDescent="0.2">
      <c r="B54" s="1069"/>
      <c r="C54" s="329" t="s">
        <v>2213</v>
      </c>
    </row>
    <row r="55" spans="1:3" x14ac:dyDescent="0.2">
      <c r="B55" s="1069"/>
    </row>
    <row r="56" spans="1:3" x14ac:dyDescent="0.2">
      <c r="A56" s="329" t="s">
        <v>2211</v>
      </c>
      <c r="B56" s="1069"/>
    </row>
    <row r="57" spans="1:3" x14ac:dyDescent="0.2">
      <c r="B57" s="1069" t="s">
        <v>2212</v>
      </c>
    </row>
    <row r="58" spans="1:3" x14ac:dyDescent="0.2">
      <c r="B58" s="1069"/>
    </row>
    <row r="59" spans="1:3" x14ac:dyDescent="0.2">
      <c r="B59" s="1069"/>
    </row>
    <row r="60" spans="1:3" x14ac:dyDescent="0.2">
      <c r="B60" s="1069"/>
    </row>
    <row r="61" spans="1:3" x14ac:dyDescent="0.2">
      <c r="B61" s="1069"/>
    </row>
    <row r="62" spans="1:3" x14ac:dyDescent="0.2">
      <c r="B62" s="1069"/>
    </row>
    <row r="63" spans="1:3" x14ac:dyDescent="0.2">
      <c r="B63" s="1069"/>
    </row>
    <row r="64" spans="1:3" x14ac:dyDescent="0.2">
      <c r="B64" s="1069"/>
    </row>
    <row r="65" spans="2:3" x14ac:dyDescent="0.2">
      <c r="B65" s="1069"/>
    </row>
    <row r="66" spans="2:3" x14ac:dyDescent="0.2">
      <c r="B66" s="1069"/>
    </row>
    <row r="67" spans="2:3" x14ac:dyDescent="0.2">
      <c r="B67" s="1069"/>
    </row>
    <row r="68" spans="2:3" x14ac:dyDescent="0.2">
      <c r="B68" s="1069"/>
    </row>
    <row r="69" spans="2:3" x14ac:dyDescent="0.2">
      <c r="B69" s="1069"/>
    </row>
    <row r="70" spans="2:3" x14ac:dyDescent="0.2">
      <c r="B70" s="1069"/>
    </row>
    <row r="71" spans="2:3" x14ac:dyDescent="0.2">
      <c r="B71" s="1069"/>
    </row>
    <row r="72" spans="2:3" x14ac:dyDescent="0.2">
      <c r="B72" s="1069"/>
    </row>
    <row r="73" spans="2:3" x14ac:dyDescent="0.2">
      <c r="B73" s="1069"/>
      <c r="C73" s="258" t="str">
        <f>COVER!A17</f>
        <v>MAINE TOWNSHIP HIGH SCHOOL DISTRICT 207</v>
      </c>
    </row>
    <row r="74" spans="2:3" x14ac:dyDescent="0.2">
      <c r="C74" s="1070">
        <f>COVER!A13</f>
        <v>5016207017</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7" zoomScale="110" zoomScaleNormal="110" workbookViewId="0">
      <selection activeCell="J46" sqref="J4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8" t="s">
        <v>1709</v>
      </c>
    </row>
    <row r="23" spans="1:5" x14ac:dyDescent="0.2">
      <c r="A23" s="168"/>
      <c r="B23" s="162" t="s">
        <v>1967</v>
      </c>
      <c r="D23" s="167" t="s">
        <v>658</v>
      </c>
      <c r="E23" s="1858"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46" sqref="J4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46" sqref="J4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9" t="s">
        <v>1784</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4"/>
      <c r="H2" s="1074"/>
    </row>
    <row r="3" spans="1:8" ht="57" customHeight="1" x14ac:dyDescent="0.2">
      <c r="A3" s="2373" t="s">
        <v>1786</v>
      </c>
      <c r="B3" s="2374"/>
      <c r="C3" s="2374"/>
      <c r="D3" s="2374"/>
      <c r="E3" s="2374"/>
      <c r="F3" s="2375"/>
      <c r="G3" s="1074"/>
      <c r="H3" s="1074"/>
    </row>
    <row r="4" spans="1:8" ht="14.25" customHeight="1" x14ac:dyDescent="0.2">
      <c r="A4" s="2379" t="s">
        <v>2054</v>
      </c>
      <c r="B4" s="2380"/>
      <c r="C4" s="2380"/>
      <c r="D4" s="2380"/>
      <c r="E4" s="2380"/>
      <c r="F4" s="2381"/>
      <c r="G4" s="1074"/>
      <c r="H4" s="1074"/>
    </row>
    <row r="5" spans="1:8" ht="14.25" customHeight="1" x14ac:dyDescent="0.2">
      <c r="A5" s="2382" t="s">
        <v>2055</v>
      </c>
      <c r="B5" s="2383"/>
      <c r="C5" s="2383"/>
      <c r="D5" s="2383"/>
      <c r="E5" s="2383"/>
      <c r="F5" s="2384"/>
      <c r="G5" s="1074"/>
      <c r="H5" s="1074"/>
    </row>
    <row r="6" spans="1:8" s="1075" customFormat="1" ht="41.25" customHeight="1" x14ac:dyDescent="0.2">
      <c r="A6" s="2376" t="s">
        <v>1792</v>
      </c>
      <c r="B6" s="2377"/>
      <c r="C6" s="2377"/>
      <c r="D6" s="2377"/>
      <c r="E6" s="2377"/>
      <c r="F6" s="2378"/>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109634862</v>
      </c>
      <c r="C8" s="1837">
        <f>'Acct Summary 7-8'!D8</f>
        <v>18016536</v>
      </c>
      <c r="D8" s="1837">
        <f>'Acct Summary 7-8'!F8</f>
        <v>2566439</v>
      </c>
      <c r="E8" s="1837">
        <f>'Acct Summary 7-8'!I8</f>
        <v>8768</v>
      </c>
      <c r="F8" s="1837">
        <f>SUM(B8:E8)</f>
        <v>130226605</v>
      </c>
    </row>
    <row r="9" spans="1:8" s="1079" customFormat="1" ht="14.25" customHeight="1" thickBot="1" x14ac:dyDescent="0.25">
      <c r="A9" s="1078" t="s">
        <v>1436</v>
      </c>
      <c r="B9" s="1838">
        <f>'Acct Summary 7-8'!C17</f>
        <v>103585041</v>
      </c>
      <c r="C9" s="1838">
        <f>'Acct Summary 7-8'!D17</f>
        <v>15786756</v>
      </c>
      <c r="D9" s="1838">
        <f>'Acct Summary 7-8'!F17</f>
        <v>2486982</v>
      </c>
      <c r="E9" s="1837"/>
      <c r="F9" s="1837">
        <f>SUM(B9:E9)</f>
        <v>121858779</v>
      </c>
    </row>
    <row r="10" spans="1:8" s="1079" customFormat="1" ht="14.25" thickTop="1" thickBot="1" x14ac:dyDescent="0.25">
      <c r="A10" s="1080" t="s">
        <v>1437</v>
      </c>
      <c r="B10" s="1839">
        <f>(B8-B9)</f>
        <v>6049821</v>
      </c>
      <c r="C10" s="1839">
        <f>(C8-C9)</f>
        <v>2229780</v>
      </c>
      <c r="D10" s="1839">
        <f>(D8-D9)</f>
        <v>79457</v>
      </c>
      <c r="E10" s="1838">
        <f>(E8-E9)</f>
        <v>8768</v>
      </c>
      <c r="F10" s="1840">
        <f>SUM(F8-F9)</f>
        <v>8367826</v>
      </c>
    </row>
    <row r="11" spans="1:8" s="1079" customFormat="1" ht="14.25" thickTop="1" thickBot="1" x14ac:dyDescent="0.25">
      <c r="A11" s="1081" t="s">
        <v>1785</v>
      </c>
      <c r="B11" s="1841">
        <f>'Acct Summary 7-8'!C81</f>
        <v>85596660</v>
      </c>
      <c r="C11" s="1841">
        <f>'Acct Summary 7-8'!D81</f>
        <v>11075225</v>
      </c>
      <c r="D11" s="1841">
        <f>'Acct Summary 7-8'!F81</f>
        <v>2853886</v>
      </c>
      <c r="E11" s="1841">
        <f>'Acct Summary 7-8'!I81</f>
        <v>28334431</v>
      </c>
      <c r="F11" s="1842">
        <f>SUM(B11:E11)</f>
        <v>127860202</v>
      </c>
    </row>
    <row r="12" spans="1:8" ht="16.5" customHeight="1" thickTop="1" x14ac:dyDescent="0.2">
      <c r="A12" s="1082"/>
      <c r="B12" s="1083"/>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4"/>
      <c r="B13" s="1085"/>
      <c r="C13" s="2364"/>
      <c r="D13" s="2365"/>
      <c r="E13" s="2365"/>
      <c r="F13" s="2366"/>
      <c r="H13" s="1074"/>
    </row>
    <row r="14" spans="1:8" ht="19.5" customHeight="1" x14ac:dyDescent="0.2">
      <c r="A14" s="1084"/>
      <c r="B14" s="1085"/>
      <c r="C14" s="2364"/>
      <c r="D14" s="2365"/>
      <c r="E14" s="2365"/>
      <c r="F14" s="2366"/>
      <c r="H14" s="1074"/>
    </row>
    <row r="15" spans="1:8" ht="17.25" customHeight="1" x14ac:dyDescent="0.2">
      <c r="A15" s="1084"/>
      <c r="B15" s="1085"/>
      <c r="C15" s="2367"/>
      <c r="D15" s="2368"/>
      <c r="E15" s="2368"/>
      <c r="F15" s="2369"/>
      <c r="H15" s="1074"/>
    </row>
    <row r="16" spans="1:8" s="310" customFormat="1" ht="51.75" hidden="1" customHeight="1" x14ac:dyDescent="0.2">
      <c r="A16" s="2363" t="s">
        <v>1787</v>
      </c>
      <c r="B16" s="2363"/>
      <c r="C16" s="2363"/>
      <c r="D16" s="2363"/>
      <c r="E16" s="2363"/>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8" colorId="8" zoomScale="110" zoomScaleNormal="110" workbookViewId="0">
      <selection activeCell="D51" sqref="D5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5" t="s">
        <v>686</v>
      </c>
      <c r="B3" s="2386"/>
      <c r="C3" s="2386"/>
      <c r="D3" s="2387"/>
    </row>
    <row r="4" spans="1:4" x14ac:dyDescent="0.2">
      <c r="A4" s="1152" t="s">
        <v>1793</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6" t="s">
        <v>1584</v>
      </c>
      <c r="D7" s="2397"/>
    </row>
    <row r="8" spans="1:4" s="669" customFormat="1" ht="12.75" x14ac:dyDescent="0.2">
      <c r="A8" s="1138"/>
      <c r="B8" s="1093"/>
      <c r="C8" s="1096" t="s">
        <v>1583</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0" t="s">
        <v>332</v>
      </c>
      <c r="D21" s="2401"/>
    </row>
    <row r="22" spans="1:10" ht="12.75" x14ac:dyDescent="0.2">
      <c r="A22" s="1139"/>
      <c r="B22" s="1140">
        <v>2</v>
      </c>
      <c r="C22" s="2398" t="s">
        <v>1605</v>
      </c>
      <c r="D22" s="2399"/>
    </row>
    <row r="23" spans="1:10" ht="12.2" customHeight="1" x14ac:dyDescent="0.2">
      <c r="A23" s="1139"/>
      <c r="B23" s="1140"/>
      <c r="C23" s="1141" t="s">
        <v>1011</v>
      </c>
      <c r="D23" s="1142" t="str">
        <f>IF(COVER!O11="X","CASH",IF(COVER!O12="X","ACCRUAL ","PLEASE CHECK AN ACCOUNTING BASIS."))</f>
        <v xml:space="preserve">ACCRUAL </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2" t="s">
        <v>557</v>
      </c>
      <c r="D43" s="2403"/>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4" t="s">
        <v>817</v>
      </c>
      <c r="D56" s="2395"/>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OK</v>
      </c>
    </row>
    <row r="70" spans="1:4" x14ac:dyDescent="0.2">
      <c r="A70" s="1098"/>
      <c r="B70" s="1120">
        <f>B66+1</f>
        <v>9</v>
      </c>
      <c r="C70" s="2394" t="s">
        <v>1797</v>
      </c>
      <c r="D70" s="2395"/>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5016207017</v>
      </c>
    </row>
    <row r="3" spans="1:2" x14ac:dyDescent="0.2">
      <c r="A3" t="s">
        <v>1013</v>
      </c>
      <c r="B3" s="138" t="str">
        <f>COVER!A15</f>
        <v>COOK</v>
      </c>
    </row>
    <row r="4" spans="1:2" x14ac:dyDescent="0.2">
      <c r="A4" t="s">
        <v>1064</v>
      </c>
      <c r="B4" s="138" t="str">
        <f>COVER!A17</f>
        <v>MAINE TOWNSHIP HIGH SCHOOL DISTRICT 207</v>
      </c>
    </row>
    <row r="5" spans="1:2" x14ac:dyDescent="0.2">
      <c r="A5" t="s">
        <v>728</v>
      </c>
      <c r="B5" s="138" t="str">
        <f>COVER!A38</f>
        <v>DR. KENNETH WALLACE</v>
      </c>
    </row>
    <row r="6" spans="1:2" x14ac:dyDescent="0.2">
      <c r="A6" t="s">
        <v>733</v>
      </c>
      <c r="B6" s="138" t="str">
        <f>COVER!P35</f>
        <v>MAINE TOWNSHIP</v>
      </c>
    </row>
    <row r="7" spans="1:2" x14ac:dyDescent="0.2">
      <c r="A7" t="s">
        <v>729</v>
      </c>
      <c r="B7" s="138" t="str">
        <f>COVER!I38</f>
        <v>THOMAS AHLBECK</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ANTHONY MICHELOTTI</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814-344-1300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43672312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136662932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41630131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51066272</v>
      </c>
      <c r="C91" s="2" t="s">
        <v>594</v>
      </c>
      <c r="D91" s="2" t="str">
        <f t="shared" si="0"/>
        <v>Error?</v>
      </c>
    </row>
    <row r="92" spans="1:4" x14ac:dyDescent="0.2">
      <c r="A92" s="5">
        <v>31</v>
      </c>
      <c r="B92" s="138">
        <f>'Assets-Liab 5-6'!C39</f>
        <v>85596660</v>
      </c>
      <c r="D92" s="2" t="str">
        <f t="shared" si="0"/>
        <v>Error?</v>
      </c>
    </row>
    <row r="93" spans="1:4" x14ac:dyDescent="0.2">
      <c r="A93" s="5">
        <v>32</v>
      </c>
      <c r="B93" s="138">
        <f>'Assets-Liab 5-6'!C41</f>
        <v>136662932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8739385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20054953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8123023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8979728</v>
      </c>
      <c r="C122" s="2" t="s">
        <v>594</v>
      </c>
      <c r="D122" s="2" t="str">
        <f t="shared" si="0"/>
        <v>Error?</v>
      </c>
    </row>
    <row r="123" spans="1:4" x14ac:dyDescent="0.2">
      <c r="A123" s="5">
        <v>62</v>
      </c>
      <c r="B123" s="138">
        <f>'Assets-Liab 5-6'!D39</f>
        <v>11075225</v>
      </c>
      <c r="D123" s="2" t="str">
        <f t="shared" si="0"/>
        <v>Error?</v>
      </c>
    </row>
    <row r="124" spans="1:4" x14ac:dyDescent="0.2">
      <c r="A124" s="5">
        <v>63</v>
      </c>
      <c r="B124" s="138">
        <f>'Assets-Liab 5-6'!D41</f>
        <v>20054953</v>
      </c>
      <c r="C124" s="2" t="s">
        <v>594</v>
      </c>
      <c r="D124" s="2" t="str">
        <f t="shared" si="0"/>
        <v>Error?</v>
      </c>
    </row>
    <row r="125" spans="1:4" x14ac:dyDescent="0.2">
      <c r="A125" s="10">
        <v>64</v>
      </c>
      <c r="D125" s="2" t="str">
        <f t="shared" si="0"/>
        <v>OK</v>
      </c>
    </row>
    <row r="126" spans="1:4" x14ac:dyDescent="0.2">
      <c r="A126" s="5">
        <v>65</v>
      </c>
      <c r="B126" s="138">
        <f>'Assets-Liab 5-6'!E6</f>
        <v>771409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865975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716100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716100</v>
      </c>
      <c r="C139" s="2" t="s">
        <v>594</v>
      </c>
      <c r="D139" s="2" t="str">
        <f t="shared" si="1"/>
        <v>Error?</v>
      </c>
    </row>
    <row r="140" spans="1:4" x14ac:dyDescent="0.2">
      <c r="A140" s="5">
        <v>79</v>
      </c>
      <c r="B140" s="138">
        <f>'Assets-Liab 5-6'!E39</f>
        <v>149875</v>
      </c>
      <c r="D140" s="2" t="str">
        <f t="shared" si="1"/>
        <v>Error?</v>
      </c>
    </row>
    <row r="141" spans="1:4" x14ac:dyDescent="0.2">
      <c r="A141" s="5">
        <v>80</v>
      </c>
      <c r="B141" s="138">
        <f>'Assets-Liab 5-6'!E41</f>
        <v>865975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404249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3591230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715168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737344</v>
      </c>
      <c r="C169" s="2" t="s">
        <v>594</v>
      </c>
      <c r="D169" s="2" t="str">
        <f t="shared" si="1"/>
        <v>Error?</v>
      </c>
    </row>
    <row r="170" spans="1:4" x14ac:dyDescent="0.2">
      <c r="A170" s="5">
        <v>109</v>
      </c>
      <c r="B170" s="138">
        <f>'Assets-Liab 5-6'!F39</f>
        <v>2853886</v>
      </c>
      <c r="D170" s="2" t="str">
        <f t="shared" si="1"/>
        <v>Error?</v>
      </c>
    </row>
    <row r="171" spans="1:4" x14ac:dyDescent="0.2">
      <c r="A171" s="5">
        <v>110</v>
      </c>
      <c r="B171" s="138">
        <f>'Assets-Liab 5-6'!F41</f>
        <v>3591230</v>
      </c>
      <c r="C171" s="2" t="s">
        <v>594</v>
      </c>
      <c r="D171" s="2" t="str">
        <f t="shared" si="1"/>
        <v>Error?</v>
      </c>
    </row>
    <row r="172" spans="1:4" x14ac:dyDescent="0.2">
      <c r="A172" s="10">
        <v>111</v>
      </c>
      <c r="D172" s="2" t="str">
        <f t="shared" si="1"/>
        <v>OK</v>
      </c>
    </row>
    <row r="173" spans="1:4" x14ac:dyDescent="0.2">
      <c r="A173" s="5">
        <v>112</v>
      </c>
      <c r="B173" s="138">
        <f>'Assets-Liab 5-6'!G6</f>
        <v>1784505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5696303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1665045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1844028</v>
      </c>
      <c r="C188" s="2" t="s">
        <v>594</v>
      </c>
      <c r="D188" s="2" t="str">
        <f t="shared" si="1"/>
        <v>Error?</v>
      </c>
    </row>
    <row r="189" spans="1:4" x14ac:dyDescent="0.2">
      <c r="A189" s="5">
        <v>128</v>
      </c>
      <c r="B189" s="138">
        <f>'Assets-Liab 5-6'!G39</f>
        <v>-917568</v>
      </c>
      <c r="D189" s="2" t="str">
        <f t="shared" si="1"/>
        <v>Error?</v>
      </c>
    </row>
    <row r="190" spans="1:4" x14ac:dyDescent="0.2">
      <c r="A190" s="5">
        <v>129</v>
      </c>
      <c r="B190" s="138">
        <f>'Assets-Liab 5-6'!G41</f>
        <v>5696303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6628682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4481</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234532</v>
      </c>
      <c r="C211" s="2" t="s">
        <v>594</v>
      </c>
      <c r="D211" s="2" t="str">
        <f t="shared" si="2"/>
        <v>Error?</v>
      </c>
    </row>
    <row r="212" spans="1:4" x14ac:dyDescent="0.2">
      <c r="A212" s="5">
        <v>151</v>
      </c>
      <c r="B212" s="138">
        <f>'Assets-Liab 5-6'!H39</f>
        <v>6394150</v>
      </c>
      <c r="D212" s="2" t="str">
        <f t="shared" si="2"/>
        <v>Error?</v>
      </c>
    </row>
    <row r="213" spans="1:4" x14ac:dyDescent="0.2">
      <c r="A213" s="12">
        <v>152</v>
      </c>
      <c r="B213" s="138">
        <f>'Assets-Liab 5-6'!H41</f>
        <v>6628682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1356386</v>
      </c>
      <c r="D273" s="2" t="str">
        <f t="shared" si="3"/>
        <v>Error?</v>
      </c>
    </row>
    <row r="274" spans="1:4" x14ac:dyDescent="0.2">
      <c r="A274" s="5">
        <v>213</v>
      </c>
      <c r="B274" s="138">
        <f>'Assets-Liab 5-6'!M17</f>
        <v>139334168</v>
      </c>
      <c r="D274" s="2" t="str">
        <f t="shared" si="3"/>
        <v>Error?</v>
      </c>
    </row>
    <row r="275" spans="1:4" x14ac:dyDescent="0.2">
      <c r="A275" s="5">
        <v>214</v>
      </c>
      <c r="B275" s="138">
        <f>'Assets-Liab 5-6'!M18</f>
        <v>10288984</v>
      </c>
      <c r="D275" s="2" t="str">
        <f t="shared" si="3"/>
        <v>Error?</v>
      </c>
    </row>
    <row r="276" spans="1:4" x14ac:dyDescent="0.2">
      <c r="A276" s="5">
        <v>215</v>
      </c>
      <c r="B276" s="138">
        <f>'Assets-Liab 5-6'!M19</f>
        <v>29704520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183968342</v>
      </c>
      <c r="C279" s="2" t="s">
        <v>594</v>
      </c>
      <c r="D279" s="2" t="str">
        <f t="shared" si="3"/>
        <v>Error?</v>
      </c>
    </row>
    <row r="280" spans="1:4" x14ac:dyDescent="0.2">
      <c r="A280" s="5">
        <v>219</v>
      </c>
      <c r="B280" s="138">
        <f>'Assets-Liab 5-6'!M40</f>
        <v>183968342</v>
      </c>
      <c r="D280" s="2" t="str">
        <f t="shared" si="3"/>
        <v>Error?</v>
      </c>
    </row>
    <row r="281" spans="1:4" x14ac:dyDescent="0.2">
      <c r="A281" s="5">
        <v>220</v>
      </c>
      <c r="B281" s="138">
        <f>'Assets-Liab 5-6'!M41</f>
        <v>183968342</v>
      </c>
      <c r="C281" s="2" t="s">
        <v>594</v>
      </c>
      <c r="D281" s="2" t="str">
        <f t="shared" si="3"/>
        <v>Error?</v>
      </c>
    </row>
    <row r="282" spans="1:4" x14ac:dyDescent="0.2">
      <c r="A282" s="5">
        <v>221</v>
      </c>
      <c r="B282" s="138">
        <f>'Assets-Liab 5-6'!N21</f>
        <v>149875</v>
      </c>
      <c r="D282" s="2" t="str">
        <f t="shared" si="3"/>
        <v>Error?</v>
      </c>
    </row>
    <row r="283" spans="1:4" x14ac:dyDescent="0.2">
      <c r="A283" s="5">
        <v>222</v>
      </c>
      <c r="B283" s="138">
        <f>'Assets-Liab 5-6'!N22</f>
        <v>14390125</v>
      </c>
      <c r="D283" s="2" t="str">
        <f t="shared" si="3"/>
        <v>Error?</v>
      </c>
    </row>
    <row r="284" spans="1:4" x14ac:dyDescent="0.2">
      <c r="A284" s="5">
        <v>223</v>
      </c>
      <c r="B284" s="138">
        <f>'Assets-Liab 5-6'!N23</f>
        <v>14540000</v>
      </c>
      <c r="C284" s="2" t="s">
        <v>594</v>
      </c>
      <c r="D284" s="2" t="str">
        <f t="shared" si="3"/>
        <v>Error?</v>
      </c>
    </row>
    <row r="285" spans="1:4" x14ac:dyDescent="0.2">
      <c r="A285" s="5">
        <v>224</v>
      </c>
      <c r="B285" s="138">
        <f>'Assets-Liab 5-6'!N36</f>
        <v>14540000</v>
      </c>
      <c r="D285" s="2" t="str">
        <f t="shared" si="3"/>
        <v>Error?</v>
      </c>
    </row>
    <row r="286" spans="1:4" x14ac:dyDescent="0.2">
      <c r="A286" s="10">
        <v>225</v>
      </c>
      <c r="D286" s="2" t="str">
        <f t="shared" si="3"/>
        <v>OK</v>
      </c>
    </row>
    <row r="287" spans="1:4" x14ac:dyDescent="0.2">
      <c r="A287" s="5">
        <v>226</v>
      </c>
      <c r="B287" s="138">
        <f>'Assets-Liab 5-6'!N37</f>
        <v>14540000</v>
      </c>
      <c r="C287" s="2" t="s">
        <v>594</v>
      </c>
      <c r="D287" s="2" t="str">
        <f t="shared" si="3"/>
        <v>Error?</v>
      </c>
    </row>
    <row r="288" spans="1:4" x14ac:dyDescent="0.2">
      <c r="A288" s="5">
        <v>227</v>
      </c>
      <c r="B288" s="138">
        <f>'Assets-Liab 5-6'!N41</f>
        <v>14540000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400000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40553645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1297562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4550712</v>
      </c>
      <c r="D717" s="2" t="str">
        <f t="shared" si="10"/>
        <v>Error?</v>
      </c>
    </row>
    <row r="718" spans="1:4" x14ac:dyDescent="0.2">
      <c r="A718" s="5">
        <v>657</v>
      </c>
      <c r="B718" s="138">
        <f>'Expenditures 15-22'!C14</f>
        <v>2657820</v>
      </c>
      <c r="D718" s="2" t="str">
        <f t="shared" si="10"/>
        <v>Error?</v>
      </c>
    </row>
    <row r="719" spans="1:4" x14ac:dyDescent="0.2">
      <c r="A719" s="5">
        <v>658</v>
      </c>
      <c r="B719" s="138">
        <f>'Expenditures 15-22'!C15</f>
        <v>832773</v>
      </c>
      <c r="D719" s="2" t="str">
        <f t="shared" si="10"/>
        <v>Error?</v>
      </c>
    </row>
    <row r="720" spans="1:4" x14ac:dyDescent="0.2">
      <c r="A720" s="5">
        <v>659</v>
      </c>
      <c r="B720" s="138">
        <f>'Expenditures 15-22'!C33</f>
        <v>60658118</v>
      </c>
      <c r="C720" s="2" t="s">
        <v>594</v>
      </c>
      <c r="D720" s="2" t="str">
        <f t="shared" si="10"/>
        <v>Error?</v>
      </c>
    </row>
    <row r="721" spans="1:4" x14ac:dyDescent="0.2">
      <c r="A721" s="5">
        <v>660</v>
      </c>
      <c r="B721" s="138">
        <f>'Expenditures 15-22'!C36</f>
        <v>618171</v>
      </c>
      <c r="D721" s="2" t="str">
        <f t="shared" si="10"/>
        <v>Error?</v>
      </c>
    </row>
    <row r="722" spans="1:4" x14ac:dyDescent="0.2">
      <c r="A722" s="5">
        <v>661</v>
      </c>
      <c r="B722" s="138">
        <f>'Expenditures 15-22'!C37</f>
        <v>5371764</v>
      </c>
      <c r="D722" s="2" t="str">
        <f t="shared" si="10"/>
        <v>Error?</v>
      </c>
    </row>
    <row r="723" spans="1:4" x14ac:dyDescent="0.2">
      <c r="A723" s="5">
        <v>662</v>
      </c>
      <c r="B723" s="138">
        <f>'Expenditures 15-22'!C38</f>
        <v>569973</v>
      </c>
      <c r="D723" s="2" t="str">
        <f t="shared" si="10"/>
        <v>Error?</v>
      </c>
    </row>
    <row r="724" spans="1:4" x14ac:dyDescent="0.2">
      <c r="A724" s="5">
        <v>663</v>
      </c>
      <c r="B724" s="138">
        <f>'Expenditures 15-22'!C39</f>
        <v>872529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157220</v>
      </c>
      <c r="D726" s="2" t="str">
        <f t="shared" si="10"/>
        <v>Error?</v>
      </c>
    </row>
    <row r="727" spans="1:4" x14ac:dyDescent="0.2">
      <c r="A727" s="5">
        <v>666</v>
      </c>
      <c r="B727" s="138">
        <f>'Expenditures 15-22'!C42</f>
        <v>7589657</v>
      </c>
      <c r="C727" s="2" t="s">
        <v>594</v>
      </c>
      <c r="D727" s="2" t="str">
        <f t="shared" si="10"/>
        <v>Error?</v>
      </c>
    </row>
    <row r="728" spans="1:4" x14ac:dyDescent="0.2">
      <c r="A728" s="5">
        <v>667</v>
      </c>
      <c r="B728" s="138">
        <f>'Expenditures 15-22'!C44</f>
        <v>400504</v>
      </c>
      <c r="D728" s="2" t="str">
        <f t="shared" si="10"/>
        <v>Error?</v>
      </c>
    </row>
    <row r="729" spans="1:4" x14ac:dyDescent="0.2">
      <c r="A729" s="5">
        <v>668</v>
      </c>
      <c r="B729" s="138">
        <f>'Expenditures 15-22'!C45</f>
        <v>2105443</v>
      </c>
      <c r="D729" s="2" t="str">
        <f t="shared" si="10"/>
        <v>Error?</v>
      </c>
    </row>
    <row r="730" spans="1:4" x14ac:dyDescent="0.2">
      <c r="A730" s="5">
        <v>669</v>
      </c>
      <c r="B730" s="138">
        <f>'Expenditures 15-22'!C46</f>
        <v>138346</v>
      </c>
      <c r="D730" s="2" t="str">
        <f t="shared" si="10"/>
        <v>Error?</v>
      </c>
    </row>
    <row r="731" spans="1:4" x14ac:dyDescent="0.2">
      <c r="A731" s="5">
        <v>670</v>
      </c>
      <c r="B731" s="138">
        <f>'Expenditures 15-22'!C47</f>
        <v>2644293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839051</v>
      </c>
      <c r="D733" s="2" t="str">
        <f t="shared" si="10"/>
        <v>Error?</v>
      </c>
    </row>
    <row r="734" spans="1:4" x14ac:dyDescent="0.2">
      <c r="A734" s="5">
        <v>673</v>
      </c>
      <c r="B734" s="138">
        <f>'Expenditures 15-22'!C53</f>
        <v>1281827</v>
      </c>
      <c r="C734" s="2" t="s">
        <v>594</v>
      </c>
      <c r="D734" s="2" t="str">
        <f t="shared" si="10"/>
        <v>Error?</v>
      </c>
    </row>
    <row r="735" spans="1:4" x14ac:dyDescent="0.2">
      <c r="A735" s="5">
        <v>674</v>
      </c>
      <c r="B735" s="138">
        <f>'Expenditures 15-22'!C55</f>
        <v>2657074</v>
      </c>
      <c r="D735" s="2" t="str">
        <f t="shared" si="10"/>
        <v>Error?</v>
      </c>
    </row>
    <row r="736" spans="1:4" x14ac:dyDescent="0.2">
      <c r="A736" s="5">
        <v>675</v>
      </c>
      <c r="B736" s="138">
        <f>'Expenditures 15-22'!C56</f>
        <v>2568584</v>
      </c>
      <c r="D736" s="2" t="str">
        <f t="shared" si="10"/>
        <v>Error?</v>
      </c>
    </row>
    <row r="737" spans="1:4" x14ac:dyDescent="0.2">
      <c r="A737" s="5">
        <v>676</v>
      </c>
      <c r="B737" s="138">
        <f>'Expenditures 15-22'!C57</f>
        <v>5225658</v>
      </c>
      <c r="C737" s="2" t="s">
        <v>594</v>
      </c>
      <c r="D737" s="2" t="str">
        <f t="shared" si="10"/>
        <v>Error?</v>
      </c>
    </row>
    <row r="738" spans="1:4" x14ac:dyDescent="0.2">
      <c r="A738" s="5">
        <v>677</v>
      </c>
      <c r="B738" s="138">
        <f>'Expenditures 15-22'!C59</f>
        <v>263672</v>
      </c>
      <c r="D738" s="2" t="str">
        <f t="shared" si="10"/>
        <v>Error?</v>
      </c>
    </row>
    <row r="739" spans="1:4" x14ac:dyDescent="0.2">
      <c r="A739" s="5">
        <v>678</v>
      </c>
      <c r="B739" s="138">
        <f>'Expenditures 15-22'!C60</f>
        <v>485183</v>
      </c>
      <c r="D739" s="2" t="str">
        <f t="shared" si="10"/>
        <v>Error?</v>
      </c>
    </row>
    <row r="740" spans="1:4" x14ac:dyDescent="0.2">
      <c r="A740" s="5">
        <v>679</v>
      </c>
      <c r="B740" s="138">
        <f>'Expenditures 15-22'!C61</f>
        <v>-6149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195650</v>
      </c>
      <c r="D743" s="2" t="str">
        <f t="shared" si="10"/>
        <v>Error?</v>
      </c>
    </row>
    <row r="744" spans="1:4" x14ac:dyDescent="0.2">
      <c r="A744" s="10">
        <v>683</v>
      </c>
      <c r="D744" s="2" t="str">
        <f t="shared" si="10"/>
        <v>OK</v>
      </c>
    </row>
    <row r="745" spans="1:4" x14ac:dyDescent="0.2">
      <c r="A745" s="5">
        <v>684</v>
      </c>
      <c r="B745" s="138">
        <f>'Expenditures 15-22'!C65</f>
        <v>938356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113022</v>
      </c>
      <c r="D748" s="2" t="str">
        <f t="shared" si="10"/>
        <v>Error?</v>
      </c>
    </row>
    <row r="749" spans="1:4" x14ac:dyDescent="0.2">
      <c r="A749" s="5">
        <v>688</v>
      </c>
      <c r="B749" s="138">
        <f>'Expenditures 15-22'!C70</f>
        <v>150232</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263254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17943045</v>
      </c>
      <c r="C755" s="2" t="s">
        <v>594</v>
      </c>
      <c r="D755" s="2" t="str">
        <f t="shared" si="10"/>
        <v>Error?</v>
      </c>
    </row>
    <row r="756" spans="1:4" x14ac:dyDescent="0.2">
      <c r="A756" s="5">
        <v>695</v>
      </c>
      <c r="B756" s="138">
        <f>'Expenditures 15-22'!C75</f>
        <v>414</v>
      </c>
      <c r="D756" s="2" t="str">
        <f t="shared" si="10"/>
        <v>Error?</v>
      </c>
    </row>
    <row r="757" spans="1:4" x14ac:dyDescent="0.2">
      <c r="A757" s="5">
        <v>696</v>
      </c>
      <c r="B757" s="138">
        <f>'Expenditures 15-22'!C114</f>
        <v>78601577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5328479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194788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588133</v>
      </c>
      <c r="D775" s="2" t="str">
        <f t="shared" si="11"/>
        <v>Error?</v>
      </c>
    </row>
    <row r="776" spans="1:4" x14ac:dyDescent="0.2">
      <c r="A776" s="5">
        <v>715</v>
      </c>
      <c r="B776" s="138">
        <f>'Expenditures 15-22'!D14</f>
        <v>67441</v>
      </c>
      <c r="D776" s="2" t="str">
        <f t="shared" si="11"/>
        <v>Error?</v>
      </c>
    </row>
    <row r="777" spans="1:4" x14ac:dyDescent="0.2">
      <c r="A777" s="5">
        <v>716</v>
      </c>
      <c r="B777" s="138">
        <f>'Expenditures 15-22'!D15</f>
        <v>10918</v>
      </c>
      <c r="D777" s="2" t="str">
        <f t="shared" si="11"/>
        <v>Error?</v>
      </c>
    </row>
    <row r="778" spans="1:4" x14ac:dyDescent="0.2">
      <c r="A778" s="5">
        <v>717</v>
      </c>
      <c r="B778" s="138">
        <f>'Expenditures 15-22'!D33</f>
        <v>8064658</v>
      </c>
      <c r="C778" s="2" t="s">
        <v>594</v>
      </c>
      <c r="D778" s="2" t="str">
        <f t="shared" si="11"/>
        <v>Error?</v>
      </c>
    </row>
    <row r="779" spans="1:4" x14ac:dyDescent="0.2">
      <c r="A779" s="5">
        <v>718</v>
      </c>
      <c r="B779" s="138">
        <f>'Expenditures 15-22'!D36</f>
        <v>136352</v>
      </c>
      <c r="D779" s="2" t="str">
        <f t="shared" si="11"/>
        <v>Error?</v>
      </c>
    </row>
    <row r="780" spans="1:4" x14ac:dyDescent="0.2">
      <c r="A780" s="5">
        <v>719</v>
      </c>
      <c r="B780" s="138">
        <f>'Expenditures 15-22'!D37</f>
        <v>924734</v>
      </c>
      <c r="D780" s="2" t="str">
        <f t="shared" si="11"/>
        <v>Error?</v>
      </c>
    </row>
    <row r="781" spans="1:4" x14ac:dyDescent="0.2">
      <c r="A781" s="5">
        <v>720</v>
      </c>
      <c r="B781" s="138">
        <f>'Expenditures 15-22'!D38</f>
        <v>84825</v>
      </c>
      <c r="D781" s="2" t="str">
        <f t="shared" si="11"/>
        <v>Error?</v>
      </c>
    </row>
    <row r="782" spans="1:4" x14ac:dyDescent="0.2">
      <c r="A782" s="5">
        <v>721</v>
      </c>
      <c r="B782" s="138">
        <f>'Expenditures 15-22'!D39</f>
        <v>103317</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42865</v>
      </c>
      <c r="D784" s="2" t="str">
        <f t="shared" si="11"/>
        <v>Error?</v>
      </c>
    </row>
    <row r="785" spans="1:4" x14ac:dyDescent="0.2">
      <c r="A785" s="5">
        <v>724</v>
      </c>
      <c r="B785" s="138">
        <f>'Expenditures 15-22'!D42</f>
        <v>1292093</v>
      </c>
      <c r="C785" s="2" t="s">
        <v>594</v>
      </c>
      <c r="D785" s="2" t="str">
        <f t="shared" si="11"/>
        <v>Error?</v>
      </c>
    </row>
    <row r="786" spans="1:4" x14ac:dyDescent="0.2">
      <c r="A786" s="5">
        <v>725</v>
      </c>
      <c r="B786" s="138">
        <f>'Expenditures 15-22'!D44</f>
        <v>101724</v>
      </c>
      <c r="D786" s="2" t="str">
        <f t="shared" si="11"/>
        <v>Error?</v>
      </c>
    </row>
    <row r="787" spans="1:4" x14ac:dyDescent="0.2">
      <c r="A787" s="5">
        <v>726</v>
      </c>
      <c r="B787" s="138">
        <f>'Expenditures 15-22'!D45</f>
        <v>317527</v>
      </c>
      <c r="D787" s="2" t="str">
        <f t="shared" si="11"/>
        <v>Error?</v>
      </c>
    </row>
    <row r="788" spans="1:4" x14ac:dyDescent="0.2">
      <c r="A788" s="5">
        <v>727</v>
      </c>
      <c r="B788" s="138">
        <f>'Expenditures 15-22'!D46</f>
        <v>13818</v>
      </c>
      <c r="D788" s="2" t="str">
        <f t="shared" si="11"/>
        <v>Error?</v>
      </c>
    </row>
    <row r="789" spans="1:4" x14ac:dyDescent="0.2">
      <c r="A789" s="5">
        <v>728</v>
      </c>
      <c r="B789" s="138">
        <f>'Expenditures 15-22'!D47</f>
        <v>433069</v>
      </c>
      <c r="C789" s="2" t="s">
        <v>594</v>
      </c>
      <c r="D789" s="2" t="str">
        <f t="shared" si="11"/>
        <v>Error?</v>
      </c>
    </row>
    <row r="790" spans="1:4" x14ac:dyDescent="0.2">
      <c r="A790" s="5">
        <v>729</v>
      </c>
      <c r="B790" s="138">
        <f>'Expenditures 15-22'!D49</f>
        <v>14180</v>
      </c>
      <c r="D790" s="2" t="str">
        <f t="shared" si="11"/>
        <v>Error?</v>
      </c>
    </row>
    <row r="791" spans="1:4" x14ac:dyDescent="0.2">
      <c r="A791" s="5">
        <v>730</v>
      </c>
      <c r="B791" s="138">
        <f>'Expenditures 15-22'!D50</f>
        <v>222126</v>
      </c>
      <c r="D791" s="2" t="str">
        <f t="shared" si="11"/>
        <v>Error?</v>
      </c>
    </row>
    <row r="792" spans="1:4" x14ac:dyDescent="0.2">
      <c r="A792" s="5">
        <v>731</v>
      </c>
      <c r="B792" s="138">
        <f>'Expenditures 15-22'!D53</f>
        <v>334490</v>
      </c>
      <c r="C792" s="2" t="s">
        <v>594</v>
      </c>
      <c r="D792" s="2" t="str">
        <f t="shared" si="11"/>
        <v>Error?</v>
      </c>
    </row>
    <row r="793" spans="1:4" x14ac:dyDescent="0.2">
      <c r="A793" s="5">
        <v>732</v>
      </c>
      <c r="B793" s="138">
        <f>'Expenditures 15-22'!D55</f>
        <v>580301</v>
      </c>
      <c r="D793" s="2" t="str">
        <f t="shared" si="11"/>
        <v>Error?</v>
      </c>
    </row>
    <row r="794" spans="1:4" x14ac:dyDescent="0.2">
      <c r="A794" s="5">
        <v>733</v>
      </c>
      <c r="B794" s="138">
        <f>'Expenditures 15-22'!D56</f>
        <v>644394</v>
      </c>
      <c r="D794" s="2" t="str">
        <f t="shared" si="11"/>
        <v>Error?</v>
      </c>
    </row>
    <row r="795" spans="1:4" x14ac:dyDescent="0.2">
      <c r="A795" s="5">
        <v>734</v>
      </c>
      <c r="B795" s="138">
        <f>'Expenditures 15-22'!D57</f>
        <v>1224695</v>
      </c>
      <c r="C795" s="2" t="s">
        <v>594</v>
      </c>
      <c r="D795" s="2" t="str">
        <f t="shared" si="11"/>
        <v>Error?</v>
      </c>
    </row>
    <row r="796" spans="1:4" x14ac:dyDescent="0.2">
      <c r="A796" s="5">
        <v>735</v>
      </c>
      <c r="B796" s="138">
        <f>'Expenditures 15-22'!D59</f>
        <v>89953</v>
      </c>
      <c r="D796" s="2" t="str">
        <f t="shared" si="11"/>
        <v>Error?</v>
      </c>
    </row>
    <row r="797" spans="1:4" x14ac:dyDescent="0.2">
      <c r="A797" s="5">
        <v>736</v>
      </c>
      <c r="B797" s="138">
        <f>'Expenditures 15-22'!D60</f>
        <v>107099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64328</v>
      </c>
      <c r="D801" s="2" t="str">
        <f t="shared" si="11"/>
        <v>Error?</v>
      </c>
    </row>
    <row r="802" spans="1:4" x14ac:dyDescent="0.2">
      <c r="A802" s="10">
        <v>741</v>
      </c>
      <c r="D802" s="2" t="str">
        <f t="shared" si="11"/>
        <v>OK</v>
      </c>
    </row>
    <row r="803" spans="1:4" x14ac:dyDescent="0.2">
      <c r="A803" s="5">
        <v>742</v>
      </c>
      <c r="B803" s="138">
        <f>'Expenditures 15-22'!D65</f>
        <v>261380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19421</v>
      </c>
      <c r="D806" s="2" t="str">
        <f t="shared" si="11"/>
        <v>Error?</v>
      </c>
    </row>
    <row r="807" spans="1:4" x14ac:dyDescent="0.2">
      <c r="A807" s="5">
        <v>746</v>
      </c>
      <c r="B807" s="138">
        <f>'Expenditures 15-22'!D70</f>
        <v>39655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59076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3604803</v>
      </c>
      <c r="C813" s="2" t="s">
        <v>594</v>
      </c>
      <c r="D813" s="2" t="str">
        <f t="shared" si="11"/>
        <v>Error?</v>
      </c>
    </row>
    <row r="814" spans="1:4" x14ac:dyDescent="0.2">
      <c r="A814" s="5">
        <v>753</v>
      </c>
      <c r="B814" s="138">
        <f>'Expenditures 15-22'!D75</f>
        <v>11</v>
      </c>
      <c r="D814" s="2" t="str">
        <f t="shared" si="11"/>
        <v>Error?</v>
      </c>
    </row>
    <row r="815" spans="1:4" x14ac:dyDescent="0.2">
      <c r="A815" s="5">
        <v>754</v>
      </c>
      <c r="B815" s="138">
        <f>'Expenditures 15-22'!D114</f>
        <v>11669472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975168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68353</v>
      </c>
      <c r="D833" s="2" t="str">
        <f t="shared" si="12"/>
        <v>Error?</v>
      </c>
    </row>
    <row r="834" spans="1:4" x14ac:dyDescent="0.2">
      <c r="A834" s="5">
        <v>773</v>
      </c>
      <c r="B834" s="138">
        <f>'Expenditures 15-22'!E14</f>
        <v>478841</v>
      </c>
      <c r="D834" s="2" t="str">
        <f t="shared" si="12"/>
        <v>Error?</v>
      </c>
    </row>
    <row r="835" spans="1:4" x14ac:dyDescent="0.2">
      <c r="A835" s="5">
        <v>774</v>
      </c>
      <c r="B835" s="138">
        <f>'Expenditures 15-22'!E15</f>
        <v>30096</v>
      </c>
      <c r="D835" s="2" t="str">
        <f t="shared" si="12"/>
        <v>Error?</v>
      </c>
    </row>
    <row r="836" spans="1:4" x14ac:dyDescent="0.2">
      <c r="A836" s="5">
        <v>775</v>
      </c>
      <c r="B836" s="138">
        <f>'Expenditures 15-22'!E33</f>
        <v>1632729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50924</v>
      </c>
      <c r="D838" s="2" t="str">
        <f t="shared" si="12"/>
        <v>Error?</v>
      </c>
    </row>
    <row r="839" spans="1:4" x14ac:dyDescent="0.2">
      <c r="A839" s="5">
        <v>778</v>
      </c>
      <c r="B839" s="138">
        <f>'Expenditures 15-22'!E38</f>
        <v>4655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529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56108</v>
      </c>
      <c r="C843" s="2" t="s">
        <v>594</v>
      </c>
      <c r="D843" s="2" t="str">
        <f t="shared" si="12"/>
        <v>Error?</v>
      </c>
    </row>
    <row r="844" spans="1:4" x14ac:dyDescent="0.2">
      <c r="A844" s="5">
        <v>783</v>
      </c>
      <c r="B844" s="138">
        <f>'Expenditures 15-22'!E44</f>
        <v>161702</v>
      </c>
      <c r="D844" s="2" t="str">
        <f t="shared" si="12"/>
        <v>Error?</v>
      </c>
    </row>
    <row r="845" spans="1:4" x14ac:dyDescent="0.2">
      <c r="A845" s="5">
        <v>784</v>
      </c>
      <c r="B845" s="138">
        <f>'Expenditures 15-22'!E45</f>
        <v>85152</v>
      </c>
      <c r="D845" s="2" t="str">
        <f t="shared" si="12"/>
        <v>Error?</v>
      </c>
    </row>
    <row r="846" spans="1:4" x14ac:dyDescent="0.2">
      <c r="A846" s="5">
        <v>785</v>
      </c>
      <c r="B846" s="138">
        <f>'Expenditures 15-22'!E46</f>
        <v>243917</v>
      </c>
      <c r="D846" s="2" t="str">
        <f t="shared" si="12"/>
        <v>Error?</v>
      </c>
    </row>
    <row r="847" spans="1:4" x14ac:dyDescent="0.2">
      <c r="A847" s="5">
        <v>786</v>
      </c>
      <c r="B847" s="138">
        <f>'Expenditures 15-22'!E47</f>
        <v>490771</v>
      </c>
      <c r="C847" s="2" t="s">
        <v>594</v>
      </c>
      <c r="D847" s="2" t="str">
        <f t="shared" si="12"/>
        <v>Error?</v>
      </c>
    </row>
    <row r="848" spans="1:4" x14ac:dyDescent="0.2">
      <c r="A848" s="5">
        <v>787</v>
      </c>
      <c r="B848" s="138">
        <f>'Expenditures 15-22'!E49</f>
        <v>248033</v>
      </c>
      <c r="D848" s="2" t="str">
        <f t="shared" si="12"/>
        <v>Error?</v>
      </c>
    </row>
    <row r="849" spans="1:4" x14ac:dyDescent="0.2">
      <c r="A849" s="5">
        <v>788</v>
      </c>
      <c r="B849" s="138">
        <f>'Expenditures 15-22'!E50</f>
        <v>10567</v>
      </c>
      <c r="D849" s="2" t="str">
        <f t="shared" si="12"/>
        <v>Error?</v>
      </c>
    </row>
    <row r="850" spans="1:4" x14ac:dyDescent="0.2">
      <c r="A850" s="5">
        <v>789</v>
      </c>
      <c r="B850" s="138">
        <f>'Expenditures 15-22'!E53</f>
        <v>301333</v>
      </c>
      <c r="C850" s="2" t="s">
        <v>594</v>
      </c>
      <c r="D850" s="2" t="str">
        <f t="shared" si="12"/>
        <v>Error?</v>
      </c>
    </row>
    <row r="851" spans="1:4" x14ac:dyDescent="0.2">
      <c r="A851" s="5">
        <v>790</v>
      </c>
      <c r="B851" s="138">
        <f>'Expenditures 15-22'!E55</f>
        <v>112670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112670</v>
      </c>
      <c r="C853" s="2" t="s">
        <v>594</v>
      </c>
      <c r="D853" s="2" t="str">
        <f t="shared" si="12"/>
        <v>Error?</v>
      </c>
    </row>
    <row r="854" spans="1:4" x14ac:dyDescent="0.2">
      <c r="A854" s="5">
        <v>793</v>
      </c>
      <c r="B854" s="138">
        <f>'Expenditures 15-22'!E59</f>
        <v>18210</v>
      </c>
      <c r="D854" s="2" t="str">
        <f t="shared" si="12"/>
        <v>Error?</v>
      </c>
    </row>
    <row r="855" spans="1:4" x14ac:dyDescent="0.2">
      <c r="A855" s="5">
        <v>794</v>
      </c>
      <c r="B855" s="138">
        <f>'Expenditures 15-22'!E60</f>
        <v>6757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3133</v>
      </c>
      <c r="D857" s="2" t="str">
        <f t="shared" si="12"/>
        <v>Error?</v>
      </c>
    </row>
    <row r="858" spans="1:4" x14ac:dyDescent="0.2">
      <c r="A858" s="5">
        <v>797</v>
      </c>
      <c r="B858" s="138">
        <f>'Expenditures 15-22'!E63</f>
        <v>0</v>
      </c>
      <c r="D858" s="2" t="str">
        <f t="shared" si="12"/>
        <v>Error?</v>
      </c>
    </row>
    <row r="859" spans="1:4" x14ac:dyDescent="0.2">
      <c r="A859" s="5">
        <v>798</v>
      </c>
      <c r="B859" s="138">
        <f>'Expenditures 15-22'!E64</f>
        <v>46419</v>
      </c>
      <c r="D859" s="2" t="str">
        <f t="shared" si="12"/>
        <v>Error?</v>
      </c>
    </row>
    <row r="860" spans="1:4" x14ac:dyDescent="0.2">
      <c r="A860" s="10">
        <v>799</v>
      </c>
      <c r="D860" s="2" t="str">
        <f t="shared" si="12"/>
        <v>OK</v>
      </c>
    </row>
    <row r="861" spans="1:4" x14ac:dyDescent="0.2">
      <c r="A861" s="5">
        <v>800</v>
      </c>
      <c r="B861" s="138">
        <f>'Expenditures 15-22'!E65</f>
        <v>74519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20818</v>
      </c>
      <c r="D864" s="2" t="str">
        <f t="shared" si="12"/>
        <v>Error?</v>
      </c>
    </row>
    <row r="865" spans="1:4" x14ac:dyDescent="0.2">
      <c r="A865" s="5">
        <v>804</v>
      </c>
      <c r="B865" s="138">
        <f>'Expenditures 15-22'!E70</f>
        <v>69292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90110</v>
      </c>
      <c r="C869" s="2" t="s">
        <v>594</v>
      </c>
      <c r="D869" s="2" t="str">
        <f t="shared" si="12"/>
        <v>Error?</v>
      </c>
    </row>
    <row r="870" spans="1:4" x14ac:dyDescent="0.2">
      <c r="A870" s="5">
        <v>809</v>
      </c>
      <c r="B870" s="138">
        <f>'Expenditures 15-22'!E73</f>
        <v>252</v>
      </c>
      <c r="D870" s="2" t="str">
        <f t="shared" si="12"/>
        <v>Error?</v>
      </c>
    </row>
    <row r="871" spans="1:4" x14ac:dyDescent="0.2">
      <c r="A871" s="5">
        <v>810</v>
      </c>
      <c r="B871" s="138">
        <f>'Expenditures 15-22'!E74</f>
        <v>1125763</v>
      </c>
      <c r="C871" s="2" t="s">
        <v>594</v>
      </c>
      <c r="D871" s="2" t="str">
        <f t="shared" si="12"/>
        <v>Error?</v>
      </c>
    </row>
    <row r="872" spans="1:4" x14ac:dyDescent="0.2">
      <c r="A872" s="5">
        <v>811</v>
      </c>
      <c r="B872" s="138">
        <f>'Expenditures 15-22'!E75</f>
        <v>379807</v>
      </c>
      <c r="D872" s="2" t="str">
        <f t="shared" si="12"/>
        <v>Error?</v>
      </c>
    </row>
    <row r="873" spans="1:4" x14ac:dyDescent="0.2">
      <c r="A873" s="5">
        <v>812</v>
      </c>
      <c r="B873" s="138">
        <f>'Expenditures 15-22'!E114</f>
        <v>3138299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3025507</v>
      </c>
      <c r="D879" s="2" t="str">
        <f t="shared" si="12"/>
        <v>Error?</v>
      </c>
    </row>
    <row r="880" spans="1:4" x14ac:dyDescent="0.2">
      <c r="A880" s="5">
        <v>819</v>
      </c>
      <c r="B880" s="138">
        <f>'Expenditures 15-22'!F16</f>
        <v>301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6142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250258</v>
      </c>
      <c r="D891" s="2" t="str">
        <f t="shared" si="12"/>
        <v>Error?</v>
      </c>
    </row>
    <row r="892" spans="1:4" x14ac:dyDescent="0.2">
      <c r="A892" s="5">
        <v>831</v>
      </c>
      <c r="B892" s="138">
        <f>'Expenditures 15-22'!F14</f>
        <v>357209</v>
      </c>
      <c r="D892" s="2" t="str">
        <f t="shared" si="12"/>
        <v>Error?</v>
      </c>
    </row>
    <row r="893" spans="1:4" x14ac:dyDescent="0.2">
      <c r="A893" s="5">
        <v>832</v>
      </c>
      <c r="B893" s="138">
        <f>'Expenditures 15-22'!F15</f>
        <v>51161</v>
      </c>
      <c r="D893" s="2" t="str">
        <f t="shared" si="12"/>
        <v>Error?</v>
      </c>
    </row>
    <row r="894" spans="1:4" x14ac:dyDescent="0.2">
      <c r="A894" s="5">
        <v>833</v>
      </c>
      <c r="B894" s="138">
        <f>'Expenditures 15-22'!F33</f>
        <v>3792684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15553</v>
      </c>
      <c r="D896" s="2" t="str">
        <f t="shared" si="13"/>
        <v>Error?</v>
      </c>
    </row>
    <row r="897" spans="1:4" x14ac:dyDescent="0.2">
      <c r="A897" s="5">
        <v>836</v>
      </c>
      <c r="B897" s="138">
        <f>'Expenditures 15-22'!F38</f>
        <v>13429</v>
      </c>
      <c r="D897" s="2" t="str">
        <f t="shared" si="13"/>
        <v>Error?</v>
      </c>
    </row>
    <row r="898" spans="1:4" x14ac:dyDescent="0.2">
      <c r="A898" s="5">
        <v>837</v>
      </c>
      <c r="B898" s="138">
        <f>'Expenditures 15-22'!F39</f>
        <v>4592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33574</v>
      </c>
      <c r="C901" s="2" t="s">
        <v>594</v>
      </c>
      <c r="D901" s="2" t="str">
        <f t="shared" si="13"/>
        <v>Error?</v>
      </c>
    </row>
    <row r="902" spans="1:4" x14ac:dyDescent="0.2">
      <c r="A902" s="5">
        <v>841</v>
      </c>
      <c r="B902" s="138">
        <f>'Expenditures 15-22'!F44</f>
        <v>19579</v>
      </c>
      <c r="D902" s="2" t="str">
        <f t="shared" si="13"/>
        <v>Error?</v>
      </c>
    </row>
    <row r="903" spans="1:4" x14ac:dyDescent="0.2">
      <c r="A903" s="5">
        <v>842</v>
      </c>
      <c r="B903" s="138">
        <f>'Expenditures 15-22'!F45</f>
        <v>249440</v>
      </c>
      <c r="D903" s="2" t="str">
        <f t="shared" si="13"/>
        <v>Error?</v>
      </c>
    </row>
    <row r="904" spans="1:4" x14ac:dyDescent="0.2">
      <c r="A904" s="5">
        <v>843</v>
      </c>
      <c r="B904" s="138">
        <f>'Expenditures 15-22'!F46</f>
        <v>45640</v>
      </c>
      <c r="D904" s="2" t="str">
        <f t="shared" si="13"/>
        <v>Error?</v>
      </c>
    </row>
    <row r="905" spans="1:4" x14ac:dyDescent="0.2">
      <c r="A905" s="5">
        <v>844</v>
      </c>
      <c r="B905" s="138">
        <f>'Expenditures 15-22'!F47</f>
        <v>314659</v>
      </c>
      <c r="C905" s="2" t="s">
        <v>594</v>
      </c>
      <c r="D905" s="2" t="str">
        <f t="shared" si="13"/>
        <v>Error?</v>
      </c>
    </row>
    <row r="906" spans="1:4" x14ac:dyDescent="0.2">
      <c r="A906" s="5">
        <v>845</v>
      </c>
      <c r="B906" s="138">
        <f>'Expenditures 15-22'!F49</f>
        <v>379</v>
      </c>
      <c r="D906" s="2" t="str">
        <f t="shared" si="13"/>
        <v>Error?</v>
      </c>
    </row>
    <row r="907" spans="1:4" x14ac:dyDescent="0.2">
      <c r="A907" s="5">
        <v>846</v>
      </c>
      <c r="B907" s="138">
        <f>'Expenditures 15-22'!F50</f>
        <v>1378</v>
      </c>
      <c r="D907" s="2" t="str">
        <f t="shared" si="13"/>
        <v>Error?</v>
      </c>
    </row>
    <row r="908" spans="1:4" x14ac:dyDescent="0.2">
      <c r="A908" s="5">
        <v>847</v>
      </c>
      <c r="B908" s="138">
        <f>'Expenditures 15-22'!F53</f>
        <v>3376</v>
      </c>
      <c r="C908" s="2" t="s">
        <v>594</v>
      </c>
      <c r="D908" s="2" t="str">
        <f t="shared" si="13"/>
        <v>Error?</v>
      </c>
    </row>
    <row r="909" spans="1:4" x14ac:dyDescent="0.2">
      <c r="A909" s="5">
        <v>848</v>
      </c>
      <c r="B909" s="138">
        <f>'Expenditures 15-22'!F55</f>
        <v>22966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22966</v>
      </c>
      <c r="C911" s="2" t="s">
        <v>594</v>
      </c>
      <c r="D911" s="2" t="str">
        <f t="shared" si="13"/>
        <v>Error?</v>
      </c>
    </row>
    <row r="912" spans="1:4" x14ac:dyDescent="0.2">
      <c r="A912" s="5">
        <v>851</v>
      </c>
      <c r="B912" s="138">
        <f>'Expenditures 15-22'!F59</f>
        <v>944</v>
      </c>
      <c r="D912" s="2" t="str">
        <f t="shared" si="13"/>
        <v>Error?</v>
      </c>
    </row>
    <row r="913" spans="1:4" x14ac:dyDescent="0.2">
      <c r="A913" s="5">
        <v>852</v>
      </c>
      <c r="B913" s="138">
        <f>'Expenditures 15-22'!F60</f>
        <v>412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16194</v>
      </c>
      <c r="D916" s="2" t="str">
        <f t="shared" si="13"/>
        <v>Error?</v>
      </c>
    </row>
    <row r="917" spans="1:4" x14ac:dyDescent="0.2">
      <c r="A917" s="5">
        <v>856</v>
      </c>
      <c r="B917" s="138">
        <f>'Expenditures 15-22'!F64</f>
        <v>694647</v>
      </c>
      <c r="D917" s="2" t="str">
        <f t="shared" si="13"/>
        <v>Error?</v>
      </c>
    </row>
    <row r="918" spans="1:4" x14ac:dyDescent="0.2">
      <c r="A918" s="10">
        <v>857</v>
      </c>
      <c r="D918" s="2" t="str">
        <f t="shared" si="13"/>
        <v>OK</v>
      </c>
    </row>
    <row r="919" spans="1:4" x14ac:dyDescent="0.2">
      <c r="A919" s="5">
        <v>858</v>
      </c>
      <c r="B919" s="138">
        <f>'Expenditures 15-22'!F65</f>
        <v>712197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15272</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15272</v>
      </c>
      <c r="C927" s="2" t="s">
        <v>594</v>
      </c>
      <c r="D927" s="2" t="str">
        <f t="shared" si="13"/>
        <v>Error?</v>
      </c>
    </row>
    <row r="928" spans="1:4" x14ac:dyDescent="0.2">
      <c r="A928" s="5">
        <v>867</v>
      </c>
      <c r="B928" s="138">
        <f>'Expenditures 15-22'!F73</f>
        <v>125</v>
      </c>
      <c r="D928" s="2" t="str">
        <f t="shared" si="13"/>
        <v>Error?</v>
      </c>
    </row>
    <row r="929" spans="1:4" x14ac:dyDescent="0.2">
      <c r="A929" s="5">
        <v>868</v>
      </c>
      <c r="B929" s="138">
        <f>'Expenditures 15-22'!F74</f>
        <v>1102169</v>
      </c>
      <c r="C929" s="2" t="s">
        <v>594</v>
      </c>
      <c r="D929" s="2" t="str">
        <f t="shared" si="13"/>
        <v>Error?</v>
      </c>
    </row>
    <row r="930" spans="1:4" x14ac:dyDescent="0.2">
      <c r="A930" s="5">
        <v>869</v>
      </c>
      <c r="B930" s="138">
        <f>'Expenditures 15-22'!F75</f>
        <v>5858</v>
      </c>
      <c r="D930" s="2" t="str">
        <f t="shared" si="13"/>
        <v>Error?</v>
      </c>
    </row>
    <row r="931" spans="1:4" x14ac:dyDescent="0.2">
      <c r="A931" s="5">
        <v>870</v>
      </c>
      <c r="B931" s="138">
        <f>'Expenditures 15-22'!F114</f>
        <v>4900711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12878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56046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68924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6340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6340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149139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149139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155479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224403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368722</v>
      </c>
      <c r="C995" s="9"/>
      <c r="D995" s="2" t="str">
        <f t="shared" si="14"/>
        <v>Error?</v>
      </c>
    </row>
    <row r="996" spans="1:4" x14ac:dyDescent="0.2">
      <c r="A996" s="5">
        <v>935</v>
      </c>
      <c r="B996" s="138">
        <f>'Expenditures 15-22'!H16</f>
        <v>26</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19605</v>
      </c>
      <c r="D1007" s="2" t="str">
        <f t="shared" si="14"/>
        <v>Error?</v>
      </c>
    </row>
    <row r="1008" spans="1:4" x14ac:dyDescent="0.2">
      <c r="A1008" s="5">
        <v>947</v>
      </c>
      <c r="B1008" s="138">
        <f>'Expenditures 15-22'!H14</f>
        <v>49189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2986085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2956</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2956</v>
      </c>
      <c r="C1017" s="2" t="s">
        <v>594</v>
      </c>
      <c r="D1017" s="2" t="str">
        <f t="shared" si="14"/>
        <v>Error?</v>
      </c>
    </row>
    <row r="1018" spans="1:4" x14ac:dyDescent="0.2">
      <c r="A1018" s="5">
        <v>957</v>
      </c>
      <c r="B1018" s="138">
        <f>'Expenditures 15-22'!H44</f>
        <v>28358</v>
      </c>
      <c r="D1018" s="2" t="str">
        <f t="shared" si="14"/>
        <v>Error?</v>
      </c>
    </row>
    <row r="1019" spans="1:4" x14ac:dyDescent="0.2">
      <c r="A1019" s="5">
        <v>958</v>
      </c>
      <c r="B1019" s="138">
        <f>'Expenditures 15-22'!H45</f>
        <v>227</v>
      </c>
      <c r="D1019" s="2" t="str">
        <f t="shared" si="14"/>
        <v>Error?</v>
      </c>
    </row>
    <row r="1020" spans="1:4" x14ac:dyDescent="0.2">
      <c r="A1020" s="5">
        <v>959</v>
      </c>
      <c r="B1020" s="138">
        <f>'Expenditures 15-22'!H46</f>
        <v>799</v>
      </c>
      <c r="D1020" s="2" t="str">
        <f t="shared" si="14"/>
        <v>Error?</v>
      </c>
    </row>
    <row r="1021" spans="1:4" x14ac:dyDescent="0.2">
      <c r="A1021" s="5">
        <v>960</v>
      </c>
      <c r="B1021" s="138">
        <f>'Expenditures 15-22'!H47</f>
        <v>29384</v>
      </c>
      <c r="C1021" s="2" t="s">
        <v>594</v>
      </c>
      <c r="D1021" s="2" t="str">
        <f t="shared" si="14"/>
        <v>Error?</v>
      </c>
    </row>
    <row r="1022" spans="1:4" x14ac:dyDescent="0.2">
      <c r="A1022" s="5">
        <v>961</v>
      </c>
      <c r="B1022" s="138">
        <f>'Expenditures 15-22'!H49</f>
        <v>34643</v>
      </c>
      <c r="D1022" s="2" t="str">
        <f t="shared" si="14"/>
        <v>Error?</v>
      </c>
    </row>
    <row r="1023" spans="1:4" x14ac:dyDescent="0.2">
      <c r="A1023" s="5">
        <v>962</v>
      </c>
      <c r="B1023" s="138">
        <f>'Expenditures 15-22'!H50</f>
        <v>15645</v>
      </c>
      <c r="D1023" s="2" t="str">
        <f t="shared" ref="D1023:D1086" si="15">IF(ISBLANK(B1023),"OK",IF(A1023-B1023=0,"OK","Error?"))</f>
        <v>Error?</v>
      </c>
    </row>
    <row r="1024" spans="1:4" x14ac:dyDescent="0.2">
      <c r="A1024" s="5">
        <v>963</v>
      </c>
      <c r="B1024" s="138">
        <f>'Expenditures 15-22'!H53</f>
        <v>50788</v>
      </c>
      <c r="C1024" s="2" t="s">
        <v>594</v>
      </c>
      <c r="D1024" s="2" t="str">
        <f t="shared" si="15"/>
        <v>Error?</v>
      </c>
    </row>
    <row r="1025" spans="1:4" x14ac:dyDescent="0.2">
      <c r="A1025" s="5">
        <v>964</v>
      </c>
      <c r="B1025" s="138">
        <f>'Expenditures 15-22'!H55</f>
        <v>147186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147186</v>
      </c>
      <c r="C1027" s="2" t="s">
        <v>594</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500</v>
      </c>
      <c r="D1038" s="2" t="str">
        <f t="shared" si="15"/>
        <v>Error?</v>
      </c>
    </row>
    <row r="1039" spans="1:4" x14ac:dyDescent="0.2">
      <c r="A1039" s="5">
        <v>978</v>
      </c>
      <c r="B1039" s="138">
        <f>'Expenditures 15-22'!H70</f>
        <v>2690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3190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233844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1773765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4993694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50264399</v>
      </c>
      <c r="C1093" s="2" t="s">
        <v>594</v>
      </c>
      <c r="D1093" s="2" t="str">
        <f t="shared" si="16"/>
        <v>Error?</v>
      </c>
    </row>
    <row r="1094" spans="1:4" x14ac:dyDescent="0.2">
      <c r="A1094" s="5">
        <v>1033</v>
      </c>
      <c r="B1094" s="138">
        <f>'Expenditures 15-22'!K16</f>
        <v>327</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1498492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5583531</v>
      </c>
      <c r="C1105" s="2" t="s">
        <v>594</v>
      </c>
      <c r="D1105" s="2" t="str">
        <f t="shared" si="16"/>
        <v>Error?</v>
      </c>
    </row>
    <row r="1106" spans="1:4" x14ac:dyDescent="0.2">
      <c r="A1106" s="5">
        <v>1045</v>
      </c>
      <c r="B1106" s="138">
        <f>'Expenditures 15-22'!K14</f>
        <v>3610500</v>
      </c>
      <c r="C1106" s="2" t="s">
        <v>594</v>
      </c>
      <c r="D1106" s="2" t="str">
        <f t="shared" si="16"/>
        <v>Error?</v>
      </c>
    </row>
    <row r="1107" spans="1:4" x14ac:dyDescent="0.2">
      <c r="A1107" s="5">
        <v>1046</v>
      </c>
      <c r="B1107" s="138">
        <f>'Expenditures 15-22'!K15</f>
        <v>924948</v>
      </c>
      <c r="C1107" s="2" t="s">
        <v>594</v>
      </c>
      <c r="D1107" s="2" t="str">
        <f t="shared" si="16"/>
        <v>Error?</v>
      </c>
    </row>
    <row r="1108" spans="1:4" x14ac:dyDescent="0.2">
      <c r="A1108" s="5">
        <v>1047</v>
      </c>
      <c r="B1108" s="138">
        <f>'Expenditures 15-22'!K33</f>
        <v>77260083</v>
      </c>
      <c r="C1108" s="2" t="s">
        <v>594</v>
      </c>
      <c r="D1108" s="2" t="str">
        <f t="shared" si="16"/>
        <v>Error?</v>
      </c>
    </row>
    <row r="1109" spans="1:4" x14ac:dyDescent="0.2">
      <c r="A1109" s="5">
        <v>1048</v>
      </c>
      <c r="B1109" s="138">
        <f>'Expenditures 15-22'!K36</f>
        <v>754523</v>
      </c>
      <c r="C1109" s="2" t="s">
        <v>594</v>
      </c>
      <c r="D1109" s="2" t="str">
        <f t="shared" si="16"/>
        <v>Error?</v>
      </c>
    </row>
    <row r="1110" spans="1:4" x14ac:dyDescent="0.2">
      <c r="A1110" s="5">
        <v>1049</v>
      </c>
      <c r="B1110" s="138">
        <f>'Expenditures 15-22'!K37</f>
        <v>6365931</v>
      </c>
      <c r="C1110" s="2" t="s">
        <v>594</v>
      </c>
      <c r="D1110" s="2" t="str">
        <f t="shared" si="16"/>
        <v>Error?</v>
      </c>
    </row>
    <row r="1111" spans="1:4" x14ac:dyDescent="0.2">
      <c r="A1111" s="5">
        <v>1050</v>
      </c>
      <c r="B1111" s="138">
        <f>'Expenditures 15-22'!K38</f>
        <v>679222</v>
      </c>
      <c r="C1111" s="2" t="s">
        <v>594</v>
      </c>
      <c r="D1111" s="2" t="str">
        <f t="shared" si="16"/>
        <v>Error?</v>
      </c>
    </row>
    <row r="1112" spans="1:4" x14ac:dyDescent="0.2">
      <c r="A1112" s="5">
        <v>1051</v>
      </c>
      <c r="B1112" s="138">
        <f>'Expenditures 15-22'!K39</f>
        <v>980438</v>
      </c>
      <c r="C1112" s="2" t="s">
        <v>594</v>
      </c>
      <c r="D1112" s="2" t="str">
        <f t="shared" si="16"/>
        <v>Error?</v>
      </c>
    </row>
    <row r="1113" spans="1:4" x14ac:dyDescent="0.2">
      <c r="A1113" s="5">
        <v>1052</v>
      </c>
      <c r="B1113" s="138">
        <f>'Expenditures 15-22'!K40</f>
        <v>529</v>
      </c>
      <c r="C1113" s="2" t="s">
        <v>594</v>
      </c>
      <c r="D1113" s="2" t="str">
        <f t="shared" si="16"/>
        <v>Error?</v>
      </c>
    </row>
    <row r="1114" spans="1:4" x14ac:dyDescent="0.2">
      <c r="A1114" s="5">
        <v>1053</v>
      </c>
      <c r="B1114" s="138">
        <f>'Expenditures 15-22'!K41</f>
        <v>200085</v>
      </c>
      <c r="C1114" s="2" t="s">
        <v>594</v>
      </c>
      <c r="D1114" s="2" t="str">
        <f t="shared" si="16"/>
        <v>Error?</v>
      </c>
    </row>
    <row r="1115" spans="1:4" x14ac:dyDescent="0.2">
      <c r="A1115" s="5">
        <v>1054</v>
      </c>
      <c r="B1115" s="138">
        <f>'Expenditures 15-22'!K42</f>
        <v>8980728</v>
      </c>
      <c r="C1115" s="2" t="s">
        <v>594</v>
      </c>
      <c r="D1115" s="2" t="str">
        <f t="shared" si="16"/>
        <v>Error?</v>
      </c>
    </row>
    <row r="1116" spans="1:4" x14ac:dyDescent="0.2">
      <c r="A1116" s="5">
        <v>1055</v>
      </c>
      <c r="B1116" s="138">
        <f>'Expenditures 15-22'!K44</f>
        <v>711867</v>
      </c>
      <c r="C1116" s="2" t="s">
        <v>594</v>
      </c>
      <c r="D1116" s="2" t="str">
        <f t="shared" si="16"/>
        <v>Error?</v>
      </c>
    </row>
    <row r="1117" spans="1:4" x14ac:dyDescent="0.2">
      <c r="A1117" s="5">
        <v>1056</v>
      </c>
      <c r="B1117" s="138">
        <f>'Expenditures 15-22'!K45</f>
        <v>2906928</v>
      </c>
      <c r="C1117" s="2" t="s">
        <v>594</v>
      </c>
      <c r="D1117" s="2" t="str">
        <f t="shared" si="16"/>
        <v>Error?</v>
      </c>
    </row>
    <row r="1118" spans="1:4" x14ac:dyDescent="0.2">
      <c r="A1118" s="5">
        <v>1057</v>
      </c>
      <c r="B1118" s="138">
        <f>'Expenditures 15-22'!K46</f>
        <v>442520</v>
      </c>
      <c r="C1118" s="2" t="s">
        <v>594</v>
      </c>
      <c r="D1118" s="2" t="str">
        <f t="shared" si="16"/>
        <v>Error?</v>
      </c>
    </row>
    <row r="1119" spans="1:4" x14ac:dyDescent="0.2">
      <c r="A1119" s="5">
        <v>1058</v>
      </c>
      <c r="B1119" s="138">
        <f>'Expenditures 15-22'!K47</f>
        <v>4061315</v>
      </c>
      <c r="C1119" s="2" t="s">
        <v>594</v>
      </c>
      <c r="D1119" s="2" t="str">
        <f t="shared" si="16"/>
        <v>Error?</v>
      </c>
    </row>
    <row r="1120" spans="1:4" x14ac:dyDescent="0.2">
      <c r="A1120" s="5">
        <v>1059</v>
      </c>
      <c r="B1120" s="138">
        <f>'Expenditures 15-22'!K49</f>
        <v>297235</v>
      </c>
      <c r="C1120" s="2" t="s">
        <v>594</v>
      </c>
      <c r="D1120" s="2" t="str">
        <f t="shared" si="16"/>
        <v>Error?</v>
      </c>
    </row>
    <row r="1121" spans="1:4" x14ac:dyDescent="0.2">
      <c r="A1121" s="5">
        <v>1060</v>
      </c>
      <c r="B1121" s="138">
        <f>'Expenditures 15-22'!K50</f>
        <v>1088767</v>
      </c>
      <c r="C1121" s="2" t="s">
        <v>594</v>
      </c>
      <c r="D1121" s="2" t="str">
        <f t="shared" si="16"/>
        <v>Error?</v>
      </c>
    </row>
    <row r="1122" spans="1:4" x14ac:dyDescent="0.2">
      <c r="A1122" s="5">
        <v>1061</v>
      </c>
      <c r="B1122" s="138">
        <f>'Expenditures 15-22'!K53</f>
        <v>1971814</v>
      </c>
      <c r="C1122" s="2" t="s">
        <v>594</v>
      </c>
      <c r="D1122" s="2" t="str">
        <f t="shared" si="16"/>
        <v>Error?</v>
      </c>
    </row>
    <row r="1123" spans="1:4" x14ac:dyDescent="0.2">
      <c r="A1123" s="5">
        <v>1062</v>
      </c>
      <c r="B1123" s="138">
        <f>'Expenditures 15-22'!K55</f>
        <v>3520197</v>
      </c>
      <c r="C1123" s="2" t="s">
        <v>594</v>
      </c>
      <c r="D1123" s="2" t="str">
        <f t="shared" si="16"/>
        <v>Error?</v>
      </c>
    </row>
    <row r="1124" spans="1:4" x14ac:dyDescent="0.2">
      <c r="A1124" s="5">
        <v>1063</v>
      </c>
      <c r="B1124" s="138">
        <f>'Expenditures 15-22'!K56</f>
        <v>3212978</v>
      </c>
      <c r="C1124" s="2" t="s">
        <v>594</v>
      </c>
      <c r="D1124" s="2" t="str">
        <f t="shared" si="16"/>
        <v>Error?</v>
      </c>
    </row>
    <row r="1125" spans="1:4" x14ac:dyDescent="0.2">
      <c r="A1125" s="5">
        <v>1064</v>
      </c>
      <c r="B1125" s="138">
        <f>'Expenditures 15-22'!K57</f>
        <v>6733175</v>
      </c>
      <c r="C1125" s="2" t="s">
        <v>594</v>
      </c>
      <c r="D1125" s="2" t="str">
        <f t="shared" si="16"/>
        <v>Error?</v>
      </c>
    </row>
    <row r="1126" spans="1:4" x14ac:dyDescent="0.2">
      <c r="A1126" s="5">
        <v>1065</v>
      </c>
      <c r="B1126" s="138">
        <f>'Expenditures 15-22'!K59</f>
        <v>373119</v>
      </c>
      <c r="C1126" s="2" t="s">
        <v>594</v>
      </c>
      <c r="D1126" s="2" t="str">
        <f t="shared" si="16"/>
        <v>Error?</v>
      </c>
    </row>
    <row r="1127" spans="1:4" x14ac:dyDescent="0.2">
      <c r="A1127" s="5">
        <v>1066</v>
      </c>
      <c r="B1127" s="138">
        <f>'Expenditures 15-22'!K60</f>
        <v>599451</v>
      </c>
      <c r="C1127" s="2" t="s">
        <v>594</v>
      </c>
      <c r="D1127" s="2" t="str">
        <f t="shared" si="16"/>
        <v>Error?</v>
      </c>
    </row>
    <row r="1128" spans="1:4" x14ac:dyDescent="0.2">
      <c r="A1128" s="5">
        <v>1067</v>
      </c>
      <c r="B1128" s="138">
        <f>'Expenditures 15-22'!K61</f>
        <v>-6149</v>
      </c>
      <c r="C1128" s="2" t="s">
        <v>594</v>
      </c>
      <c r="D1128" s="2" t="str">
        <f t="shared" si="16"/>
        <v>Error?</v>
      </c>
    </row>
    <row r="1129" spans="1:4" x14ac:dyDescent="0.2">
      <c r="A1129" s="5">
        <v>1068</v>
      </c>
      <c r="B1129" s="138">
        <f>'Expenditures 15-22'!K62</f>
        <v>3133</v>
      </c>
      <c r="C1129" s="2" t="s">
        <v>594</v>
      </c>
      <c r="D1129" s="2" t="str">
        <f t="shared" si="16"/>
        <v>Error?</v>
      </c>
    </row>
    <row r="1130" spans="1:4" x14ac:dyDescent="0.2">
      <c r="A1130" s="5">
        <v>1069</v>
      </c>
      <c r="B1130" s="138">
        <f>'Expenditures 15-22'!K63</f>
        <v>16194</v>
      </c>
      <c r="C1130" s="2" t="s">
        <v>594</v>
      </c>
      <c r="D1130" s="2" t="str">
        <f t="shared" si="16"/>
        <v>Error?</v>
      </c>
    </row>
    <row r="1131" spans="1:4" x14ac:dyDescent="0.2">
      <c r="A1131" s="5">
        <v>1070</v>
      </c>
      <c r="B1131" s="138">
        <f>'Expenditures 15-22'!K64</f>
        <v>1001044</v>
      </c>
      <c r="C1131" s="2" t="s">
        <v>594</v>
      </c>
      <c r="D1131" s="2" t="str">
        <f t="shared" si="16"/>
        <v>Error?</v>
      </c>
    </row>
    <row r="1132" spans="1:4" x14ac:dyDescent="0.2">
      <c r="A1132" s="10">
        <v>1071</v>
      </c>
      <c r="D1132" s="2" t="str">
        <f t="shared" si="16"/>
        <v>OK</v>
      </c>
    </row>
    <row r="1133" spans="1:4" x14ac:dyDescent="0.2">
      <c r="A1133" s="5">
        <v>1072</v>
      </c>
      <c r="B1133" s="138">
        <f>'Expenditures 15-22'!K65</f>
        <v>1986792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153761</v>
      </c>
      <c r="C1136" s="2" t="s">
        <v>594</v>
      </c>
      <c r="D1136" s="2" t="str">
        <f t="shared" si="16"/>
        <v>Error?</v>
      </c>
    </row>
    <row r="1137" spans="1:4" x14ac:dyDescent="0.2">
      <c r="A1137" s="5">
        <v>1076</v>
      </c>
      <c r="B1137" s="138">
        <f>'Expenditures 15-22'!K70</f>
        <v>277141</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430902</v>
      </c>
      <c r="C1141" s="2" t="s">
        <v>594</v>
      </c>
      <c r="D1141" s="2" t="str">
        <f t="shared" si="16"/>
        <v>Error?</v>
      </c>
    </row>
    <row r="1142" spans="1:4" x14ac:dyDescent="0.2">
      <c r="A1142" s="5">
        <v>1081</v>
      </c>
      <c r="B1142" s="138">
        <f>'Expenditures 15-22'!K73</f>
        <v>377</v>
      </c>
      <c r="C1142" s="2" t="s">
        <v>594</v>
      </c>
      <c r="D1142" s="2" t="str">
        <f t="shared" si="16"/>
        <v>Error?</v>
      </c>
    </row>
    <row r="1143" spans="1:4" x14ac:dyDescent="0.2">
      <c r="A1143" s="5">
        <v>1082</v>
      </c>
      <c r="B1143" s="138">
        <f>'Expenditures 15-22'!K74</f>
        <v>24165103</v>
      </c>
      <c r="C1143" s="2" t="s">
        <v>594</v>
      </c>
      <c r="D1143" s="2" t="str">
        <f t="shared" si="16"/>
        <v>Error?</v>
      </c>
    </row>
    <row r="1144" spans="1:4" x14ac:dyDescent="0.2">
      <c r="A1144" s="5">
        <v>1083</v>
      </c>
      <c r="B1144" s="138">
        <f>'Expenditures 15-22'!K75</f>
        <v>386090</v>
      </c>
      <c r="C1144" s="2" t="s">
        <v>594</v>
      </c>
      <c r="D1144" s="2" t="str">
        <f t="shared" si="16"/>
        <v>Error?</v>
      </c>
    </row>
    <row r="1145" spans="1:4" x14ac:dyDescent="0.2">
      <c r="A1145" s="5">
        <v>1084</v>
      </c>
      <c r="B1145" s="138">
        <f>'Expenditures 15-22'!K102</f>
        <v>1773765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103585041</v>
      </c>
      <c r="C1152" s="2" t="s">
        <v>594</v>
      </c>
      <c r="D1152" s="2" t="str">
        <f t="shared" si="17"/>
        <v>Error?</v>
      </c>
    </row>
    <row r="1153" spans="1:4" x14ac:dyDescent="0.2">
      <c r="A1153" s="5">
        <v>1092</v>
      </c>
      <c r="B1153" s="138">
        <f>'Expenditures 15-22'!K115</f>
        <v>6049821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6419520</v>
      </c>
      <c r="D1221" s="2" t="str">
        <f t="shared" si="18"/>
        <v>Error?</v>
      </c>
    </row>
    <row r="1222" spans="1:4" x14ac:dyDescent="0.2">
      <c r="A1222" s="10">
        <v>1161</v>
      </c>
      <c r="D1222" s="2" t="str">
        <f t="shared" si="18"/>
        <v>OK</v>
      </c>
    </row>
    <row r="1223" spans="1:4" x14ac:dyDescent="0.2">
      <c r="A1223" s="5">
        <v>1162</v>
      </c>
      <c r="B1223" s="138">
        <f>'Expenditures 15-22'!C127</f>
        <v>6419520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6419520</v>
      </c>
      <c r="C1225" s="2" t="s">
        <v>594</v>
      </c>
      <c r="D1225" s="2" t="str">
        <f t="shared" si="18"/>
        <v>Error?</v>
      </c>
    </row>
    <row r="1226" spans="1:4" x14ac:dyDescent="0.2">
      <c r="A1226" s="5">
        <v>1165</v>
      </c>
      <c r="B1226" s="138">
        <f>'Expenditures 15-22'!C151</f>
        <v>6419520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1432746</v>
      </c>
      <c r="D1229" s="2" t="str">
        <f t="shared" si="18"/>
        <v>Error?</v>
      </c>
    </row>
    <row r="1230" spans="1:4" x14ac:dyDescent="0.2">
      <c r="A1230" s="10">
        <v>1169</v>
      </c>
      <c r="D1230" s="2" t="str">
        <f t="shared" si="18"/>
        <v>OK</v>
      </c>
    </row>
    <row r="1231" spans="1:4" x14ac:dyDescent="0.2">
      <c r="A1231" s="5">
        <v>1170</v>
      </c>
      <c r="B1231" s="138">
        <f>'Expenditures 15-22'!D127</f>
        <v>1432746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1432746</v>
      </c>
      <c r="C1233" s="2" t="s">
        <v>594</v>
      </c>
      <c r="D1233" s="2" t="str">
        <f t="shared" si="18"/>
        <v>Error?</v>
      </c>
    </row>
    <row r="1234" spans="1:4" x14ac:dyDescent="0.2">
      <c r="A1234" s="5">
        <v>1173</v>
      </c>
      <c r="B1234" s="138">
        <f>'Expenditures 15-22'!D151</f>
        <v>1432746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2994699</v>
      </c>
      <c r="D1237" s="2" t="str">
        <f t="shared" si="18"/>
        <v>Error?</v>
      </c>
    </row>
    <row r="1238" spans="1:4" x14ac:dyDescent="0.2">
      <c r="A1238" s="10">
        <v>1177</v>
      </c>
      <c r="D1238" s="2" t="str">
        <f t="shared" si="18"/>
        <v>OK</v>
      </c>
    </row>
    <row r="1239" spans="1:4" x14ac:dyDescent="0.2">
      <c r="A1239" s="5">
        <v>1178</v>
      </c>
      <c r="B1239" s="138">
        <f>'Expenditures 15-22'!E127</f>
        <v>2994699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2994699</v>
      </c>
      <c r="C1241" s="2" t="s">
        <v>594</v>
      </c>
      <c r="D1241" s="2" t="str">
        <f t="shared" si="18"/>
        <v>Error?</v>
      </c>
    </row>
    <row r="1242" spans="1:4" x14ac:dyDescent="0.2">
      <c r="A1242" s="5">
        <v>1181</v>
      </c>
      <c r="B1242" s="138">
        <f>'Expenditures 15-22'!E151</f>
        <v>2994699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2175980</v>
      </c>
      <c r="D1245" s="2" t="str">
        <f t="shared" si="18"/>
        <v>Error?</v>
      </c>
    </row>
    <row r="1246" spans="1:4" x14ac:dyDescent="0.2">
      <c r="A1246" s="10">
        <v>1185</v>
      </c>
      <c r="D1246" s="2" t="str">
        <f t="shared" si="18"/>
        <v>OK</v>
      </c>
    </row>
    <row r="1247" spans="1:4" x14ac:dyDescent="0.2">
      <c r="A1247" s="5">
        <v>1186</v>
      </c>
      <c r="B1247" s="138">
        <f>'Expenditures 15-22'!F127</f>
        <v>2175980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2175980</v>
      </c>
      <c r="C1249" s="2" t="s">
        <v>594</v>
      </c>
      <c r="D1249" s="2" t="str">
        <f t="shared" si="18"/>
        <v>Error?</v>
      </c>
    </row>
    <row r="1250" spans="1:4" x14ac:dyDescent="0.2">
      <c r="A1250" s="5">
        <v>1189</v>
      </c>
      <c r="B1250" s="138">
        <f>'Expenditures 15-22'!F151</f>
        <v>2175980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2759957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2759957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2759957</v>
      </c>
      <c r="C1258" s="2" t="s">
        <v>594</v>
      </c>
      <c r="D1258" s="2" t="str">
        <f t="shared" si="18"/>
        <v>Error?</v>
      </c>
    </row>
    <row r="1259" spans="1:4" x14ac:dyDescent="0.2">
      <c r="A1259" s="5">
        <v>1198</v>
      </c>
      <c r="B1259" s="138">
        <f>'Expenditures 15-22'!G151</f>
        <v>2759957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3854</v>
      </c>
      <c r="D1262" s="2" t="str">
        <f t="shared" si="18"/>
        <v>Error?</v>
      </c>
    </row>
    <row r="1263" spans="1:4" x14ac:dyDescent="0.2">
      <c r="A1263" s="10">
        <v>1202</v>
      </c>
      <c r="D1263" s="2" t="str">
        <f t="shared" si="18"/>
        <v>OK</v>
      </c>
    </row>
    <row r="1264" spans="1:4" x14ac:dyDescent="0.2">
      <c r="A1264" s="5">
        <v>1203</v>
      </c>
      <c r="B1264" s="138">
        <f>'Expenditures 15-22'!H127</f>
        <v>3854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3854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3854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15786756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15786756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15786756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15786756</v>
      </c>
      <c r="C1288" s="2" t="s">
        <v>594</v>
      </c>
      <c r="D1288" s="2" t="str">
        <f t="shared" si="19"/>
        <v>Error?</v>
      </c>
    </row>
    <row r="1289" spans="1:4" x14ac:dyDescent="0.2">
      <c r="A1289" s="5">
        <v>1228</v>
      </c>
      <c r="B1289" s="138">
        <f>'Expenditures 15-22'!K152</f>
        <v>2229780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900</v>
      </c>
      <c r="D1307" s="2" t="str">
        <f t="shared" si="19"/>
        <v>Error?</v>
      </c>
    </row>
    <row r="1308" spans="1:4" x14ac:dyDescent="0.2">
      <c r="A1308" s="5">
        <v>1247</v>
      </c>
      <c r="B1308" s="138">
        <f>'Expenditures 15-22'!E172</f>
        <v>900</v>
      </c>
      <c r="C1308" s="2" t="s">
        <v>594</v>
      </c>
      <c r="D1308" s="2" t="str">
        <f t="shared" si="19"/>
        <v>Error?</v>
      </c>
    </row>
    <row r="1309" spans="1:4" x14ac:dyDescent="0.2">
      <c r="A1309" s="5">
        <v>1248</v>
      </c>
      <c r="B1309" s="138">
        <f>'Expenditures 15-22'!E174</f>
        <v>900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497999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1557999</v>
      </c>
      <c r="C1317" s="2" t="s">
        <v>594</v>
      </c>
      <c r="D1317" s="2" t="str">
        <f t="shared" si="19"/>
        <v>Error?</v>
      </c>
    </row>
    <row r="1318" spans="1:4" x14ac:dyDescent="0.2">
      <c r="A1318" s="5">
        <v>1257</v>
      </c>
      <c r="B1318" s="138">
        <f>'Expenditures 15-22'!H174</f>
        <v>1557999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497999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1060000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1558899</v>
      </c>
      <c r="C1331" s="2" t="s">
        <v>594</v>
      </c>
      <c r="D1331" s="2" t="str">
        <f t="shared" si="19"/>
        <v>Error?</v>
      </c>
    </row>
    <row r="1332" spans="1:4" x14ac:dyDescent="0.2">
      <c r="A1332" s="5">
        <v>1271</v>
      </c>
      <c r="B1332" s="138">
        <f>'Expenditures 15-22'!K174</f>
        <v>1558899</v>
      </c>
      <c r="C1332" s="2" t="s">
        <v>594</v>
      </c>
      <c r="D1332" s="2" t="str">
        <f t="shared" si="19"/>
        <v>Error?</v>
      </c>
    </row>
    <row r="1333" spans="1:4" x14ac:dyDescent="0.2">
      <c r="A1333" s="5">
        <v>1272</v>
      </c>
      <c r="B1333" s="138">
        <f>'Expenditures 15-22'!K175</f>
        <v>32444</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2461986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2461986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2461986</v>
      </c>
      <c r="C1353" s="2" t="s">
        <v>594</v>
      </c>
      <c r="D1353" s="2" t="str">
        <f t="shared" si="20"/>
        <v>Error?</v>
      </c>
    </row>
    <row r="1354" spans="1:4" x14ac:dyDescent="0.2">
      <c r="A1354" s="5">
        <v>1293</v>
      </c>
      <c r="B1354" s="138">
        <f>'Expenditures 15-22'!F182</f>
        <v>24996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24996</v>
      </c>
      <c r="C1358" s="2" t="s">
        <v>594</v>
      </c>
      <c r="D1358" s="2" t="str">
        <f t="shared" si="20"/>
        <v>Error?</v>
      </c>
    </row>
    <row r="1359" spans="1:4" x14ac:dyDescent="0.2">
      <c r="A1359" s="5">
        <v>1298</v>
      </c>
      <c r="B1359" s="138">
        <f>'Expenditures 15-22'!F210</f>
        <v>24996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2486982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2486982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2486982</v>
      </c>
      <c r="C1388" s="2" t="s">
        <v>594</v>
      </c>
      <c r="D1388" s="2" t="str">
        <f t="shared" si="20"/>
        <v>Error?</v>
      </c>
    </row>
    <row r="1389" spans="1:4" x14ac:dyDescent="0.2">
      <c r="A1389" s="5">
        <v>1328</v>
      </c>
      <c r="B1389" s="138">
        <f>'Expenditures 15-22'!K211</f>
        <v>79457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34455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94516</v>
      </c>
      <c r="D1407" s="2" t="str">
        <f t="shared" ref="D1407:D1470" si="21">IF(ISBLANK(B1407),"OK",IF(A1407-B1407=0,"OK","Error?"))</f>
        <v>Error?</v>
      </c>
    </row>
    <row r="1408" spans="1:4" x14ac:dyDescent="0.2">
      <c r="A1408" s="5">
        <v>1347</v>
      </c>
      <c r="B1408" s="138">
        <f>'Expenditures 15-22'!D223</f>
        <v>160595</v>
      </c>
      <c r="D1408" s="2" t="str">
        <f t="shared" si="21"/>
        <v>Error?</v>
      </c>
    </row>
    <row r="1409" spans="1:4" x14ac:dyDescent="0.2">
      <c r="A1409" s="5">
        <v>1348</v>
      </c>
      <c r="B1409" s="138">
        <f>'Expenditures 15-22'!D224</f>
        <v>35994</v>
      </c>
      <c r="D1409" s="2" t="str">
        <f t="shared" si="21"/>
        <v>Error?</v>
      </c>
    </row>
    <row r="1410" spans="1:4" x14ac:dyDescent="0.2">
      <c r="A1410" s="5">
        <v>1349</v>
      </c>
      <c r="B1410" s="138">
        <f>'Expenditures 15-22'!D229</f>
        <v>1699392</v>
      </c>
      <c r="C1410" s="2" t="s">
        <v>594</v>
      </c>
      <c r="D1410" s="2" t="str">
        <f t="shared" si="21"/>
        <v>Error?</v>
      </c>
    </row>
    <row r="1411" spans="1:4" x14ac:dyDescent="0.2">
      <c r="A1411" s="5">
        <v>1350</v>
      </c>
      <c r="B1411" s="138">
        <f>'Expenditures 15-22'!D232</f>
        <v>36112</v>
      </c>
      <c r="D1411" s="2" t="str">
        <f t="shared" si="21"/>
        <v>Error?</v>
      </c>
    </row>
    <row r="1412" spans="1:4" x14ac:dyDescent="0.2">
      <c r="A1412" s="5">
        <v>1351</v>
      </c>
      <c r="B1412" s="138">
        <f>'Expenditures 15-22'!D233</f>
        <v>151213</v>
      </c>
      <c r="D1412" s="2" t="str">
        <f t="shared" si="21"/>
        <v>Error?</v>
      </c>
    </row>
    <row r="1413" spans="1:4" x14ac:dyDescent="0.2">
      <c r="A1413" s="5">
        <v>1352</v>
      </c>
      <c r="B1413" s="138">
        <f>'Expenditures 15-22'!D234</f>
        <v>44574</v>
      </c>
      <c r="D1413" s="2" t="str">
        <f t="shared" si="21"/>
        <v>Error?</v>
      </c>
    </row>
    <row r="1414" spans="1:4" x14ac:dyDescent="0.2">
      <c r="A1414" s="5">
        <v>1353</v>
      </c>
      <c r="B1414" s="138">
        <f>'Expenditures 15-22'!D235</f>
        <v>15317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23350</v>
      </c>
      <c r="D1416" s="2" t="str">
        <f t="shared" si="21"/>
        <v>Error?</v>
      </c>
    </row>
    <row r="1417" spans="1:4" x14ac:dyDescent="0.2">
      <c r="A1417" s="5">
        <v>1356</v>
      </c>
      <c r="B1417" s="138">
        <f>'Expenditures 15-22'!D238</f>
        <v>270566</v>
      </c>
      <c r="C1417" s="2" t="s">
        <v>594</v>
      </c>
      <c r="D1417" s="2" t="str">
        <f t="shared" si="21"/>
        <v>Error?</v>
      </c>
    </row>
    <row r="1418" spans="1:4" x14ac:dyDescent="0.2">
      <c r="A1418" s="5">
        <v>1357</v>
      </c>
      <c r="B1418" s="138">
        <f>'Expenditures 15-22'!D240</f>
        <v>3374</v>
      </c>
      <c r="D1418" s="2" t="str">
        <f t="shared" si="21"/>
        <v>Error?</v>
      </c>
    </row>
    <row r="1419" spans="1:4" x14ac:dyDescent="0.2">
      <c r="A1419" s="5">
        <v>1358</v>
      </c>
      <c r="B1419" s="138">
        <f>'Expenditures 15-22'!D241</f>
        <v>297253</v>
      </c>
      <c r="D1419" s="2" t="str">
        <f t="shared" si="21"/>
        <v>Error?</v>
      </c>
    </row>
    <row r="1420" spans="1:4" x14ac:dyDescent="0.2">
      <c r="A1420" s="5">
        <v>1359</v>
      </c>
      <c r="B1420" s="138">
        <f>'Expenditures 15-22'!D242</f>
        <v>28297</v>
      </c>
      <c r="D1420" s="2" t="str">
        <f t="shared" si="21"/>
        <v>Error?</v>
      </c>
    </row>
    <row r="1421" spans="1:4" x14ac:dyDescent="0.2">
      <c r="A1421" s="5">
        <v>1360</v>
      </c>
      <c r="B1421" s="138">
        <f>'Expenditures 15-22'!D243</f>
        <v>328924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50077</v>
      </c>
      <c r="D1423" s="2" t="str">
        <f t="shared" si="21"/>
        <v>Error?</v>
      </c>
    </row>
    <row r="1424" spans="1:4" x14ac:dyDescent="0.2">
      <c r="A1424" s="5">
        <v>1363</v>
      </c>
      <c r="B1424" s="138">
        <f>'Expenditures 15-22'!D257</f>
        <v>73928</v>
      </c>
      <c r="C1424" s="2" t="s">
        <v>594</v>
      </c>
      <c r="D1424" s="2" t="str">
        <f t="shared" si="21"/>
        <v>Error?</v>
      </c>
    </row>
    <row r="1425" spans="1:4" x14ac:dyDescent="0.2">
      <c r="A1425" s="5">
        <v>1364</v>
      </c>
      <c r="B1425" s="138">
        <f>'Expenditures 15-22'!D259</f>
        <v>160676</v>
      </c>
      <c r="D1425" s="2" t="str">
        <f t="shared" si="21"/>
        <v>Error?</v>
      </c>
    </row>
    <row r="1426" spans="1:4" x14ac:dyDescent="0.2">
      <c r="A1426" s="5">
        <v>1365</v>
      </c>
      <c r="B1426" s="138">
        <f>'Expenditures 15-22'!D260</f>
        <v>42886</v>
      </c>
      <c r="D1426" s="2" t="str">
        <f t="shared" si="21"/>
        <v>Error?</v>
      </c>
    </row>
    <row r="1427" spans="1:4" x14ac:dyDescent="0.2">
      <c r="A1427" s="5">
        <v>1366</v>
      </c>
      <c r="B1427" s="138">
        <f>'Expenditures 15-22'!D261</f>
        <v>203562</v>
      </c>
      <c r="C1427" s="2" t="s">
        <v>594</v>
      </c>
      <c r="D1427" s="2" t="str">
        <f t="shared" si="21"/>
        <v>Error?</v>
      </c>
    </row>
    <row r="1428" spans="1:4" x14ac:dyDescent="0.2">
      <c r="A1428" s="5">
        <v>1367</v>
      </c>
      <c r="B1428" s="138">
        <f>'Expenditures 15-22'!D263</f>
        <v>15538</v>
      </c>
      <c r="D1428" s="2" t="str">
        <f t="shared" si="21"/>
        <v>Error?</v>
      </c>
    </row>
    <row r="1429" spans="1:4" x14ac:dyDescent="0.2">
      <c r="A1429" s="5">
        <v>1368</v>
      </c>
      <c r="B1429" s="138">
        <f>'Expenditures 15-22'!D264</f>
        <v>74194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988118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26977</v>
      </c>
      <c r="D1434" s="2" t="str">
        <f t="shared" si="21"/>
        <v>Error?</v>
      </c>
    </row>
    <row r="1435" spans="1:4" x14ac:dyDescent="0.2">
      <c r="A1435" s="10">
        <v>1374</v>
      </c>
      <c r="D1435" s="2" t="str">
        <f t="shared" si="21"/>
        <v>OK</v>
      </c>
    </row>
    <row r="1436" spans="1:4" x14ac:dyDescent="0.2">
      <c r="A1436" s="5">
        <v>1375</v>
      </c>
      <c r="B1436" s="138">
        <f>'Expenditures 15-22'!D270</f>
        <v>1104827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22531</v>
      </c>
      <c r="D1439" s="2" t="str">
        <f t="shared" si="21"/>
        <v>Error?</v>
      </c>
    </row>
    <row r="1440" spans="1:4" x14ac:dyDescent="0.2">
      <c r="A1440" s="5">
        <v>1379</v>
      </c>
      <c r="B1440" s="138">
        <f>'Expenditures 15-22'!D275</f>
        <v>4150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26681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2008488</v>
      </c>
      <c r="C1446" s="2" t="s">
        <v>594</v>
      </c>
      <c r="D1446" s="2" t="str">
        <f t="shared" si="21"/>
        <v>Error?</v>
      </c>
    </row>
    <row r="1447" spans="1:4" x14ac:dyDescent="0.2">
      <c r="A1447" s="5">
        <v>1386</v>
      </c>
      <c r="B1447" s="138">
        <f>'Expenditures 15-22'!D280</f>
        <v>62</v>
      </c>
      <c r="D1447" s="2" t="str">
        <f t="shared" si="21"/>
        <v>Error?</v>
      </c>
    </row>
    <row r="1448" spans="1:4" x14ac:dyDescent="0.2">
      <c r="A1448" s="5">
        <v>1387</v>
      </c>
      <c r="B1448" s="138">
        <f>'Expenditures 15-22'!D295</f>
        <v>3707942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34455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94516</v>
      </c>
      <c r="C1471" s="2" t="s">
        <v>594</v>
      </c>
      <c r="D1471" s="2" t="str">
        <f t="shared" ref="D1471:D1534" si="22">IF(ISBLANK(B1471),"OK",IF(A1471-B1471=0,"OK","Error?"))</f>
        <v>Error?</v>
      </c>
    </row>
    <row r="1472" spans="1:4" x14ac:dyDescent="0.2">
      <c r="A1472" s="5">
        <v>1411</v>
      </c>
      <c r="B1472" s="138">
        <f>'Expenditures 15-22'!K223</f>
        <v>160595</v>
      </c>
      <c r="C1472" s="2" t="s">
        <v>594</v>
      </c>
      <c r="D1472" s="2" t="str">
        <f t="shared" si="22"/>
        <v>Error?</v>
      </c>
    </row>
    <row r="1473" spans="1:4" x14ac:dyDescent="0.2">
      <c r="A1473" s="5">
        <v>1412</v>
      </c>
      <c r="B1473" s="138">
        <f>'Expenditures 15-22'!K224</f>
        <v>35994</v>
      </c>
      <c r="C1473" s="2" t="s">
        <v>594</v>
      </c>
      <c r="D1473" s="2" t="str">
        <f t="shared" si="22"/>
        <v>Error?</v>
      </c>
    </row>
    <row r="1474" spans="1:4" x14ac:dyDescent="0.2">
      <c r="A1474" s="5">
        <v>1413</v>
      </c>
      <c r="B1474" s="138">
        <f>'Expenditures 15-22'!K229</f>
        <v>1699392</v>
      </c>
      <c r="C1474" s="2" t="s">
        <v>594</v>
      </c>
      <c r="D1474" s="2" t="str">
        <f t="shared" si="22"/>
        <v>Error?</v>
      </c>
    </row>
    <row r="1475" spans="1:4" x14ac:dyDescent="0.2">
      <c r="A1475" s="5">
        <v>1414</v>
      </c>
      <c r="B1475" s="138">
        <f>'Expenditures 15-22'!K232</f>
        <v>36112</v>
      </c>
      <c r="C1475" s="2" t="s">
        <v>594</v>
      </c>
      <c r="D1475" s="2" t="str">
        <f t="shared" si="22"/>
        <v>Error?</v>
      </c>
    </row>
    <row r="1476" spans="1:4" x14ac:dyDescent="0.2">
      <c r="A1476" s="5">
        <v>1415</v>
      </c>
      <c r="B1476" s="138">
        <f>'Expenditures 15-22'!K233</f>
        <v>151213</v>
      </c>
      <c r="C1476" s="2" t="s">
        <v>594</v>
      </c>
      <c r="D1476" s="2" t="str">
        <f t="shared" si="22"/>
        <v>Error?</v>
      </c>
    </row>
    <row r="1477" spans="1:4" x14ac:dyDescent="0.2">
      <c r="A1477" s="5">
        <v>1416</v>
      </c>
      <c r="B1477" s="138">
        <f>'Expenditures 15-22'!K234</f>
        <v>44574</v>
      </c>
      <c r="C1477" s="2" t="s">
        <v>594</v>
      </c>
      <c r="D1477" s="2" t="str">
        <f t="shared" si="22"/>
        <v>Error?</v>
      </c>
    </row>
    <row r="1478" spans="1:4" x14ac:dyDescent="0.2">
      <c r="A1478" s="5">
        <v>1417</v>
      </c>
      <c r="B1478" s="138">
        <f>'Expenditures 15-22'!K235</f>
        <v>15317</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23350</v>
      </c>
      <c r="C1480" s="2" t="s">
        <v>594</v>
      </c>
      <c r="D1480" s="2" t="str">
        <f t="shared" si="22"/>
        <v>Error?</v>
      </c>
    </row>
    <row r="1481" spans="1:4" x14ac:dyDescent="0.2">
      <c r="A1481" s="5">
        <v>1420</v>
      </c>
      <c r="B1481" s="138">
        <f>'Expenditures 15-22'!K238</f>
        <v>270566</v>
      </c>
      <c r="C1481" s="2" t="s">
        <v>594</v>
      </c>
      <c r="D1481" s="2" t="str">
        <f t="shared" si="22"/>
        <v>Error?</v>
      </c>
    </row>
    <row r="1482" spans="1:4" x14ac:dyDescent="0.2">
      <c r="A1482" s="5">
        <v>1421</v>
      </c>
      <c r="B1482" s="138">
        <f>'Expenditures 15-22'!K240</f>
        <v>3374</v>
      </c>
      <c r="C1482" s="2" t="s">
        <v>594</v>
      </c>
      <c r="D1482" s="2" t="str">
        <f t="shared" si="22"/>
        <v>Error?</v>
      </c>
    </row>
    <row r="1483" spans="1:4" x14ac:dyDescent="0.2">
      <c r="A1483" s="5">
        <v>1422</v>
      </c>
      <c r="B1483" s="138">
        <f>'Expenditures 15-22'!K241</f>
        <v>297253</v>
      </c>
      <c r="C1483" s="2" t="s">
        <v>594</v>
      </c>
      <c r="D1483" s="2" t="str">
        <f t="shared" si="22"/>
        <v>Error?</v>
      </c>
    </row>
    <row r="1484" spans="1:4" x14ac:dyDescent="0.2">
      <c r="A1484" s="5">
        <v>1423</v>
      </c>
      <c r="B1484" s="138">
        <f>'Expenditures 15-22'!K242</f>
        <v>28297</v>
      </c>
      <c r="C1484" s="2" t="s">
        <v>594</v>
      </c>
      <c r="D1484" s="2" t="str">
        <f t="shared" si="22"/>
        <v>Error?</v>
      </c>
    </row>
    <row r="1485" spans="1:4" x14ac:dyDescent="0.2">
      <c r="A1485" s="5">
        <v>1424</v>
      </c>
      <c r="B1485" s="138">
        <f>'Expenditures 15-22'!K243</f>
        <v>328924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50077</v>
      </c>
      <c r="C1487" s="2" t="s">
        <v>594</v>
      </c>
      <c r="D1487" s="2" t="str">
        <f t="shared" si="22"/>
        <v>Error?</v>
      </c>
    </row>
    <row r="1488" spans="1:4" x14ac:dyDescent="0.2">
      <c r="A1488" s="5">
        <v>1427</v>
      </c>
      <c r="B1488" s="138">
        <f>'Expenditures 15-22'!K257</f>
        <v>73928</v>
      </c>
      <c r="C1488" s="2" t="s">
        <v>594</v>
      </c>
      <c r="D1488" s="2" t="str">
        <f t="shared" si="22"/>
        <v>Error?</v>
      </c>
    </row>
    <row r="1489" spans="1:4" x14ac:dyDescent="0.2">
      <c r="A1489" s="5">
        <v>1428</v>
      </c>
      <c r="B1489" s="138">
        <f>'Expenditures 15-22'!K259</f>
        <v>160676</v>
      </c>
      <c r="C1489" s="2" t="s">
        <v>594</v>
      </c>
      <c r="D1489" s="2" t="str">
        <f t="shared" si="22"/>
        <v>Error?</v>
      </c>
    </row>
    <row r="1490" spans="1:4" x14ac:dyDescent="0.2">
      <c r="A1490" s="5">
        <v>1429</v>
      </c>
      <c r="B1490" s="138">
        <f>'Expenditures 15-22'!K260</f>
        <v>42886</v>
      </c>
      <c r="C1490" s="2" t="s">
        <v>594</v>
      </c>
      <c r="D1490" s="2" t="str">
        <f t="shared" si="22"/>
        <v>Error?</v>
      </c>
    </row>
    <row r="1491" spans="1:4" x14ac:dyDescent="0.2">
      <c r="A1491" s="5">
        <v>1430</v>
      </c>
      <c r="B1491" s="138">
        <f>'Expenditures 15-22'!K261</f>
        <v>203562</v>
      </c>
      <c r="C1491" s="2" t="s">
        <v>594</v>
      </c>
      <c r="D1491" s="2" t="str">
        <f t="shared" si="22"/>
        <v>Error?</v>
      </c>
    </row>
    <row r="1492" spans="1:4" x14ac:dyDescent="0.2">
      <c r="A1492" s="5">
        <v>1431</v>
      </c>
      <c r="B1492" s="138">
        <f>'Expenditures 15-22'!K263</f>
        <v>15538</v>
      </c>
      <c r="C1492" s="2" t="s">
        <v>594</v>
      </c>
      <c r="D1492" s="2" t="str">
        <f t="shared" si="22"/>
        <v>Error?</v>
      </c>
    </row>
    <row r="1493" spans="1:4" x14ac:dyDescent="0.2">
      <c r="A1493" s="5">
        <v>1432</v>
      </c>
      <c r="B1493" s="138">
        <f>'Expenditures 15-22'!K264</f>
        <v>74194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988118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26977</v>
      </c>
      <c r="C1498" s="2" t="s">
        <v>594</v>
      </c>
      <c r="D1498" s="2" t="str">
        <f t="shared" si="22"/>
        <v>Error?</v>
      </c>
    </row>
    <row r="1499" spans="1:4" x14ac:dyDescent="0.2">
      <c r="A1499" s="10">
        <v>1438</v>
      </c>
      <c r="D1499" s="2" t="str">
        <f t="shared" si="22"/>
        <v>OK</v>
      </c>
    </row>
    <row r="1500" spans="1:4" x14ac:dyDescent="0.2">
      <c r="A1500" s="5">
        <v>1439</v>
      </c>
      <c r="B1500" s="138">
        <f>'Expenditures 15-22'!K270</f>
        <v>1104827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22531</v>
      </c>
      <c r="C1503" s="2" t="s">
        <v>594</v>
      </c>
      <c r="D1503" s="2" t="str">
        <f t="shared" si="22"/>
        <v>Error?</v>
      </c>
    </row>
    <row r="1504" spans="1:4" x14ac:dyDescent="0.2">
      <c r="A1504" s="5">
        <v>1443</v>
      </c>
      <c r="B1504" s="138">
        <f>'Expenditures 15-22'!K275</f>
        <v>4150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26681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2008488</v>
      </c>
      <c r="C1510" s="2" t="s">
        <v>594</v>
      </c>
      <c r="D1510" s="2" t="str">
        <f t="shared" si="22"/>
        <v>Error?</v>
      </c>
    </row>
    <row r="1511" spans="1:4" x14ac:dyDescent="0.2">
      <c r="A1511" s="5">
        <v>1450</v>
      </c>
      <c r="B1511" s="138">
        <f>'Expenditures 15-22'!K280</f>
        <v>62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3707942</v>
      </c>
      <c r="C1517" s="2" t="s">
        <v>594</v>
      </c>
      <c r="D1517" s="2" t="str">
        <f t="shared" si="22"/>
        <v>Error?</v>
      </c>
    </row>
    <row r="1518" spans="1:4" x14ac:dyDescent="0.2">
      <c r="A1518" s="5">
        <v>1457</v>
      </c>
      <c r="B1518" s="138">
        <f>'Expenditures 15-22'!K296</f>
        <v>168954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5936656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5936656</v>
      </c>
      <c r="C1547" s="2" t="s">
        <v>594</v>
      </c>
      <c r="D1547" s="2" t="str">
        <f t="shared" si="23"/>
        <v>Error?</v>
      </c>
    </row>
    <row r="1548" spans="1:4" x14ac:dyDescent="0.2">
      <c r="A1548" s="5">
        <v>1487</v>
      </c>
      <c r="B1548" s="138">
        <f>'Expenditures 15-22'!G312</f>
        <v>5936656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5936656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5936656</v>
      </c>
      <c r="C1559" s="2" t="s">
        <v>594</v>
      </c>
      <c r="D1559" s="2" t="str">
        <f t="shared" si="23"/>
        <v>Error?</v>
      </c>
    </row>
    <row r="1560" spans="1:4" x14ac:dyDescent="0.2">
      <c r="A1560" s="5">
        <v>1499</v>
      </c>
      <c r="B1560" s="138">
        <f>'Expenditures 15-22'!K312</f>
        <v>5936656</v>
      </c>
      <c r="C1560" s="2" t="s">
        <v>594</v>
      </c>
      <c r="D1560" s="2" t="str">
        <f t="shared" si="23"/>
        <v>Error?</v>
      </c>
    </row>
    <row r="1561" spans="1:4" x14ac:dyDescent="0.2">
      <c r="A1561" s="5">
        <v>1500</v>
      </c>
      <c r="B1561" s="138">
        <f>'Expenditures 15-22'!K313</f>
        <v>-5514996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78951519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85596660</v>
      </c>
      <c r="C1630" s="2" t="s">
        <v>594</v>
      </c>
      <c r="D1630" s="2" t="str">
        <f t="shared" si="24"/>
        <v>Error?</v>
      </c>
    </row>
    <row r="1631" spans="1:4" x14ac:dyDescent="0.2">
      <c r="A1631" s="5">
        <v>1570</v>
      </c>
      <c r="B1631" s="138">
        <f>'Acct Summary 7-8'!D79</f>
        <v>8445445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11075225</v>
      </c>
      <c r="C1644" s="2" t="s">
        <v>594</v>
      </c>
      <c r="D1644" s="2" t="str">
        <f t="shared" si="24"/>
        <v>Error?</v>
      </c>
    </row>
    <row r="1645" spans="1:4" x14ac:dyDescent="0.2">
      <c r="A1645" s="5">
        <v>1584</v>
      </c>
      <c r="B1645" s="138">
        <f>'Acct Summary 7-8'!E79</f>
        <v>117431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149875</v>
      </c>
      <c r="C1658" s="2" t="s">
        <v>594</v>
      </c>
      <c r="D1658" s="2" t="str">
        <f t="shared" si="24"/>
        <v>Error?</v>
      </c>
    </row>
    <row r="1659" spans="1:4" x14ac:dyDescent="0.2">
      <c r="A1659" s="5">
        <v>1598</v>
      </c>
      <c r="B1659" s="138">
        <f>'Acct Summary 7-8'!F79</f>
        <v>2774429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2853886</v>
      </c>
      <c r="C1672" s="2" t="s">
        <v>594</v>
      </c>
      <c r="D1672" s="2" t="str">
        <f t="shared" si="25"/>
        <v>Error?</v>
      </c>
    </row>
    <row r="1673" spans="1:4" x14ac:dyDescent="0.2">
      <c r="A1673" s="5">
        <v>1612</v>
      </c>
      <c r="B1673" s="138">
        <f>'Acct Summary 7-8'!G79</f>
        <v>3645995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3852275</v>
      </c>
      <c r="C1686" s="2" t="s">
        <v>594</v>
      </c>
      <c r="D1686" s="2" t="str">
        <f t="shared" si="25"/>
        <v>Error?</v>
      </c>
    </row>
    <row r="1687" spans="1:4" x14ac:dyDescent="0.2">
      <c r="A1687" s="5">
        <v>1626</v>
      </c>
      <c r="B1687" s="138">
        <f>'Acct Summary 7-8'!H79</f>
        <v>3509146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6394150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86602185</v>
      </c>
      <c r="C1744" s="2" t="s">
        <v>594</v>
      </c>
      <c r="D1744" s="2" t="str">
        <f t="shared" si="26"/>
        <v>Error?</v>
      </c>
    </row>
    <row r="1745" spans="1:5" x14ac:dyDescent="0.2">
      <c r="A1745" s="5">
        <v>1684</v>
      </c>
      <c r="B1745" s="138">
        <f>'Tax Sched 23'!B5</f>
        <v>17643842</v>
      </c>
      <c r="C1745" s="2" t="s">
        <v>594</v>
      </c>
      <c r="D1745" s="2" t="str">
        <f t="shared" si="26"/>
        <v>Error?</v>
      </c>
    </row>
    <row r="1746" spans="1:5" x14ac:dyDescent="0.2">
      <c r="A1746" s="5">
        <v>1685</v>
      </c>
      <c r="B1746" s="138">
        <f>'Tax Sched 23'!B6</f>
        <v>1645876</v>
      </c>
      <c r="C1746" s="2" t="s">
        <v>594</v>
      </c>
      <c r="D1746" s="2" t="str">
        <f t="shared" si="26"/>
        <v>Error?</v>
      </c>
    </row>
    <row r="1747" spans="1:5" x14ac:dyDescent="0.2">
      <c r="A1747" s="5">
        <v>1686</v>
      </c>
      <c r="B1747" s="138">
        <f>'Tax Sched 23'!B7</f>
        <v>819308</v>
      </c>
      <c r="C1747" s="2" t="s">
        <v>594</v>
      </c>
      <c r="D1747" s="2" t="str">
        <f t="shared" si="26"/>
        <v>Error?</v>
      </c>
    </row>
    <row r="1748" spans="1:5" x14ac:dyDescent="0.2">
      <c r="A1748" s="5">
        <v>1687</v>
      </c>
      <c r="B1748" s="138">
        <f>'Tax Sched 23'!B8</f>
        <v>951332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1136186</v>
      </c>
      <c r="C1752" s="2" t="s">
        <v>594</v>
      </c>
      <c r="D1752" s="2" t="str">
        <f t="shared" si="26"/>
        <v>Error?</v>
      </c>
    </row>
    <row r="1753" spans="1:5" x14ac:dyDescent="0.2">
      <c r="A1753" s="5">
        <v>1692</v>
      </c>
      <c r="B1753" s="138">
        <f>'Tax Sched 23'!B12</f>
        <v>1107186</v>
      </c>
      <c r="C1753" s="2" t="s">
        <v>594</v>
      </c>
      <c r="D1753" s="2" t="str">
        <f t="shared" si="26"/>
        <v>Error?</v>
      </c>
    </row>
    <row r="1754" spans="1:5" x14ac:dyDescent="0.2">
      <c r="A1754" s="5">
        <v>1693</v>
      </c>
      <c r="B1754" s="138">
        <f>'Tax Sched 23'!B14</f>
        <v>1587742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114251793</v>
      </c>
      <c r="C1759" s="2" t="s">
        <v>594</v>
      </c>
      <c r="D1759" s="2" t="str">
        <f t="shared" si="26"/>
        <v>Error?</v>
      </c>
    </row>
    <row r="1760" spans="1:5" x14ac:dyDescent="0.2">
      <c r="A1760" s="5">
        <v>1699</v>
      </c>
      <c r="B1760" s="138">
        <f>'Tax Sched 23'!D4</f>
        <v>39881330</v>
      </c>
      <c r="C1760" s="2" t="s">
        <v>594</v>
      </c>
      <c r="D1760" s="2" t="str">
        <f t="shared" si="26"/>
        <v>Error?</v>
      </c>
    </row>
    <row r="1761" spans="1:5" x14ac:dyDescent="0.2">
      <c r="A1761" s="5">
        <v>1700</v>
      </c>
      <c r="B1761" s="138">
        <f>'Tax Sched 23'!D5</f>
        <v>8129477</v>
      </c>
      <c r="C1761" s="2" t="s">
        <v>594</v>
      </c>
      <c r="D1761" s="2" t="str">
        <f t="shared" si="26"/>
        <v>Error?</v>
      </c>
    </row>
    <row r="1762" spans="1:5" s="8" customFormat="1" x14ac:dyDescent="0.2">
      <c r="A1762" s="5">
        <v>1701</v>
      </c>
      <c r="B1762" s="138">
        <f>'Tax Sched 23'!D6</f>
        <v>688630</v>
      </c>
      <c r="C1762" s="2" t="s">
        <v>594</v>
      </c>
      <c r="D1762" s="2" t="str">
        <f t="shared" si="26"/>
        <v>Error?</v>
      </c>
      <c r="E1762" s="9"/>
    </row>
    <row r="1763" spans="1:5" x14ac:dyDescent="0.2">
      <c r="A1763" s="5">
        <v>1702</v>
      </c>
      <c r="B1763" s="138">
        <f>'Tax Sched 23'!D7</f>
        <v>379211</v>
      </c>
      <c r="C1763" s="2" t="s">
        <v>594</v>
      </c>
      <c r="D1763" s="2" t="str">
        <f t="shared" si="26"/>
        <v>Error?</v>
      </c>
    </row>
    <row r="1764" spans="1:5" x14ac:dyDescent="0.2">
      <c r="A1764" s="5">
        <v>1703</v>
      </c>
      <c r="B1764" s="138">
        <f>'Tax Sched 23'!D8</f>
        <v>572022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528317</v>
      </c>
      <c r="C1768" s="2" t="s">
        <v>594</v>
      </c>
      <c r="D1768" s="2" t="str">
        <f t="shared" si="26"/>
        <v>Error?</v>
      </c>
    </row>
    <row r="1769" spans="1:5" x14ac:dyDescent="0.2">
      <c r="A1769" s="5">
        <v>1708</v>
      </c>
      <c r="B1769" s="138">
        <f>'Tax Sched 23'!D12</f>
        <v>506612</v>
      </c>
      <c r="C1769" s="2" t="s">
        <v>594</v>
      </c>
      <c r="D1769" s="2" t="str">
        <f t="shared" si="26"/>
        <v>Error?</v>
      </c>
    </row>
    <row r="1770" spans="1:5" x14ac:dyDescent="0.2">
      <c r="A1770" s="5">
        <v>1709</v>
      </c>
      <c r="B1770" s="138">
        <f>'Tax Sched 23'!D14</f>
        <v>657141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52588750</v>
      </c>
      <c r="C1775" s="2" t="s">
        <v>594</v>
      </c>
      <c r="D1775" s="2" t="str">
        <f t="shared" si="26"/>
        <v>Error?</v>
      </c>
    </row>
    <row r="1776" spans="1:5" x14ac:dyDescent="0.2">
      <c r="A1776" s="5">
        <v>1715</v>
      </c>
      <c r="B1776" s="138">
        <f>'Tax Sched 23'!C4</f>
        <v>46720855</v>
      </c>
      <c r="D1776" s="2" t="str">
        <f t="shared" si="26"/>
        <v>Error?</v>
      </c>
    </row>
    <row r="1777" spans="1:4" x14ac:dyDescent="0.2">
      <c r="A1777" s="5">
        <v>1716</v>
      </c>
      <c r="B1777" s="138">
        <f>'Tax Sched 23'!C5</f>
        <v>9514365</v>
      </c>
      <c r="D1777" s="2" t="str">
        <f t="shared" si="26"/>
        <v>Error?</v>
      </c>
    </row>
    <row r="1778" spans="1:4" x14ac:dyDescent="0.2">
      <c r="A1778" s="5">
        <v>1717</v>
      </c>
      <c r="B1778" s="138">
        <f>'Tax Sched 23'!C6</f>
        <v>957246</v>
      </c>
      <c r="D1778" s="2" t="str">
        <f t="shared" si="26"/>
        <v>Error?</v>
      </c>
    </row>
    <row r="1779" spans="1:4" x14ac:dyDescent="0.2">
      <c r="A1779" s="5">
        <v>1718</v>
      </c>
      <c r="B1779" s="138">
        <f>'Tax Sched 23'!C7</f>
        <v>440097</v>
      </c>
      <c r="D1779" s="2" t="str">
        <f t="shared" si="26"/>
        <v>Error?</v>
      </c>
    </row>
    <row r="1780" spans="1:4" x14ac:dyDescent="0.2">
      <c r="A1780" s="5">
        <v>1719</v>
      </c>
      <c r="B1780" s="138">
        <f>'Tax Sched 23'!C8</f>
        <v>379310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607869</v>
      </c>
      <c r="D1784" s="2" t="str">
        <f t="shared" si="26"/>
        <v>Error?</v>
      </c>
    </row>
    <row r="1785" spans="1:4" x14ac:dyDescent="0.2">
      <c r="A1785" s="5">
        <v>1724</v>
      </c>
      <c r="B1785" s="138">
        <f>'Tax Sched 23'!C12</f>
        <v>600574</v>
      </c>
      <c r="D1785" s="2" t="str">
        <f t="shared" si="26"/>
        <v>Error?</v>
      </c>
    </row>
    <row r="1786" spans="1:4" x14ac:dyDescent="0.2">
      <c r="A1786" s="5">
        <v>1725</v>
      </c>
      <c r="B1786" s="138">
        <f>'Tax Sched 23'!C14</f>
        <v>930601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61663043</v>
      </c>
      <c r="C1791" s="2" t="s">
        <v>594</v>
      </c>
      <c r="D1791" s="2" t="str">
        <f t="shared" ref="D1791:D1854" si="27">IF(ISBLANK(B1791),"OK",IF(A1791-B1791=0,"OK","Error?"))</f>
        <v>Error?</v>
      </c>
    </row>
    <row r="1792" spans="1:4" x14ac:dyDescent="0.2">
      <c r="A1792" s="5">
        <v>1731</v>
      </c>
      <c r="B1792" s="138">
        <f>'Tax Sched 23'!F4</f>
        <v>43820597</v>
      </c>
      <c r="C1792" s="2" t="s">
        <v>594</v>
      </c>
      <c r="D1792" s="2" t="str">
        <f t="shared" si="27"/>
        <v>Error?</v>
      </c>
    </row>
    <row r="1793" spans="1:4" x14ac:dyDescent="0.2">
      <c r="A1793" s="5">
        <v>1732</v>
      </c>
      <c r="B1793" s="138">
        <f>'Tax Sched 23'!F5</f>
        <v>8923766</v>
      </c>
      <c r="C1793" s="2" t="s">
        <v>594</v>
      </c>
      <c r="D1793" s="2" t="str">
        <f t="shared" si="27"/>
        <v>Error?</v>
      </c>
    </row>
    <row r="1794" spans="1:4" x14ac:dyDescent="0.2">
      <c r="A1794" s="5">
        <v>1733</v>
      </c>
      <c r="B1794" s="138">
        <f>'Tax Sched 23'!F6</f>
        <v>670253</v>
      </c>
      <c r="C1794" s="2" t="s">
        <v>594</v>
      </c>
      <c r="D1794" s="2" t="str">
        <f t="shared" si="27"/>
        <v>Error?</v>
      </c>
    </row>
    <row r="1795" spans="1:4" x14ac:dyDescent="0.2">
      <c r="A1795" s="5">
        <v>1734</v>
      </c>
      <c r="B1795" s="138">
        <f>'Tax Sched 23'!F7</f>
        <v>412778</v>
      </c>
      <c r="C1795" s="2" t="s">
        <v>594</v>
      </c>
      <c r="D1795" s="2" t="str">
        <f t="shared" si="27"/>
        <v>Error?</v>
      </c>
    </row>
    <row r="1796" spans="1:4" x14ac:dyDescent="0.2">
      <c r="A1796" s="5">
        <v>1735</v>
      </c>
      <c r="B1796" s="138">
        <f>'Tax Sched 23'!F8</f>
        <v>355765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570135</v>
      </c>
      <c r="C1800" s="2" t="s">
        <v>594</v>
      </c>
      <c r="D1800" s="2" t="str">
        <f t="shared" si="27"/>
        <v>Error?</v>
      </c>
    </row>
    <row r="1801" spans="1:4" x14ac:dyDescent="0.2">
      <c r="A1801" s="5">
        <v>1740</v>
      </c>
      <c r="B1801" s="138">
        <f>'Tax Sched 23'!F12</f>
        <v>563294</v>
      </c>
      <c r="C1801" s="2" t="s">
        <v>594</v>
      </c>
      <c r="D1801" s="2" t="str">
        <f t="shared" si="27"/>
        <v>Error?</v>
      </c>
    </row>
    <row r="1802" spans="1:4" x14ac:dyDescent="0.2">
      <c r="A1802" s="5">
        <v>1741</v>
      </c>
      <c r="B1802" s="138">
        <f>'Tax Sched 23'!F14</f>
        <v>666773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57501063</v>
      </c>
      <c r="C1807" s="2" t="s">
        <v>594</v>
      </c>
      <c r="D1807" s="2" t="str">
        <f t="shared" si="27"/>
        <v>Error?</v>
      </c>
    </row>
    <row r="1808" spans="1:4" x14ac:dyDescent="0.2">
      <c r="A1808" s="5">
        <v>1747</v>
      </c>
      <c r="B1808" s="138">
        <f>'Tax Sched 23'!E4</f>
        <v>90541452</v>
      </c>
      <c r="D1808" s="2" t="str">
        <f t="shared" si="27"/>
        <v>Error?</v>
      </c>
    </row>
    <row r="1809" spans="1:4" x14ac:dyDescent="0.2">
      <c r="A1809" s="5">
        <v>1748</v>
      </c>
      <c r="B1809" s="138">
        <f>'Tax Sched 23'!E5</f>
        <v>18438131</v>
      </c>
      <c r="D1809" s="2" t="str">
        <f t="shared" si="27"/>
        <v>Error?</v>
      </c>
    </row>
    <row r="1810" spans="1:4" x14ac:dyDescent="0.2">
      <c r="A1810" s="5">
        <v>1749</v>
      </c>
      <c r="B1810" s="138">
        <f>'Tax Sched 23'!E6</f>
        <v>1627499</v>
      </c>
      <c r="D1810" s="2" t="str">
        <f t="shared" si="27"/>
        <v>Error?</v>
      </c>
    </row>
    <row r="1811" spans="1:4" x14ac:dyDescent="0.2">
      <c r="A1811" s="5">
        <v>1750</v>
      </c>
      <c r="B1811" s="138">
        <f>'Tax Sched 23'!E7</f>
        <v>852875</v>
      </c>
      <c r="D1811" s="2" t="str">
        <f t="shared" si="27"/>
        <v>Error?</v>
      </c>
    </row>
    <row r="1812" spans="1:4" x14ac:dyDescent="0.2">
      <c r="A1812" s="5">
        <v>1751</v>
      </c>
      <c r="B1812" s="138">
        <f>'Tax Sched 23'!E8</f>
        <v>735075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1178004</v>
      </c>
      <c r="D1816" s="2" t="str">
        <f t="shared" si="27"/>
        <v>Error?</v>
      </c>
    </row>
    <row r="1817" spans="1:4" x14ac:dyDescent="0.2">
      <c r="A1817" s="5">
        <v>1756</v>
      </c>
      <c r="B1817" s="138">
        <f>'Tax Sched 23'!E12</f>
        <v>1163868</v>
      </c>
      <c r="D1817" s="2" t="str">
        <f t="shared" si="27"/>
        <v>Error?</v>
      </c>
    </row>
    <row r="1818" spans="1:4" x14ac:dyDescent="0.2">
      <c r="A1818" s="5">
        <v>1757</v>
      </c>
      <c r="B1818" s="138">
        <f>'Tax Sched 23'!E14</f>
        <v>1597374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119164106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15600000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1535697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1535697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1535697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1356386</v>
      </c>
      <c r="D2008" s="2" t="str">
        <f t="shared" si="30"/>
        <v>Error?</v>
      </c>
    </row>
    <row r="2009" spans="1:4" x14ac:dyDescent="0.2">
      <c r="A2009" s="5">
        <v>1948</v>
      </c>
      <c r="B2009" s="138">
        <f>'Cap Outlay Deprec 26'!C8</f>
        <v>129057658</v>
      </c>
      <c r="D2009" s="2" t="str">
        <f t="shared" si="30"/>
        <v>Error?</v>
      </c>
    </row>
    <row r="2010" spans="1:4" x14ac:dyDescent="0.2">
      <c r="A2010" s="5">
        <v>1949</v>
      </c>
      <c r="B2010" s="138">
        <f>'Cap Outlay Deprec 26'!C10</f>
        <v>9646503</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29396848</v>
      </c>
      <c r="D2012" s="2" t="str">
        <f t="shared" si="30"/>
        <v>Error?</v>
      </c>
    </row>
    <row r="2013" spans="1:4" x14ac:dyDescent="0.2">
      <c r="A2013" s="5">
        <v>1952</v>
      </c>
      <c r="B2013" s="138">
        <f>'Cap Outlay Deprec 26'!C16</f>
        <v>174217692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10276510</v>
      </c>
      <c r="D2015" s="2" t="str">
        <f t="shared" si="30"/>
        <v>Error?</v>
      </c>
    </row>
    <row r="2016" spans="1:4" x14ac:dyDescent="0.2">
      <c r="A2016" s="5">
        <v>1955</v>
      </c>
      <c r="B2016" s="138">
        <f>'Cap Outlay Deprec 26'!D10</f>
        <v>642481</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307672</v>
      </c>
      <c r="D2018" s="2" t="str">
        <f t="shared" si="30"/>
        <v>Error?</v>
      </c>
    </row>
    <row r="2019" spans="1:4" x14ac:dyDescent="0.2">
      <c r="A2019" s="5">
        <v>1958</v>
      </c>
      <c r="B2019" s="138">
        <f>'Cap Outlay Deprec 26'!D16</f>
        <v>14510947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4760297</v>
      </c>
      <c r="C2025" s="2" t="s">
        <v>594</v>
      </c>
      <c r="D2025" s="2" t="str">
        <f t="shared" si="30"/>
        <v>Error?</v>
      </c>
    </row>
    <row r="2026" spans="1:4" x14ac:dyDescent="0.2">
      <c r="A2026" s="5">
        <v>1965</v>
      </c>
      <c r="B2026" s="138">
        <f>'Cap Outlay Deprec 26'!F5</f>
        <v>1356386</v>
      </c>
      <c r="C2026" s="2" t="s">
        <v>594</v>
      </c>
      <c r="D2026" s="2" t="str">
        <f t="shared" si="30"/>
        <v>Error?</v>
      </c>
    </row>
    <row r="2027" spans="1:4" x14ac:dyDescent="0.2">
      <c r="A2027" s="5">
        <v>1966</v>
      </c>
      <c r="B2027" s="138">
        <f>'Cap Outlay Deprec 26'!F8</f>
        <v>139334168</v>
      </c>
      <c r="C2027" s="2" t="s">
        <v>594</v>
      </c>
      <c r="D2027" s="2" t="str">
        <f t="shared" si="30"/>
        <v>Error?</v>
      </c>
    </row>
    <row r="2028" spans="1:4" x14ac:dyDescent="0.2">
      <c r="A2028" s="5">
        <v>1967</v>
      </c>
      <c r="B2028" s="138">
        <f>'Cap Outlay Deprec 26'!F10</f>
        <v>10288984</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29704520</v>
      </c>
      <c r="C2030" s="2" t="s">
        <v>594</v>
      </c>
      <c r="D2030" s="2" t="str">
        <f t="shared" si="30"/>
        <v>Error?</v>
      </c>
    </row>
    <row r="2031" spans="1:4" x14ac:dyDescent="0.2">
      <c r="A2031" s="5">
        <v>1970</v>
      </c>
      <c r="B2031" s="138">
        <f>'Cap Outlay Deprec 26'!F16</f>
        <v>183968342</v>
      </c>
      <c r="C2031" s="2" t="s">
        <v>594</v>
      </c>
      <c r="D2031" s="2" t="str">
        <f t="shared" si="30"/>
        <v>Error?</v>
      </c>
    </row>
    <row r="2032" spans="1:4" x14ac:dyDescent="0.2">
      <c r="A2032" s="10">
        <v>1971</v>
      </c>
      <c r="D2032" s="2" t="str">
        <f t="shared" si="30"/>
        <v>OK</v>
      </c>
    </row>
    <row r="2033" spans="1:4" x14ac:dyDescent="0.2">
      <c r="A2033" s="5">
        <v>1972</v>
      </c>
      <c r="B2033" s="138">
        <f>'Cap Outlay Deprec 26'!H8</f>
        <v>85650038</v>
      </c>
      <c r="D2033" s="2" t="str">
        <f t="shared" si="30"/>
        <v>Error?</v>
      </c>
    </row>
    <row r="2034" spans="1:4" x14ac:dyDescent="0.2">
      <c r="A2034" s="5">
        <v>1973</v>
      </c>
      <c r="B2034" s="138">
        <f>'Cap Outlay Deprec 26'!H10</f>
        <v>5229517</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23794531</v>
      </c>
      <c r="D2036" s="2" t="str">
        <f t="shared" si="30"/>
        <v>Error?</v>
      </c>
    </row>
    <row r="2037" spans="1:4" x14ac:dyDescent="0.2">
      <c r="A2037" s="5">
        <v>1976</v>
      </c>
      <c r="B2037" s="138">
        <f>'Cap Outlay Deprec 26'!H16</f>
        <v>114674086</v>
      </c>
      <c r="C2037" s="2" t="s">
        <v>594</v>
      </c>
      <c r="D2037" s="2" t="str">
        <f t="shared" si="30"/>
        <v>Error?</v>
      </c>
    </row>
    <row r="2038" spans="1:4" x14ac:dyDescent="0.2">
      <c r="A2038" s="10">
        <v>1977</v>
      </c>
      <c r="D2038" s="2" t="str">
        <f t="shared" si="30"/>
        <v>OK</v>
      </c>
    </row>
    <row r="2039" spans="1:4" x14ac:dyDescent="0.2">
      <c r="A2039" s="5">
        <v>1978</v>
      </c>
      <c r="B2039" s="138">
        <f>'Cap Outlay Deprec 26'!I8</f>
        <v>3206044</v>
      </c>
      <c r="D2039" s="2" t="str">
        <f t="shared" si="30"/>
        <v>Error?</v>
      </c>
    </row>
    <row r="2040" spans="1:4" x14ac:dyDescent="0.2">
      <c r="A2040" s="5">
        <v>1979</v>
      </c>
      <c r="B2040" s="138">
        <f>'Cap Outlay Deprec 26'!I10</f>
        <v>391731</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692337</v>
      </c>
      <c r="D2042" s="2" t="str">
        <f t="shared" si="30"/>
        <v>Error?</v>
      </c>
    </row>
    <row r="2043" spans="1:4" x14ac:dyDescent="0.2">
      <c r="A2043" s="5">
        <v>1982</v>
      </c>
      <c r="B2043" s="138">
        <f>'Cap Outlay Deprec 26'!I16</f>
        <v>4290112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88856082</v>
      </c>
      <c r="C2051" s="2" t="s">
        <v>594</v>
      </c>
      <c r="D2051" s="2" t="str">
        <f t="shared" si="31"/>
        <v>Error?</v>
      </c>
    </row>
    <row r="2052" spans="1:4" x14ac:dyDescent="0.2">
      <c r="A2052" s="5">
        <v>1991</v>
      </c>
      <c r="B2052" s="138">
        <f>'Cap Outlay Deprec 26'!K10</f>
        <v>5621248</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24486868</v>
      </c>
      <c r="C2054" s="2" t="s">
        <v>594</v>
      </c>
      <c r="D2054" s="2" t="str">
        <f t="shared" si="31"/>
        <v>Error?</v>
      </c>
    </row>
    <row r="2055" spans="1:4" x14ac:dyDescent="0.2">
      <c r="A2055" s="5">
        <v>1994</v>
      </c>
      <c r="B2055" s="138">
        <f>'Cap Outlay Deprec 26'!K16</f>
        <v>118964198</v>
      </c>
      <c r="C2055" s="2" t="s">
        <v>594</v>
      </c>
      <c r="D2055" s="2" t="str">
        <f t="shared" si="31"/>
        <v>Error?</v>
      </c>
    </row>
    <row r="2056" spans="1:4" x14ac:dyDescent="0.2">
      <c r="A2056" s="5">
        <v>1995</v>
      </c>
      <c r="B2056" s="138">
        <f>'Cap Outlay Deprec 26'!L5</f>
        <v>1356386</v>
      </c>
      <c r="C2056" s="2" t="s">
        <v>594</v>
      </c>
      <c r="D2056" s="2" t="str">
        <f t="shared" si="31"/>
        <v>Error?</v>
      </c>
    </row>
    <row r="2057" spans="1:4" x14ac:dyDescent="0.2">
      <c r="A2057" s="5">
        <v>1996</v>
      </c>
      <c r="B2057" s="138">
        <f>'Cap Outlay Deprec 26'!L8</f>
        <v>50478086</v>
      </c>
      <c r="C2057" s="2" t="s">
        <v>594</v>
      </c>
      <c r="D2057" s="2" t="str">
        <f t="shared" si="31"/>
        <v>Error?</v>
      </c>
    </row>
    <row r="2058" spans="1:4" x14ac:dyDescent="0.2">
      <c r="A2058" s="5">
        <v>1997</v>
      </c>
      <c r="B2058" s="138">
        <f>'Cap Outlay Deprec 26'!L10</f>
        <v>4667736</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5217652</v>
      </c>
      <c r="C2060" s="2" t="s">
        <v>594</v>
      </c>
      <c r="D2060" s="2" t="str">
        <f t="shared" si="31"/>
        <v>Error?</v>
      </c>
    </row>
    <row r="2061" spans="1:4" x14ac:dyDescent="0.2">
      <c r="A2061" s="5">
        <v>2000</v>
      </c>
      <c r="B2061" s="138">
        <f>'Cap Outlay Deprec 26'!L16</f>
        <v>65004144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203204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203204</v>
      </c>
      <c r="C2088" s="2" t="s">
        <v>594</v>
      </c>
      <c r="D2088" s="2" t="str">
        <f t="shared" si="31"/>
        <v>Error?</v>
      </c>
    </row>
    <row r="2089" spans="1:4" x14ac:dyDescent="0.2">
      <c r="A2089" s="5">
        <v>2028</v>
      </c>
      <c r="B2089" s="138">
        <f>'Expenditures 15-22'!K92</f>
        <v>1570561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8800000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4769843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97899890</v>
      </c>
      <c r="C2551" s="2" t="s">
        <v>594</v>
      </c>
      <c r="D2551" s="2" t="str">
        <f t="shared" si="38"/>
        <v>Error?</v>
      </c>
    </row>
    <row r="2552" spans="1:4" x14ac:dyDescent="0.2">
      <c r="A2552" s="10">
        <v>2491</v>
      </c>
      <c r="D2552" s="2" t="str">
        <f t="shared" si="38"/>
        <v>OK</v>
      </c>
    </row>
    <row r="2553" spans="1:4" x14ac:dyDescent="0.2">
      <c r="A2553" s="5">
        <v>2492</v>
      </c>
      <c r="B2553" s="138">
        <f>'Acct Summary 7-8'!C6</f>
        <v>8107820</v>
      </c>
      <c r="C2553" s="2" t="s">
        <v>594</v>
      </c>
      <c r="D2553" s="2" t="str">
        <f t="shared" si="38"/>
        <v>Error?</v>
      </c>
    </row>
    <row r="2554" spans="1:4" x14ac:dyDescent="0.2">
      <c r="A2554" s="5">
        <v>2493</v>
      </c>
      <c r="B2554" s="138">
        <f>'Acct Summary 7-8'!C7</f>
        <v>3627152</v>
      </c>
      <c r="C2554" s="2" t="s">
        <v>594</v>
      </c>
      <c r="D2554" s="2" t="str">
        <f t="shared" si="38"/>
        <v>Error?</v>
      </c>
    </row>
    <row r="2555" spans="1:4" x14ac:dyDescent="0.2">
      <c r="A2555" s="5">
        <v>2494</v>
      </c>
      <c r="B2555" s="138">
        <f>'Acct Summary 7-8'!C8</f>
        <v>109634862</v>
      </c>
      <c r="C2555" s="2" t="s">
        <v>594</v>
      </c>
      <c r="D2555" s="2" t="str">
        <f t="shared" si="38"/>
        <v>Error?</v>
      </c>
    </row>
    <row r="2556" spans="1:4" x14ac:dyDescent="0.2">
      <c r="A2556" s="5">
        <v>2495</v>
      </c>
      <c r="B2556" s="138">
        <f>'Acct Summary 7-8'!C12</f>
        <v>77260083</v>
      </c>
      <c r="C2556" s="2" t="s">
        <v>594</v>
      </c>
      <c r="D2556" s="2" t="str">
        <f t="shared" si="38"/>
        <v>Error?</v>
      </c>
    </row>
    <row r="2557" spans="1:4" x14ac:dyDescent="0.2">
      <c r="A2557" s="5">
        <v>2496</v>
      </c>
      <c r="B2557" s="138">
        <f>'Acct Summary 7-8'!C13</f>
        <v>24165103</v>
      </c>
      <c r="C2557" s="2" t="s">
        <v>594</v>
      </c>
      <c r="D2557" s="2" t="str">
        <f t="shared" si="38"/>
        <v>Error?</v>
      </c>
    </row>
    <row r="2558" spans="1:4" x14ac:dyDescent="0.2">
      <c r="A2558" s="5">
        <v>2497</v>
      </c>
      <c r="B2558" s="138">
        <f>'Acct Summary 7-8'!C14</f>
        <v>386090</v>
      </c>
      <c r="C2558" s="2" t="s">
        <v>594</v>
      </c>
      <c r="D2558" s="2" t="str">
        <f t="shared" si="38"/>
        <v>Error?</v>
      </c>
    </row>
    <row r="2559" spans="1:4" x14ac:dyDescent="0.2">
      <c r="A2559" s="5">
        <v>2498</v>
      </c>
      <c r="B2559" s="138">
        <f>'Acct Summary 7-8'!C15</f>
        <v>1773765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103585041</v>
      </c>
      <c r="C2561" s="2" t="s">
        <v>594</v>
      </c>
      <c r="D2561" s="2" t="str">
        <f t="shared" si="39"/>
        <v>Error?</v>
      </c>
    </row>
    <row r="2562" spans="1:4" x14ac:dyDescent="0.2">
      <c r="A2562" s="5">
        <v>2501</v>
      </c>
      <c r="B2562" s="138">
        <f>'Acct Summary 7-8'!C20</f>
        <v>6049821</v>
      </c>
      <c r="C2562" s="2" t="s">
        <v>594</v>
      </c>
      <c r="D2562" s="2" t="str">
        <f t="shared" si="39"/>
        <v>Error?</v>
      </c>
    </row>
    <row r="2563" spans="1:4" x14ac:dyDescent="0.2">
      <c r="A2563" s="5">
        <v>2502</v>
      </c>
      <c r="B2563" s="138">
        <f>'Acct Summary 7-8'!C80</f>
        <v>595320</v>
      </c>
      <c r="D2563" s="2" t="str">
        <f t="shared" si="39"/>
        <v>Error?</v>
      </c>
    </row>
    <row r="2564" spans="1:4" x14ac:dyDescent="0.2">
      <c r="A2564" s="5">
        <v>2503</v>
      </c>
      <c r="B2564" s="138">
        <f>'Acct Summary 7-8'!D4</f>
        <v>18016536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18016536</v>
      </c>
      <c r="C2568" s="2" t="s">
        <v>594</v>
      </c>
      <c r="D2568" s="2" t="str">
        <f t="shared" si="39"/>
        <v>Error?</v>
      </c>
    </row>
    <row r="2569" spans="1:4" x14ac:dyDescent="0.2">
      <c r="A2569" s="5">
        <v>2508</v>
      </c>
      <c r="B2569" s="138">
        <f>'Acct Summary 7-8'!D13</f>
        <v>15786756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15786756</v>
      </c>
      <c r="C2573" s="2" t="s">
        <v>594</v>
      </c>
      <c r="D2573" s="2" t="str">
        <f t="shared" si="39"/>
        <v>Error?</v>
      </c>
    </row>
    <row r="2574" spans="1:4" x14ac:dyDescent="0.2">
      <c r="A2574" s="5">
        <v>2513</v>
      </c>
      <c r="B2574" s="138">
        <f>'Acct Summary 7-8'!D20</f>
        <v>2229780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853759</v>
      </c>
      <c r="C2591" s="2" t="s">
        <v>594</v>
      </c>
      <c r="D2591" s="2" t="str">
        <f t="shared" si="39"/>
        <v>Error?</v>
      </c>
    </row>
    <row r="2592" spans="1:4" x14ac:dyDescent="0.2">
      <c r="A2592" s="10">
        <v>2531</v>
      </c>
      <c r="D2592" s="2" t="str">
        <f t="shared" si="39"/>
        <v>OK</v>
      </c>
    </row>
    <row r="2593" spans="1:4" x14ac:dyDescent="0.2">
      <c r="A2593" s="5">
        <v>2532</v>
      </c>
      <c r="B2593" s="138">
        <f>'Acct Summary 7-8'!F6</f>
        <v>1712680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2566439</v>
      </c>
      <c r="C2595" s="2" t="s">
        <v>594</v>
      </c>
      <c r="D2595" s="2" t="str">
        <f t="shared" si="39"/>
        <v>Error?</v>
      </c>
    </row>
    <row r="2596" spans="1:4" x14ac:dyDescent="0.2">
      <c r="A2596" s="5">
        <v>2535</v>
      </c>
      <c r="B2596" s="138">
        <f>'Acct Summary 7-8'!F13</f>
        <v>2486982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2486982</v>
      </c>
      <c r="C2600" s="2" t="s">
        <v>594</v>
      </c>
      <c r="D2600" s="2" t="str">
        <f t="shared" si="39"/>
        <v>Error?</v>
      </c>
    </row>
    <row r="2601" spans="1:4" x14ac:dyDescent="0.2">
      <c r="A2601" s="5">
        <v>2540</v>
      </c>
      <c r="B2601" s="138">
        <f>'Acct Summary 7-8'!F20</f>
        <v>79457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3876896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3876896</v>
      </c>
      <c r="C2606" s="2" t="s">
        <v>594</v>
      </c>
      <c r="D2606" s="2" t="str">
        <f t="shared" si="39"/>
        <v>Error?</v>
      </c>
    </row>
    <row r="2607" spans="1:4" x14ac:dyDescent="0.2">
      <c r="A2607" s="5">
        <v>2546</v>
      </c>
      <c r="B2607" s="138">
        <f>'Acct Summary 7-8'!G12</f>
        <v>1699392</v>
      </c>
      <c r="C2607" s="2" t="s">
        <v>594</v>
      </c>
      <c r="D2607" s="2" t="str">
        <f t="shared" si="39"/>
        <v>Error?</v>
      </c>
    </row>
    <row r="2608" spans="1:4" x14ac:dyDescent="0.2">
      <c r="A2608" s="5">
        <v>2547</v>
      </c>
      <c r="B2608" s="138">
        <f>'Acct Summary 7-8'!G13</f>
        <v>2008488</v>
      </c>
      <c r="C2608" s="2" t="s">
        <v>594</v>
      </c>
      <c r="D2608" s="2" t="str">
        <f t="shared" si="39"/>
        <v>Error?</v>
      </c>
    </row>
    <row r="2609" spans="1:4" x14ac:dyDescent="0.2">
      <c r="A2609" s="5">
        <v>2548</v>
      </c>
      <c r="B2609" s="138">
        <f>'Acct Summary 7-8'!G14</f>
        <v>62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3707942</v>
      </c>
      <c r="C2612" s="2" t="s">
        <v>594</v>
      </c>
      <c r="D2612" s="2" t="str">
        <f t="shared" si="39"/>
        <v>Error?</v>
      </c>
    </row>
    <row r="2613" spans="1:4" x14ac:dyDescent="0.2">
      <c r="A2613" s="5">
        <v>2552</v>
      </c>
      <c r="B2613" s="138">
        <f>'Acct Summary 7-8'!G20</f>
        <v>168954</v>
      </c>
      <c r="C2613" s="2" t="s">
        <v>594</v>
      </c>
      <c r="D2613" s="2" t="str">
        <f t="shared" si="39"/>
        <v>Error?</v>
      </c>
    </row>
    <row r="2614" spans="1:4" x14ac:dyDescent="0.2">
      <c r="A2614" s="5">
        <v>2553</v>
      </c>
      <c r="B2614" s="138">
        <f>'Acct Summary 7-8'!G80</f>
        <v>37326</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1591343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1591343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1558899</v>
      </c>
      <c r="C2634" s="2" t="s">
        <v>594</v>
      </c>
      <c r="D2634" s="2" t="str">
        <f t="shared" si="40"/>
        <v>Error?</v>
      </c>
    </row>
    <row r="2635" spans="1:4" x14ac:dyDescent="0.2">
      <c r="A2635" s="5">
        <v>2574</v>
      </c>
      <c r="B2635" s="138">
        <f>'Acct Summary 7-8'!E17</f>
        <v>1558899</v>
      </c>
      <c r="C2635" s="2" t="s">
        <v>594</v>
      </c>
      <c r="D2635" s="2" t="str">
        <f t="shared" si="40"/>
        <v>Error?</v>
      </c>
    </row>
    <row r="2636" spans="1:4" x14ac:dyDescent="0.2">
      <c r="A2636" s="5">
        <v>2575</v>
      </c>
      <c r="B2636" s="138">
        <f>'Acct Summary 7-8'!E20</f>
        <v>32444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421660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421660</v>
      </c>
      <c r="C2658" s="2" t="s">
        <v>594</v>
      </c>
      <c r="D2658" s="2" t="str">
        <f t="shared" si="40"/>
        <v>Error?</v>
      </c>
    </row>
    <row r="2659" spans="1:4" x14ac:dyDescent="0.2">
      <c r="A2659" s="5">
        <v>2598</v>
      </c>
      <c r="B2659" s="138">
        <f>'Acct Summary 7-8'!H13</f>
        <v>5936656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5936656</v>
      </c>
      <c r="C2661" s="2" t="s">
        <v>594</v>
      </c>
      <c r="D2661" s="2" t="str">
        <f t="shared" si="40"/>
        <v>Error?</v>
      </c>
    </row>
    <row r="2662" spans="1:4" x14ac:dyDescent="0.2">
      <c r="A2662" s="5">
        <v>2601</v>
      </c>
      <c r="B2662" s="138">
        <f>'Acct Summary 7-8'!H20</f>
        <v>-5514996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442776</v>
      </c>
      <c r="D2718" s="2" t="str">
        <f t="shared" si="41"/>
        <v>Error?</v>
      </c>
    </row>
    <row r="2719" spans="1:4" x14ac:dyDescent="0.2">
      <c r="A2719" s="5">
        <v>2658</v>
      </c>
      <c r="B2719" s="138">
        <f>'Expenditures 15-22'!D51</f>
        <v>98184</v>
      </c>
      <c r="D2719" s="2" t="str">
        <f t="shared" si="41"/>
        <v>Error?</v>
      </c>
    </row>
    <row r="2720" spans="1:4" x14ac:dyDescent="0.2">
      <c r="A2720" s="5">
        <v>2659</v>
      </c>
      <c r="B2720" s="138">
        <f>'Expenditures 15-22'!E51</f>
        <v>42733</v>
      </c>
      <c r="D2720" s="2" t="str">
        <f t="shared" si="41"/>
        <v>Error?</v>
      </c>
    </row>
    <row r="2721" spans="1:4" x14ac:dyDescent="0.2">
      <c r="A2721" s="5">
        <v>2660</v>
      </c>
      <c r="B2721" s="138">
        <f>'Expenditures 15-22'!F51</f>
        <v>1619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500</v>
      </c>
      <c r="D2723" s="2" t="str">
        <f t="shared" si="41"/>
        <v>Error?</v>
      </c>
    </row>
    <row r="2724" spans="1:4" x14ac:dyDescent="0.2">
      <c r="A2724" s="5">
        <v>2663</v>
      </c>
      <c r="B2724" s="138">
        <f>'Expenditures 15-22'!K51</f>
        <v>585812</v>
      </c>
      <c r="C2724" s="2" t="s">
        <v>594</v>
      </c>
      <c r="D2724" s="2" t="str">
        <f t="shared" si="41"/>
        <v>Error?</v>
      </c>
    </row>
    <row r="2725" spans="1:4" x14ac:dyDescent="0.2">
      <c r="A2725" s="5">
        <v>2664</v>
      </c>
      <c r="B2725" s="138">
        <f>'Expenditures 15-22'!D247</f>
        <v>23851</v>
      </c>
      <c r="D2725" s="2" t="str">
        <f t="shared" si="41"/>
        <v>Error?</v>
      </c>
    </row>
    <row r="2726" spans="1:4" x14ac:dyDescent="0.2">
      <c r="A2726" s="5">
        <v>2665</v>
      </c>
      <c r="B2726" s="138">
        <f>'Expenditures 15-22'!K247</f>
        <v>23851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3284284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28451934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2314270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117503</v>
      </c>
      <c r="D2908" s="2" t="str">
        <f t="shared" si="44"/>
        <v>Error?</v>
      </c>
    </row>
    <row r="2909" spans="1:4" x14ac:dyDescent="0.2">
      <c r="A2909" s="10">
        <v>2848</v>
      </c>
      <c r="D2909" s="2" t="str">
        <f t="shared" si="44"/>
        <v>OK</v>
      </c>
    </row>
    <row r="2910" spans="1:4" x14ac:dyDescent="0.2">
      <c r="A2910" s="5">
        <v>2849</v>
      </c>
      <c r="B2910" s="138">
        <f>'Assets-Liab 5-6'!I34</f>
        <v>117503</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28334431</v>
      </c>
      <c r="D2912" s="2" t="str">
        <f t="shared" si="44"/>
        <v>Error?</v>
      </c>
    </row>
    <row r="2913" spans="1:4" x14ac:dyDescent="0.2">
      <c r="A2913" s="5">
        <v>2852</v>
      </c>
      <c r="B2913" s="138">
        <f>'Assets-Liab 5-6'!I41</f>
        <v>28451934</v>
      </c>
      <c r="C2913" s="2" t="s">
        <v>594</v>
      </c>
      <c r="D2913" s="2" t="str">
        <f t="shared" si="44"/>
        <v>Error?</v>
      </c>
    </row>
    <row r="2914" spans="1:4" x14ac:dyDescent="0.2">
      <c r="A2914" s="5">
        <v>2853</v>
      </c>
      <c r="B2914" s="138">
        <f>'Assets-Liab 5-6'!L33</f>
        <v>1765862</v>
      </c>
      <c r="D2914" s="2" t="str">
        <f t="shared" si="44"/>
        <v>Error?</v>
      </c>
    </row>
    <row r="2915" spans="1:4" x14ac:dyDescent="0.2">
      <c r="A2915" s="10">
        <v>2854</v>
      </c>
      <c r="D2915" s="2" t="str">
        <f t="shared" si="44"/>
        <v>OK</v>
      </c>
    </row>
    <row r="2916" spans="1:4" x14ac:dyDescent="0.2">
      <c r="A2916" s="5">
        <v>2855</v>
      </c>
      <c r="B2916" s="138">
        <f>'Assets-Liab 5-6'!L34</f>
        <v>1765862</v>
      </c>
      <c r="C2916" s="2" t="s">
        <v>594</v>
      </c>
      <c r="D2916" s="2" t="str">
        <f t="shared" si="44"/>
        <v>Error?</v>
      </c>
    </row>
    <row r="2917" spans="1:4" x14ac:dyDescent="0.2">
      <c r="A2917" s="5">
        <v>2856</v>
      </c>
      <c r="B2917" s="138">
        <f>'Assets-Liab 5-6'!L41</f>
        <v>2314270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203204</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203204</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471107</v>
      </c>
      <c r="D3055" s="2" t="str">
        <f t="shared" si="46"/>
        <v>Error?</v>
      </c>
    </row>
    <row r="3056" spans="1:4" x14ac:dyDescent="0.2">
      <c r="A3056" s="5">
        <v>2995</v>
      </c>
      <c r="B3056" s="138">
        <f>'Expenditures 15-22'!D10</f>
        <v>135342</v>
      </c>
      <c r="D3056" s="2" t="str">
        <f t="shared" si="46"/>
        <v>Error?</v>
      </c>
    </row>
    <row r="3057" spans="1:4" x14ac:dyDescent="0.2">
      <c r="A3057" s="5">
        <v>2996</v>
      </c>
      <c r="B3057" s="138">
        <f>'Expenditures 15-22'!E10</f>
        <v>60686</v>
      </c>
      <c r="D3057" s="2" t="str">
        <f t="shared" si="46"/>
        <v>Error?</v>
      </c>
    </row>
    <row r="3058" spans="1:4" x14ac:dyDescent="0.2">
      <c r="A3058" s="5">
        <v>2997</v>
      </c>
      <c r="B3058" s="138">
        <f>'Expenditures 15-22'!F10</f>
        <v>17484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684619</v>
      </c>
      <c r="C3062" s="2" t="s">
        <v>594</v>
      </c>
      <c r="D3062" s="2" t="str">
        <f t="shared" si="46"/>
        <v>Error?</v>
      </c>
    </row>
    <row r="3063" spans="1:4" x14ac:dyDescent="0.2">
      <c r="A3063" s="10">
        <v>3002</v>
      </c>
      <c r="D3063" s="2" t="str">
        <f t="shared" si="46"/>
        <v>OK</v>
      </c>
    </row>
    <row r="3064" spans="1:4" x14ac:dyDescent="0.2">
      <c r="A3064" s="5">
        <v>3003</v>
      </c>
      <c r="B3064" s="138">
        <f>'Expenditures 15-22'!D219</f>
        <v>62422</v>
      </c>
      <c r="D3064" s="2" t="str">
        <f t="shared" si="46"/>
        <v>Error?</v>
      </c>
    </row>
    <row r="3065" spans="1:4" x14ac:dyDescent="0.2">
      <c r="A3065" s="5">
        <v>3004</v>
      </c>
      <c r="B3065" s="138">
        <f>'Expenditures 15-22'!K219</f>
        <v>62422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548408</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8768</v>
      </c>
      <c r="C3225" s="2" t="s">
        <v>594</v>
      </c>
      <c r="D3225" s="2" t="str">
        <f t="shared" si="49"/>
        <v>Error?</v>
      </c>
    </row>
    <row r="3226" spans="1:4" x14ac:dyDescent="0.2">
      <c r="A3226" s="5">
        <v>3165</v>
      </c>
      <c r="B3226" s="138">
        <f>'Acct Summary 7-8'!I8</f>
        <v>8768</v>
      </c>
      <c r="C3226" s="2" t="s">
        <v>594</v>
      </c>
      <c r="D3226" s="2" t="str">
        <f t="shared" si="49"/>
        <v>Error?</v>
      </c>
    </row>
    <row r="3227" spans="1:4" x14ac:dyDescent="0.2">
      <c r="A3227" s="5">
        <v>3166</v>
      </c>
      <c r="B3227" s="138">
        <f>'Acct Summary 7-8'!I20</f>
        <v>8768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6049821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8800000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8400000</v>
      </c>
      <c r="C3237" s="2" t="s">
        <v>594</v>
      </c>
      <c r="D3237" s="2" t="str">
        <f t="shared" si="49"/>
        <v>Error?</v>
      </c>
    </row>
    <row r="3238" spans="1:4" x14ac:dyDescent="0.2">
      <c r="A3238" s="5">
        <v>3177</v>
      </c>
      <c r="B3238" s="138">
        <f>'Acct Summary 7-8'!D77</f>
        <v>400000</v>
      </c>
      <c r="C3238" s="2" t="s">
        <v>594</v>
      </c>
      <c r="D3238" s="2" t="str">
        <f t="shared" si="49"/>
        <v>Error?</v>
      </c>
    </row>
    <row r="3239" spans="1:4" x14ac:dyDescent="0.2">
      <c r="A3239" s="5">
        <v>3178</v>
      </c>
      <c r="B3239" s="138">
        <f>'Acct Summary 7-8'!D78</f>
        <v>2629780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79457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168954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32444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8400000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8400000</v>
      </c>
      <c r="C3299" s="2" t="s">
        <v>594</v>
      </c>
      <c r="D3299" s="2" t="str">
        <f t="shared" si="50"/>
        <v>Error?</v>
      </c>
    </row>
    <row r="3300" spans="1:4" x14ac:dyDescent="0.2">
      <c r="A3300" s="5">
        <v>3239</v>
      </c>
      <c r="B3300" s="138">
        <f>'Acct Summary 7-8'!H78</f>
        <v>2885004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8800000</v>
      </c>
      <c r="C3318" s="2" t="s">
        <v>594</v>
      </c>
      <c r="D3318" s="2" t="str">
        <f t="shared" si="50"/>
        <v>Error?</v>
      </c>
    </row>
    <row r="3319" spans="1:4" x14ac:dyDescent="0.2">
      <c r="A3319" s="5">
        <v>3258</v>
      </c>
      <c r="B3319" s="138">
        <f>'Acct Summary 7-8'!I77</f>
        <v>-8800000</v>
      </c>
      <c r="C3319" s="2" t="s">
        <v>594</v>
      </c>
      <c r="D3319" s="2" t="str">
        <f t="shared" si="50"/>
        <v>Error?</v>
      </c>
    </row>
    <row r="3320" spans="1:4" x14ac:dyDescent="0.2">
      <c r="A3320" s="5">
        <v>3259</v>
      </c>
      <c r="B3320" s="138">
        <f>'Acct Summary 7-8'!I78</f>
        <v>-8791232</v>
      </c>
      <c r="C3320" s="2" t="s">
        <v>594</v>
      </c>
      <c r="D3320" s="2" t="str">
        <f t="shared" si="50"/>
        <v>Error?</v>
      </c>
    </row>
    <row r="3321" spans="1:4" x14ac:dyDescent="0.2">
      <c r="A3321" s="5">
        <v>3260</v>
      </c>
      <c r="B3321" s="138">
        <f>'Acct Summary 7-8'!I79</f>
        <v>37125663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28334431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9884586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1681793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19585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81996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11674421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859222</v>
      </c>
      <c r="D3387" s="2" t="str">
        <f t="shared" si="51"/>
        <v>Error?</v>
      </c>
    </row>
    <row r="3388" spans="1:4" x14ac:dyDescent="0.2">
      <c r="A3388" s="5">
        <v>3327</v>
      </c>
      <c r="B3388" s="138">
        <f>'Expenditures 15-22'!D217</f>
        <v>446432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859222</v>
      </c>
      <c r="C3390" s="2" t="s">
        <v>594</v>
      </c>
      <c r="D3390" s="2" t="str">
        <f t="shared" si="51"/>
        <v>Error?</v>
      </c>
    </row>
    <row r="3391" spans="1:4" x14ac:dyDescent="0.2">
      <c r="A3391" s="5">
        <v>3330</v>
      </c>
      <c r="B3391" s="138">
        <f>'Expenditures 15-22'!K217</f>
        <v>446432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90271646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11254977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94566</v>
      </c>
      <c r="D3417" s="2" t="str">
        <f t="shared" si="52"/>
        <v>Error?</v>
      </c>
    </row>
    <row r="3418" spans="1:4" x14ac:dyDescent="0.2">
      <c r="A3418" s="10">
        <v>3357</v>
      </c>
      <c r="D3418" s="2" t="str">
        <f t="shared" si="52"/>
        <v>OK</v>
      </c>
    </row>
    <row r="3419" spans="1:4" x14ac:dyDescent="0.2">
      <c r="A3419" s="5">
        <v>3358</v>
      </c>
      <c r="B3419" s="138">
        <f>'Assets-Liab 5-6'!F4</f>
        <v>2844109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3683260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6616525</v>
      </c>
      <c r="D3425" s="2" t="str">
        <f t="shared" si="52"/>
        <v>Error?</v>
      </c>
    </row>
    <row r="3426" spans="1:4" x14ac:dyDescent="0.2">
      <c r="A3426" s="10">
        <v>3365</v>
      </c>
      <c r="D3426" s="2" t="str">
        <f t="shared" si="52"/>
        <v>OK</v>
      </c>
    </row>
    <row r="3427" spans="1:4" x14ac:dyDescent="0.2">
      <c r="A3427" s="5">
        <v>3366</v>
      </c>
      <c r="B3427" s="138">
        <f>'Assets-Liab 5-6'!I4</f>
        <v>28326783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2311662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2758136</v>
      </c>
      <c r="C3446" s="2" t="s">
        <v>594</v>
      </c>
      <c r="D3446" s="2" t="str">
        <f t="shared" si="52"/>
        <v>Error?</v>
      </c>
    </row>
    <row r="3447" spans="1:4" x14ac:dyDescent="0.2">
      <c r="A3447" s="5">
        <v>3386</v>
      </c>
      <c r="B3447" s="138">
        <f>'Tax Sched 23'!D16</f>
        <v>1246010</v>
      </c>
      <c r="C3447" s="2" t="s">
        <v>594</v>
      </c>
      <c r="D3447" s="2" t="str">
        <f t="shared" si="52"/>
        <v>Error?</v>
      </c>
    </row>
    <row r="3448" spans="1:4" x14ac:dyDescent="0.2">
      <c r="A3448" s="5">
        <v>3387</v>
      </c>
      <c r="B3448" s="138">
        <f>'Tax Sched 23'!C16</f>
        <v>1512126</v>
      </c>
      <c r="D3448" s="2" t="str">
        <f t="shared" si="52"/>
        <v>Error?</v>
      </c>
    </row>
    <row r="3449" spans="1:4" x14ac:dyDescent="0.2">
      <c r="A3449" s="5">
        <v>3388</v>
      </c>
      <c r="B3449" s="138">
        <f>'Tax Sched 23'!F16</f>
        <v>1517702</v>
      </c>
      <c r="C3449" s="2" t="s">
        <v>594</v>
      </c>
      <c r="D3449" s="2" t="str">
        <f t="shared" si="52"/>
        <v>Error?</v>
      </c>
    </row>
    <row r="3450" spans="1:4" x14ac:dyDescent="0.2">
      <c r="A3450" s="5">
        <v>3389</v>
      </c>
      <c r="B3450" s="138">
        <f>'Tax Sched 23'!E16</f>
        <v>3029828</v>
      </c>
      <c r="D3450" s="2" t="str">
        <f t="shared" si="52"/>
        <v>Error?</v>
      </c>
    </row>
    <row r="3451" spans="1:4" x14ac:dyDescent="0.2">
      <c r="A3451" s="5">
        <v>3390</v>
      </c>
      <c r="B3451" s="138">
        <f>'Cap Outlay Deprec 26'!C15</f>
        <v>4760297</v>
      </c>
      <c r="D3451" s="2" t="str">
        <f t="shared" si="52"/>
        <v>Error?</v>
      </c>
    </row>
    <row r="3452" spans="1:4" x14ac:dyDescent="0.2">
      <c r="A3452" s="5">
        <v>3391</v>
      </c>
      <c r="B3452" s="138">
        <f>'Cap Outlay Deprec 26'!D15</f>
        <v>3284284</v>
      </c>
      <c r="D3452" s="2" t="str">
        <f t="shared" si="52"/>
        <v>Error?</v>
      </c>
    </row>
    <row r="3453" spans="1:4" x14ac:dyDescent="0.2">
      <c r="A3453" s="5">
        <v>3392</v>
      </c>
      <c r="B3453" s="138">
        <f>'Cap Outlay Deprec 26'!E15</f>
        <v>4760297</v>
      </c>
      <c r="D3453" s="2" t="str">
        <f t="shared" si="52"/>
        <v>Error?</v>
      </c>
    </row>
    <row r="3454" spans="1:4" x14ac:dyDescent="0.2">
      <c r="A3454" s="5">
        <v>3393</v>
      </c>
      <c r="B3454" s="138">
        <f>'Cap Outlay Deprec 26'!F15</f>
        <v>3284284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3284284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8400000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4320646</v>
      </c>
      <c r="D3546" s="2" t="str">
        <f t="shared" si="54"/>
        <v>Error?</v>
      </c>
    </row>
    <row r="3547" spans="1:4" x14ac:dyDescent="0.2">
      <c r="A3547" s="10">
        <v>3486</v>
      </c>
      <c r="D3547" s="2" t="str">
        <f t="shared" si="54"/>
        <v>OK</v>
      </c>
    </row>
    <row r="3548" spans="1:4" x14ac:dyDescent="0.2">
      <c r="A3548" s="5">
        <v>3487</v>
      </c>
      <c r="B3548" s="138">
        <f>'Assets-Liab 5-6'!K6</f>
        <v>551655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4885193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521520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757383</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4127810</v>
      </c>
      <c r="D3567" s="2" t="str">
        <f t="shared" si="54"/>
        <v>Error?</v>
      </c>
    </row>
    <row r="3568" spans="1:4" x14ac:dyDescent="0.2">
      <c r="A3568" s="5">
        <v>3507</v>
      </c>
      <c r="B3568" s="138">
        <f>'Assets-Liab 5-6'!K41</f>
        <v>4885193</v>
      </c>
      <c r="C3568" s="2" t="s">
        <v>594</v>
      </c>
      <c r="D3568" s="2" t="str">
        <f t="shared" si="54"/>
        <v>Error?</v>
      </c>
    </row>
    <row r="3569" spans="1:4" x14ac:dyDescent="0.2">
      <c r="A3569" s="5">
        <v>3508</v>
      </c>
      <c r="B3569" s="138">
        <f>'Acct Summary 7-8'!K4</f>
        <v>1123775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1123775</v>
      </c>
      <c r="C3571" s="2" t="s">
        <v>594</v>
      </c>
      <c r="D3571" s="2" t="str">
        <f t="shared" si="54"/>
        <v>Error?</v>
      </c>
    </row>
    <row r="3572" spans="1:4" x14ac:dyDescent="0.2">
      <c r="A3572" s="5">
        <v>3511</v>
      </c>
      <c r="B3572" s="138">
        <f>'Acct Summary 7-8'!K13</f>
        <v>1262606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1262606</v>
      </c>
      <c r="C3575" s="2" t="s">
        <v>594</v>
      </c>
      <c r="D3575" s="2" t="str">
        <f t="shared" si="54"/>
        <v>Error?</v>
      </c>
    </row>
    <row r="3576" spans="1:4" x14ac:dyDescent="0.2">
      <c r="A3576" s="5">
        <v>3515</v>
      </c>
      <c r="B3576" s="138">
        <f>'Acct Summary 7-8'!K20</f>
        <v>-138831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-138831</v>
      </c>
      <c r="C3588" s="2" t="s">
        <v>594</v>
      </c>
      <c r="D3588" s="2" t="str">
        <f t="shared" si="55"/>
        <v>Error?</v>
      </c>
    </row>
    <row r="3589" spans="1:4" x14ac:dyDescent="0.2">
      <c r="A3589" s="5">
        <v>3528</v>
      </c>
      <c r="B3589" s="138">
        <f>'Acct Summary 7-8'!K79</f>
        <v>4266641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4127810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1262606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1262606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1262606</v>
      </c>
      <c r="C3649" s="2" t="s">
        <v>594</v>
      </c>
      <c r="D3649" s="2" t="str">
        <f t="shared" si="56"/>
        <v>Error?</v>
      </c>
    </row>
    <row r="3650" spans="1:4" x14ac:dyDescent="0.2">
      <c r="A3650" s="5">
        <v>3589</v>
      </c>
      <c r="B3650" s="138">
        <f>'Expenditures 15-22'!G367</f>
        <v>1262606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1262606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1262606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1262606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1262606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-138831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45678237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155313099</v>
      </c>
      <c r="C4122" s="2" t="s">
        <v>594</v>
      </c>
      <c r="D4122" s="2" t="str">
        <f t="shared" si="63"/>
        <v>Error?</v>
      </c>
    </row>
    <row r="4123" spans="1:4" x14ac:dyDescent="0.2">
      <c r="A4123" s="5">
        <v>4062</v>
      </c>
      <c r="B4123" s="138">
        <f>'Acct Summary 7-8'!D10</f>
        <v>18016536</v>
      </c>
      <c r="C4123" s="2" t="s">
        <v>594</v>
      </c>
      <c r="D4123" s="2" t="str">
        <f t="shared" si="63"/>
        <v>Error?</v>
      </c>
    </row>
    <row r="4124" spans="1:4" x14ac:dyDescent="0.2">
      <c r="A4124" s="5">
        <v>4063</v>
      </c>
      <c r="B4124" s="138">
        <f>'Acct Summary 7-8'!E10</f>
        <v>1591343</v>
      </c>
      <c r="C4124" s="2" t="s">
        <v>594</v>
      </c>
      <c r="D4124" s="2" t="str">
        <f t="shared" si="63"/>
        <v>Error?</v>
      </c>
    </row>
    <row r="4125" spans="1:4" x14ac:dyDescent="0.2">
      <c r="A4125" s="5">
        <v>4064</v>
      </c>
      <c r="B4125" s="138">
        <f>'Acct Summary 7-8'!F10</f>
        <v>2566439</v>
      </c>
      <c r="C4125" s="2" t="s">
        <v>594</v>
      </c>
      <c r="D4125" s="2" t="str">
        <f t="shared" si="63"/>
        <v>Error?</v>
      </c>
    </row>
    <row r="4126" spans="1:4" x14ac:dyDescent="0.2">
      <c r="A4126" s="5">
        <v>4065</v>
      </c>
      <c r="B4126" s="138">
        <f>'Acct Summary 7-8'!G10</f>
        <v>3876896</v>
      </c>
      <c r="C4126" s="2" t="s">
        <v>594</v>
      </c>
      <c r="D4126" s="2" t="str">
        <f t="shared" si="63"/>
        <v>Error?</v>
      </c>
    </row>
    <row r="4127" spans="1:4" x14ac:dyDescent="0.2">
      <c r="A4127" s="5">
        <v>4066</v>
      </c>
      <c r="B4127" s="138">
        <f>'Acct Summary 7-8'!H10</f>
        <v>421660</v>
      </c>
      <c r="C4127" s="2" t="s">
        <v>594</v>
      </c>
      <c r="D4127" s="2" t="str">
        <f t="shared" si="63"/>
        <v>Error?</v>
      </c>
    </row>
    <row r="4128" spans="1:4" x14ac:dyDescent="0.2">
      <c r="A4128" s="5">
        <v>4067</v>
      </c>
      <c r="B4128" s="138">
        <f>'Acct Summary 7-8'!I10</f>
        <v>8768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1123775</v>
      </c>
      <c r="C4130" s="2" t="s">
        <v>594</v>
      </c>
      <c r="D4130" s="2" t="str">
        <f t="shared" si="63"/>
        <v>Error?</v>
      </c>
    </row>
    <row r="4131" spans="1:4" x14ac:dyDescent="0.2">
      <c r="A4131" s="5">
        <v>4070</v>
      </c>
      <c r="B4131" s="138">
        <f>'Acct Summary 7-8'!C18</f>
        <v>45678237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149263278</v>
      </c>
      <c r="C4136" s="2" t="s">
        <v>594</v>
      </c>
      <c r="D4136" s="2" t="str">
        <f t="shared" si="63"/>
        <v>Error?</v>
      </c>
    </row>
    <row r="4137" spans="1:4" x14ac:dyDescent="0.2">
      <c r="A4137" s="5">
        <v>4076</v>
      </c>
      <c r="B4137" s="138">
        <f>'Acct Summary 7-8'!D19</f>
        <v>15786756</v>
      </c>
      <c r="C4137" s="2" t="s">
        <v>594</v>
      </c>
      <c r="D4137" s="2" t="str">
        <f t="shared" si="63"/>
        <v>Error?</v>
      </c>
    </row>
    <row r="4138" spans="1:4" x14ac:dyDescent="0.2">
      <c r="A4138" s="5">
        <v>4077</v>
      </c>
      <c r="B4138" s="138">
        <f>'Acct Summary 7-8'!E19</f>
        <v>1558899</v>
      </c>
      <c r="C4138" s="2" t="s">
        <v>594</v>
      </c>
      <c r="D4138" s="2" t="str">
        <f t="shared" si="63"/>
        <v>Error?</v>
      </c>
    </row>
    <row r="4139" spans="1:4" x14ac:dyDescent="0.2">
      <c r="A4139" s="5">
        <v>4078</v>
      </c>
      <c r="B4139" s="138">
        <f>'Acct Summary 7-8'!F19</f>
        <v>2486982</v>
      </c>
      <c r="C4139" s="2" t="s">
        <v>594</v>
      </c>
      <c r="D4139" s="2" t="str">
        <f t="shared" si="63"/>
        <v>Error?</v>
      </c>
    </row>
    <row r="4140" spans="1:4" x14ac:dyDescent="0.2">
      <c r="A4140" s="5">
        <v>4079</v>
      </c>
      <c r="B4140" s="138">
        <f>'Acct Summary 7-8'!G19</f>
        <v>3707942</v>
      </c>
      <c r="C4140" s="2" t="s">
        <v>594</v>
      </c>
      <c r="D4140" s="2" t="str">
        <f t="shared" si="63"/>
        <v>Error?</v>
      </c>
    </row>
    <row r="4141" spans="1:4" x14ac:dyDescent="0.2">
      <c r="A4141" s="5">
        <v>4080</v>
      </c>
      <c r="B4141" s="138">
        <f>'Acct Summary 7-8'!H19</f>
        <v>5936656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1262606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14540000</v>
      </c>
      <c r="C4171" s="2" t="s">
        <v>594</v>
      </c>
      <c r="D4171" s="2" t="str">
        <f t="shared" si="64"/>
        <v>Error?</v>
      </c>
    </row>
    <row r="4172" spans="1:4" x14ac:dyDescent="0.2">
      <c r="A4172" s="5">
        <v>4111</v>
      </c>
      <c r="B4172" s="138">
        <f>'Short-Term Long-Term Debt 24'!J49</f>
        <v>14390125</v>
      </c>
      <c r="C4172" s="2" t="s">
        <v>594</v>
      </c>
      <c r="D4172" s="2" t="str">
        <f t="shared" si="64"/>
        <v>Error?</v>
      </c>
    </row>
    <row r="4173" spans="1:4" x14ac:dyDescent="0.2">
      <c r="A4173" s="5">
        <v>4112</v>
      </c>
      <c r="B4173" s="138">
        <f>'Short-Term Long-Term Debt 24'!H49</f>
        <v>1060000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1921.5</v>
      </c>
      <c r="C4265" s="2" t="s">
        <v>594</v>
      </c>
      <c r="D4265" s="2" t="str">
        <f t="shared" si="65"/>
        <v>Error?</v>
      </c>
      <c r="E4265" s="128"/>
    </row>
    <row r="4266" spans="1:5" x14ac:dyDescent="0.2">
      <c r="A4266" s="12">
        <v>4205</v>
      </c>
      <c r="B4266" s="138">
        <f>('FP Info 3'!F10)*100000</f>
        <v>391.29999999999995</v>
      </c>
      <c r="C4266" s="2" t="s">
        <v>594</v>
      </c>
      <c r="D4266" s="2" t="str">
        <f t="shared" si="65"/>
        <v>Error?</v>
      </c>
      <c r="E4266" s="128"/>
    </row>
    <row r="4267" spans="1:5" x14ac:dyDescent="0.2">
      <c r="A4267" s="12">
        <v>4206</v>
      </c>
      <c r="B4267" s="138">
        <f>('FP Info 3'!H10)*100000</f>
        <v>18.100000000000001</v>
      </c>
      <c r="C4267" s="2" t="s">
        <v>594</v>
      </c>
      <c r="D4267" s="2" t="str">
        <f t="shared" si="65"/>
        <v>Error?</v>
      </c>
      <c r="E4267" s="128"/>
    </row>
    <row r="4268" spans="1:5" x14ac:dyDescent="0.2">
      <c r="A4268" s="12">
        <v>4207</v>
      </c>
      <c r="B4268" s="138">
        <f>('FP Info 3'!J10)*100000</f>
        <v>2331</v>
      </c>
      <c r="C4268" s="2" t="s">
        <v>594</v>
      </c>
      <c r="D4268" s="2" t="str">
        <f t="shared" si="65"/>
        <v>Error?</v>
      </c>
    </row>
    <row r="4269" spans="1:5" x14ac:dyDescent="0.2">
      <c r="A4269" s="12">
        <v>4208</v>
      </c>
      <c r="B4269" s="138">
        <f>'FP Info 3'!J16</f>
        <v>127860202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8753</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88911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373246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15409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23338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108451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61880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517469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4712019362</v>
      </c>
      <c r="D4995" s="2" t="str">
        <f t="shared" si="77"/>
        <v>Error?</v>
      </c>
    </row>
    <row r="4996" spans="1:4" x14ac:dyDescent="0.2">
      <c r="A4996" s="12">
        <v>4935</v>
      </c>
      <c r="B4996" s="138">
        <f>'FP Info 3'!H31</f>
        <v>325129335.97800004</v>
      </c>
      <c r="D4996" s="2" t="str">
        <f t="shared" si="77"/>
        <v>Error?</v>
      </c>
    </row>
    <row r="4997" spans="1:4" x14ac:dyDescent="0.2">
      <c r="A4997" s="12">
        <v>4936</v>
      </c>
      <c r="B4997" s="138">
        <f>'FP Info 3'!H37</f>
        <v>14540000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8400000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8400000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87012949</v>
      </c>
      <c r="D5061" s="2" t="str">
        <f t="shared" si="78"/>
        <v>Error?</v>
      </c>
    </row>
    <row r="5062" spans="1:4" x14ac:dyDescent="0.2">
      <c r="A5062" s="10">
        <v>5001</v>
      </c>
      <c r="D5062" s="2" t="str">
        <f t="shared" si="78"/>
        <v>OK</v>
      </c>
    </row>
    <row r="5063" spans="1:4" x14ac:dyDescent="0.2">
      <c r="A5063" s="5">
        <v>5002</v>
      </c>
      <c r="B5063" s="138">
        <f>'Revenues 9-14'!C7</f>
        <v>1535697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88548646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4290864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4290864</v>
      </c>
      <c r="C5071" s="2" t="s">
        <v>594</v>
      </c>
      <c r="D5071" s="2" t="str">
        <f t="shared" si="78"/>
        <v>Error?</v>
      </c>
    </row>
    <row r="5072" spans="1:4" x14ac:dyDescent="0.2">
      <c r="A5072" s="5">
        <v>5011</v>
      </c>
      <c r="B5072" s="138">
        <f>'Revenues 9-14'!C20</f>
        <v>35520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733372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768892</v>
      </c>
      <c r="C5087" s="2" t="s">
        <v>594</v>
      </c>
      <c r="D5087" s="2" t="str">
        <f t="shared" si="78"/>
        <v>Error?</v>
      </c>
    </row>
    <row r="5088" spans="1:4" x14ac:dyDescent="0.2">
      <c r="A5088" s="5">
        <v>5027</v>
      </c>
      <c r="B5088" s="138">
        <f>'Revenues 9-14'!C65</f>
        <v>219032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219032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129725</v>
      </c>
      <c r="C5096" s="2" t="s">
        <v>594</v>
      </c>
      <c r="D5096" s="2" t="str">
        <f t="shared" si="78"/>
        <v>Error?</v>
      </c>
    </row>
    <row r="5097" spans="1:4" x14ac:dyDescent="0.2">
      <c r="A5097" s="5">
        <v>5036</v>
      </c>
      <c r="B5097" s="138">
        <f>'Revenues 9-14'!C77</f>
        <v>263022</v>
      </c>
      <c r="D5097" s="2" t="str">
        <f t="shared" si="78"/>
        <v>Error?</v>
      </c>
    </row>
    <row r="5098" spans="1:4" x14ac:dyDescent="0.2">
      <c r="A5098" s="5">
        <v>5037</v>
      </c>
      <c r="B5098" s="138">
        <f>'Revenues 9-14'!C78</f>
        <v>23680</v>
      </c>
      <c r="D5098" s="2" t="str">
        <f t="shared" si="78"/>
        <v>Error?</v>
      </c>
    </row>
    <row r="5099" spans="1:4" x14ac:dyDescent="0.2">
      <c r="A5099" s="5">
        <v>5038</v>
      </c>
      <c r="B5099" s="138">
        <f>'Revenues 9-14'!C79</f>
        <v>8892</v>
      </c>
      <c r="D5099" s="2" t="str">
        <f t="shared" si="78"/>
        <v>Error?</v>
      </c>
    </row>
    <row r="5100" spans="1:4" x14ac:dyDescent="0.2">
      <c r="A5100" s="5">
        <v>5039</v>
      </c>
      <c r="B5100" s="138">
        <f>'Revenues 9-14'!C80</f>
        <v>1497127</v>
      </c>
      <c r="D5100" s="2" t="str">
        <f t="shared" si="78"/>
        <v>Error?</v>
      </c>
    </row>
    <row r="5101" spans="1:4" x14ac:dyDescent="0.2">
      <c r="A5101" s="5">
        <v>5040</v>
      </c>
      <c r="B5101" s="138">
        <f>'Revenues 9-14'!C81</f>
        <v>168754</v>
      </c>
      <c r="D5101" s="2" t="str">
        <f t="shared" si="78"/>
        <v>Error?</v>
      </c>
    </row>
    <row r="5102" spans="1:4" x14ac:dyDescent="0.2">
      <c r="A5102" s="5">
        <v>5041</v>
      </c>
      <c r="B5102" s="138">
        <f>'Revenues 9-14'!C82</f>
        <v>1961475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618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618</v>
      </c>
      <c r="C5112" s="2" t="s">
        <v>594</v>
      </c>
      <c r="D5112" s="2" t="str">
        <f t="shared" si="78"/>
        <v>Error?</v>
      </c>
    </row>
    <row r="5113" spans="1:4" x14ac:dyDescent="0.2">
      <c r="A5113" s="5">
        <v>5052</v>
      </c>
      <c r="B5113" s="138">
        <f>'Revenues 9-14'!C95</f>
        <v>77725</v>
      </c>
      <c r="D5113" s="2" t="str">
        <f t="shared" si="78"/>
        <v>Error?</v>
      </c>
    </row>
    <row r="5114" spans="1:4" x14ac:dyDescent="0.2">
      <c r="A5114" s="5">
        <v>5053</v>
      </c>
      <c r="B5114" s="138">
        <f>'Revenues 9-14'!C96</f>
        <v>45832</v>
      </c>
      <c r="D5114" s="2" t="str">
        <f t="shared" si="78"/>
        <v>Error?</v>
      </c>
    </row>
    <row r="5115" spans="1:4" x14ac:dyDescent="0.2">
      <c r="A5115" s="5">
        <v>5054</v>
      </c>
      <c r="B5115" s="138">
        <f>'Revenues 9-14'!C98</f>
        <v>1966</v>
      </c>
      <c r="D5115" s="2" t="str">
        <f t="shared" si="78"/>
        <v>Error?</v>
      </c>
    </row>
    <row r="5116" spans="1:4" x14ac:dyDescent="0.2">
      <c r="A5116" s="5">
        <v>5055</v>
      </c>
      <c r="B5116" s="138">
        <f>'Revenues 9-14'!C99</f>
        <v>84023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87175</v>
      </c>
      <c r="D5118" s="2" t="str">
        <f t="shared" si="78"/>
        <v>Error?</v>
      </c>
    </row>
    <row r="5119" spans="1:4" x14ac:dyDescent="0.2">
      <c r="A5119" s="5">
        <v>5058</v>
      </c>
      <c r="B5119" s="138">
        <f>'Revenues 9-14'!C107</f>
        <v>1471842</v>
      </c>
      <c r="D5119" s="2" t="str">
        <f t="shared" ref="D5119:D5182" si="79">IF(ISBLANK(B5119),"OK",IF(A5119-B5119=0,"OK","Error?"))</f>
        <v>Error?</v>
      </c>
    </row>
    <row r="5120" spans="1:4" x14ac:dyDescent="0.2">
      <c r="A5120" s="5">
        <v>5059</v>
      </c>
      <c r="B5120" s="138">
        <f>'Revenues 9-14'!C108</f>
        <v>1980638</v>
      </c>
      <c r="C5120" s="2" t="s">
        <v>594</v>
      </c>
      <c r="D5120" s="2" t="str">
        <f t="shared" si="79"/>
        <v>Error?</v>
      </c>
    </row>
    <row r="5121" spans="1:4" x14ac:dyDescent="0.2">
      <c r="A5121" s="5">
        <v>5060</v>
      </c>
      <c r="B5121" s="138">
        <f>'Revenues 9-14'!C109</f>
        <v>97899890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5595822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5595822</v>
      </c>
      <c r="C5132" s="2" t="s">
        <v>594</v>
      </c>
      <c r="D5132" s="2" t="str">
        <f t="shared" si="79"/>
        <v>Error?</v>
      </c>
    </row>
    <row r="5133" spans="1:4" x14ac:dyDescent="0.2">
      <c r="A5133" s="5">
        <v>5072</v>
      </c>
      <c r="B5133" s="138">
        <f>'Revenues 9-14'!C124</f>
        <v>737592</v>
      </c>
      <c r="D5133" s="2" t="str">
        <f t="shared" si="79"/>
        <v>Error?</v>
      </c>
    </row>
    <row r="5134" spans="1:4" x14ac:dyDescent="0.2">
      <c r="A5134" s="5">
        <v>5073</v>
      </c>
      <c r="B5134" s="138">
        <f>'Revenues 9-14'!C125</f>
        <v>421043</v>
      </c>
      <c r="D5134" s="2" t="str">
        <f t="shared" si="79"/>
        <v>Error?</v>
      </c>
    </row>
    <row r="5135" spans="1:4" x14ac:dyDescent="0.2">
      <c r="A5135" s="5">
        <v>5074</v>
      </c>
      <c r="B5135" s="138">
        <f>'Revenues 9-14'!C126</f>
        <v>502379</v>
      </c>
      <c r="D5135" s="2" t="str">
        <f t="shared" si="79"/>
        <v>Error?</v>
      </c>
    </row>
    <row r="5136" spans="1:4" x14ac:dyDescent="0.2">
      <c r="A5136" s="10">
        <v>5075</v>
      </c>
      <c r="D5136" s="2" t="str">
        <f t="shared" si="79"/>
        <v>OK</v>
      </c>
    </row>
    <row r="5137" spans="1:4" x14ac:dyDescent="0.2">
      <c r="A5137" s="5">
        <v>5076</v>
      </c>
      <c r="B5137" s="138">
        <f>'Revenues 9-14'!C127</f>
        <v>276643</v>
      </c>
      <c r="D5137" s="2" t="str">
        <f t="shared" si="79"/>
        <v>Error?</v>
      </c>
    </row>
    <row r="5138" spans="1:4" x14ac:dyDescent="0.2">
      <c r="A5138" s="10">
        <v>5077</v>
      </c>
      <c r="D5138" s="2" t="str">
        <f t="shared" si="79"/>
        <v>OK</v>
      </c>
    </row>
    <row r="5139" spans="1:4" x14ac:dyDescent="0.2">
      <c r="A5139" s="5">
        <v>5078</v>
      </c>
      <c r="B5139" s="138">
        <f>'Revenues 9-14'!C128</f>
        <v>16860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12957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1967474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292010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292010</v>
      </c>
      <c r="C5161" s="2" t="s">
        <v>594</v>
      </c>
      <c r="D5161" s="2" t="str">
        <f t="shared" si="79"/>
        <v>Error?</v>
      </c>
    </row>
    <row r="5162" spans="1:4" x14ac:dyDescent="0.2">
      <c r="A5162" s="10">
        <v>5101</v>
      </c>
      <c r="D5162" s="2" t="str">
        <f t="shared" si="79"/>
        <v>OK</v>
      </c>
    </row>
    <row r="5163" spans="1:4" x14ac:dyDescent="0.2">
      <c r="A5163" s="5">
        <v>5102</v>
      </c>
      <c r="B5163" s="138">
        <f>'Revenues 9-14'!C142</f>
        <v>93452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93452</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88429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2511998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8107820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23751</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23751</v>
      </c>
      <c r="C5246" s="2" t="s">
        <v>594</v>
      </c>
      <c r="D5246" s="2" t="str">
        <f t="shared" si="80"/>
        <v>Error?</v>
      </c>
    </row>
    <row r="5247" spans="1:4" x14ac:dyDescent="0.2">
      <c r="A5247" s="5">
        <v>5186</v>
      </c>
      <c r="B5247" s="138">
        <f>'Revenues 9-14'!C203</f>
        <v>838720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15409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838720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1343361</v>
      </c>
      <c r="D5278" s="2" t="str">
        <f t="shared" si="81"/>
        <v>Error?</v>
      </c>
    </row>
    <row r="5279" spans="1:4" x14ac:dyDescent="0.2">
      <c r="A5279" s="5">
        <v>5218</v>
      </c>
      <c r="B5279" s="138">
        <f>'Revenues 9-14'!C221</f>
        <v>138756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1482117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141885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141885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13855</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3627152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3627152</v>
      </c>
      <c r="C5326" s="2" t="s">
        <v>594</v>
      </c>
      <c r="D5326" s="2" t="str">
        <f t="shared" si="82"/>
        <v>Error?</v>
      </c>
    </row>
    <row r="5327" spans="1:4" x14ac:dyDescent="0.2">
      <c r="A5327" s="5">
        <v>5266</v>
      </c>
      <c r="B5327" s="138">
        <f>'Revenues 9-14'!C275</f>
        <v>109634862</v>
      </c>
      <c r="C5327" s="2" t="s">
        <v>594</v>
      </c>
      <c r="D5327" s="2" t="str">
        <f t="shared" si="82"/>
        <v>Error?</v>
      </c>
    </row>
    <row r="5328" spans="1:4" x14ac:dyDescent="0.2">
      <c r="A5328" s="5">
        <v>5267</v>
      </c>
      <c r="B5328" s="138">
        <f>'Revenues 9-14'!D5</f>
        <v>17727150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17727150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74927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74927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23603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249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188847</v>
      </c>
      <c r="D5354" s="2" t="str">
        <f t="shared" si="82"/>
        <v>Error?</v>
      </c>
    </row>
    <row r="5355" spans="1:4" x14ac:dyDescent="0.2">
      <c r="A5355" s="5">
        <v>5294</v>
      </c>
      <c r="B5355" s="138">
        <f>'Revenues 9-14'!D108</f>
        <v>214459</v>
      </c>
      <c r="C5355" s="2" t="s">
        <v>594</v>
      </c>
      <c r="D5355" s="2" t="str">
        <f t="shared" si="82"/>
        <v>Error?</v>
      </c>
    </row>
    <row r="5356" spans="1:4" x14ac:dyDescent="0.2">
      <c r="A5356" s="5">
        <v>5295</v>
      </c>
      <c r="B5356" s="138">
        <f>'Revenues 9-14'!D109</f>
        <v>18016536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18016536</v>
      </c>
      <c r="C5508" s="2" t="s">
        <v>594</v>
      </c>
      <c r="D5508" s="2" t="str">
        <f t="shared" si="85"/>
        <v>Error?</v>
      </c>
    </row>
    <row r="5509" spans="1:4" x14ac:dyDescent="0.2">
      <c r="A5509" s="5">
        <v>5448</v>
      </c>
      <c r="B5509" s="138">
        <f>'Revenues 9-14'!E5</f>
        <v>1583754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1583754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7589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7589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1591343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1591343</v>
      </c>
      <c r="C5552" s="2" t="s">
        <v>594</v>
      </c>
      <c r="D5552" s="2" t="str">
        <f t="shared" si="85"/>
        <v>Error?</v>
      </c>
    </row>
    <row r="5553" spans="1:4" x14ac:dyDescent="0.2">
      <c r="A5553" s="5">
        <v>5492</v>
      </c>
      <c r="B5553" s="138">
        <f>'Revenues 9-14'!F5</f>
        <v>824597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824597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29162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29162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853759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3772</v>
      </c>
      <c r="D5615" s="2" t="str">
        <f t="shared" si="86"/>
        <v>Error?</v>
      </c>
    </row>
    <row r="5616" spans="1:4" x14ac:dyDescent="0.2">
      <c r="A5616" s="10">
        <v>5555</v>
      </c>
      <c r="D5616" s="2" t="str">
        <f t="shared" si="86"/>
        <v>OK</v>
      </c>
    </row>
    <row r="5617" spans="1:4" x14ac:dyDescent="0.2">
      <c r="A5617" s="5">
        <v>5556</v>
      </c>
      <c r="B5617" s="138">
        <f>'Revenues 9-14'!F152</f>
        <v>1708908</v>
      </c>
      <c r="D5617" s="2" t="str">
        <f t="shared" si="86"/>
        <v>Error?</v>
      </c>
    </row>
    <row r="5618" spans="1:4" x14ac:dyDescent="0.2">
      <c r="A5618" s="5">
        <v>5557</v>
      </c>
      <c r="B5618" s="138">
        <f>'Revenues 9-14'!F154</f>
        <v>1712680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1712680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1712680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2566439</v>
      </c>
      <c r="C5720" s="2" t="s">
        <v>594</v>
      </c>
      <c r="D5720" s="2" t="str">
        <f t="shared" si="88"/>
        <v>Error?</v>
      </c>
    </row>
    <row r="5721" spans="1:4" x14ac:dyDescent="0.2">
      <c r="A5721" s="5">
        <v>5660</v>
      </c>
      <c r="B5721" s="138">
        <f>'Revenues 9-14'!G5</f>
        <v>704121</v>
      </c>
      <c r="D5721" s="2" t="str">
        <f t="shared" si="88"/>
        <v>Error?</v>
      </c>
    </row>
    <row r="5722" spans="1:4" x14ac:dyDescent="0.2">
      <c r="A5722" s="5">
        <v>5661</v>
      </c>
      <c r="B5722" s="138">
        <f>'Revenues 9-14'!G7</f>
        <v>0</v>
      </c>
      <c r="D5722" s="2" t="str">
        <f t="shared" si="88"/>
        <v>Error?</v>
      </c>
    </row>
    <row r="5723" spans="1:4" x14ac:dyDescent="0.2">
      <c r="A5723" s="5">
        <v>5662</v>
      </c>
      <c r="B5723" s="138">
        <f>'Revenues 9-14'!G8</f>
        <v>2912415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3616536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269034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269034</v>
      </c>
      <c r="C5730" s="2" t="s">
        <v>594</v>
      </c>
      <c r="D5730" s="2" t="str">
        <f t="shared" si="88"/>
        <v>Error?</v>
      </c>
    </row>
    <row r="5731" spans="1:4" x14ac:dyDescent="0.2">
      <c r="A5731" s="5">
        <v>5670</v>
      </c>
      <c r="B5731" s="138">
        <f>'Revenues 9-14'!G65</f>
        <v>-8674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-8674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3876896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71565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71565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350095</v>
      </c>
      <c r="D5885" s="2" t="str">
        <f t="shared" si="90"/>
        <v>Error?</v>
      </c>
    </row>
    <row r="5886" spans="1:4" x14ac:dyDescent="0.2">
      <c r="A5886" s="5">
        <v>5825</v>
      </c>
      <c r="B5886" s="138">
        <f>'Revenues 9-14'!H108</f>
        <v>350095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421660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8768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8768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8768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1111005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1111005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12770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12770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1123775</v>
      </c>
      <c r="C6023" s="2" t="s">
        <v>594</v>
      </c>
      <c r="D6023" s="2" t="str">
        <f t="shared" si="93"/>
        <v>Error?</v>
      </c>
    </row>
    <row r="6024" spans="1:5" x14ac:dyDescent="0.2">
      <c r="A6024" s="5">
        <v>5963</v>
      </c>
      <c r="B6024" s="138">
        <f>'Revenues 9-14'!G109</f>
        <v>3876896</v>
      </c>
      <c r="C6024" s="2" t="s">
        <v>594</v>
      </c>
      <c r="D6024" s="2" t="str">
        <f t="shared" si="93"/>
        <v>Error?</v>
      </c>
    </row>
    <row r="6025" spans="1:5" x14ac:dyDescent="0.2">
      <c r="A6025" s="5">
        <v>5964</v>
      </c>
      <c r="B6025" s="138">
        <f>'Revenues 9-14'!H109</f>
        <v>421660</v>
      </c>
      <c r="C6025" s="2" t="s">
        <v>594</v>
      </c>
      <c r="D6025" s="2" t="str">
        <f t="shared" si="93"/>
        <v>Error?</v>
      </c>
    </row>
    <row r="6026" spans="1:5" x14ac:dyDescent="0.2">
      <c r="A6026" s="5">
        <v>5965</v>
      </c>
      <c r="B6026" s="138">
        <f>'Revenues 9-14'!I109</f>
        <v>8768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1123775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129725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5891.32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2050161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337761</v>
      </c>
      <c r="D6093" s="2" t="str">
        <f t="shared" si="94"/>
        <v>Error?</v>
      </c>
      <c r="E6093" s="2" t="s">
        <v>199</v>
      </c>
    </row>
    <row r="6094" spans="1:5" x14ac:dyDescent="0.2">
      <c r="A6094">
        <v>6033</v>
      </c>
      <c r="B6094" s="138">
        <f>'Assets-Liab 5-6'!G8</f>
        <v>216837</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593710</v>
      </c>
      <c r="D6099" s="2" t="str">
        <f t="shared" si="94"/>
        <v>Error?</v>
      </c>
      <c r="E6099" s="2" t="s">
        <v>199</v>
      </c>
    </row>
    <row r="6100" spans="1:5" x14ac:dyDescent="0.2">
      <c r="A6100">
        <v>6039</v>
      </c>
      <c r="B6100" s="138">
        <f>'Assets-Liab 5-6'!D9</f>
        <v>31658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5111</v>
      </c>
      <c r="D6102" s="2" t="str">
        <f t="shared" si="94"/>
        <v>Error?</v>
      </c>
      <c r="E6102" s="2" t="s">
        <v>199</v>
      </c>
    </row>
    <row r="6103" spans="1:5" x14ac:dyDescent="0.2">
      <c r="A6103">
        <f>A6102+1</f>
        <v>6042</v>
      </c>
      <c r="B6103" s="138">
        <f>'Assets-Liab 5-6'!G9</f>
        <v>11701</v>
      </c>
      <c r="D6103" s="2" t="str">
        <f t="shared" si="94"/>
        <v>Error?</v>
      </c>
      <c r="E6103" s="2" t="s">
        <v>199</v>
      </c>
    </row>
    <row r="6104" spans="1:5" x14ac:dyDescent="0.2">
      <c r="A6104">
        <v>6043</v>
      </c>
      <c r="B6104" s="138">
        <f>'Assets-Liab 5-6'!H9</f>
        <v>12157</v>
      </c>
      <c r="D6104" s="2" t="str">
        <f t="shared" si="94"/>
        <v>Error?</v>
      </c>
      <c r="E6104" s="2" t="s">
        <v>199</v>
      </c>
    </row>
    <row r="6105" spans="1:5" x14ac:dyDescent="0.2">
      <c r="A6105">
        <v>6044</v>
      </c>
      <c r="B6105" s="138">
        <f>'Assets-Liab 5-6'!I9</f>
        <v>125151</v>
      </c>
      <c r="D6105" s="2" t="str">
        <f t="shared" si="94"/>
        <v>Error?</v>
      </c>
      <c r="E6105" s="2" t="s">
        <v>199</v>
      </c>
    </row>
    <row r="6106" spans="1:5" x14ac:dyDescent="0.2">
      <c r="A6106">
        <v>6045</v>
      </c>
      <c r="B6106" s="138">
        <f>'Assets-Liab 5-6'!J9</f>
        <v>2716</v>
      </c>
      <c r="D6106" s="2" t="str">
        <f t="shared" si="94"/>
        <v>Error?</v>
      </c>
      <c r="E6106" s="2" t="s">
        <v>199</v>
      </c>
    </row>
    <row r="6107" spans="1:5" x14ac:dyDescent="0.2">
      <c r="A6107">
        <v>6046</v>
      </c>
      <c r="B6107" s="138">
        <f>'Assets-Liab 5-6'!K9</f>
        <v>12892</v>
      </c>
      <c r="D6107" s="2" t="str">
        <f t="shared" si="94"/>
        <v>Error?</v>
      </c>
      <c r="E6107" s="2" t="s">
        <v>199</v>
      </c>
    </row>
    <row r="6108" spans="1:5" x14ac:dyDescent="0.2">
      <c r="A6108">
        <v>6047</v>
      </c>
      <c r="B6108" s="138">
        <f>'Assets-Liab 5-6'!L9</f>
        <v>2608</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75103</v>
      </c>
      <c r="D6113" s="2" t="str">
        <f t="shared" si="94"/>
        <v>Error?</v>
      </c>
      <c r="E6113" s="2" t="s">
        <v>199</v>
      </c>
    </row>
    <row r="6114" spans="1:5" x14ac:dyDescent="0.2">
      <c r="A6114">
        <v>6053</v>
      </c>
      <c r="B6114" s="138">
        <f>'Assets-Liab 5-6'!D11</f>
        <v>28933</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1632176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1350358</v>
      </c>
      <c r="D6142" s="2" t="str">
        <f t="shared" si="94"/>
        <v>Error?</v>
      </c>
      <c r="E6142" s="2" t="s">
        <v>199</v>
      </c>
    </row>
    <row r="6143" spans="1:5" x14ac:dyDescent="0.2">
      <c r="A6143">
        <v>6082</v>
      </c>
      <c r="B6143" s="138">
        <f>'Assets-Liab 5-6'!D27</f>
        <v>784830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22176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230051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31761</v>
      </c>
      <c r="D6149" s="2" t="str">
        <f t="shared" si="95"/>
        <v>Error?</v>
      </c>
      <c r="E6149" s="2" t="s">
        <v>199</v>
      </c>
    </row>
    <row r="6150" spans="1:5" x14ac:dyDescent="0.2">
      <c r="A6150">
        <v>6089</v>
      </c>
      <c r="B6150" s="138">
        <f>'Assets-Liab 5-6'!K27</f>
        <v>235863</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8085783</v>
      </c>
      <c r="D6169" s="2" t="str">
        <f t="shared" si="95"/>
        <v>Error?</v>
      </c>
      <c r="E6169" s="2" t="s">
        <v>199</v>
      </c>
    </row>
    <row r="6170" spans="1:5" x14ac:dyDescent="0.2">
      <c r="A6170">
        <v>6109</v>
      </c>
      <c r="B6170" s="138">
        <f>'Assets-Liab 5-6'!D30</f>
        <v>71875</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178983</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519815</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551576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1080600</v>
      </c>
      <c r="D6215" s="2" t="str">
        <f t="shared" si="96"/>
        <v>Error?</v>
      </c>
      <c r="E6215" s="2" t="s">
        <v>199</v>
      </c>
    </row>
    <row r="6216" spans="1:5" x14ac:dyDescent="0.2">
      <c r="A6216">
        <v>6155</v>
      </c>
      <c r="B6216" s="138">
        <f>'Assets-Liab 5-6'!J41</f>
        <v>1632176</v>
      </c>
      <c r="D6216" s="2" t="str">
        <f t="shared" si="96"/>
        <v>Error?</v>
      </c>
      <c r="E6216" s="2" t="s">
        <v>199</v>
      </c>
    </row>
    <row r="6217" spans="1:5" x14ac:dyDescent="0.2">
      <c r="A6217">
        <v>6156</v>
      </c>
      <c r="B6217" s="138">
        <f>'Assets-Liab 5-6'!J4</f>
        <v>1071105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558355</v>
      </c>
      <c r="D6219" s="2" t="str">
        <f t="shared" si="96"/>
        <v>Error?</v>
      </c>
      <c r="E6219" s="2" t="s">
        <v>199</v>
      </c>
    </row>
    <row r="6220" spans="1:5" x14ac:dyDescent="0.2">
      <c r="A6220">
        <v>6159</v>
      </c>
      <c r="B6220" s="138">
        <f>'Acct Summary 7-8'!J4</f>
        <v>1150245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1150245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1150245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800768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800768</v>
      </c>
      <c r="D6229" s="2" t="str">
        <f t="shared" si="96"/>
        <v>Error?</v>
      </c>
      <c r="E6229" s="2" t="s">
        <v>199</v>
      </c>
    </row>
    <row r="6230" spans="1:5" x14ac:dyDescent="0.2">
      <c r="A6230">
        <v>6169</v>
      </c>
      <c r="B6230" s="138">
        <f>'Acct Summary 7-8'!J20</f>
        <v>349477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349477</v>
      </c>
      <c r="D6263" s="2" t="str">
        <f t="shared" si="96"/>
        <v>Error?</v>
      </c>
      <c r="E6263" s="2" t="s">
        <v>199</v>
      </c>
    </row>
    <row r="6264" spans="1:5" x14ac:dyDescent="0.2">
      <c r="A6264">
        <v>6203</v>
      </c>
      <c r="B6264" s="138">
        <f>'Acct Summary 7-8'!J79</f>
        <v>731123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1080600</v>
      </c>
      <c r="D6266" s="2" t="str">
        <f t="shared" si="96"/>
        <v>Error?</v>
      </c>
      <c r="E6266" s="2" t="s">
        <v>199</v>
      </c>
    </row>
    <row r="6267" spans="1:5" x14ac:dyDescent="0.2">
      <c r="A6267">
        <v>6206</v>
      </c>
      <c r="B6267" s="138">
        <f>'Acct Summary 7-8'!C82</f>
        <v>6645141</v>
      </c>
      <c r="D6267" s="2" t="str">
        <f t="shared" si="96"/>
        <v>Error?</v>
      </c>
      <c r="E6267" s="2" t="s">
        <v>199</v>
      </c>
    </row>
    <row r="6268" spans="1:5" x14ac:dyDescent="0.2">
      <c r="A6268">
        <v>6207</v>
      </c>
      <c r="B6268" s="138">
        <f>'Acct Summary 7-8'!D82</f>
        <v>2629780</v>
      </c>
      <c r="D6268" s="2" t="str">
        <f t="shared" si="96"/>
        <v>Error?</v>
      </c>
      <c r="E6268" s="2" t="s">
        <v>199</v>
      </c>
    </row>
    <row r="6269" spans="1:5" x14ac:dyDescent="0.2">
      <c r="A6269">
        <v>6208</v>
      </c>
      <c r="B6269" s="138">
        <f>'Acct Summary 7-8'!E82</f>
        <v>32444</v>
      </c>
      <c r="D6269" s="2" t="str">
        <f t="shared" si="96"/>
        <v>Error?</v>
      </c>
      <c r="E6269" s="2" t="s">
        <v>199</v>
      </c>
    </row>
    <row r="6270" spans="1:5" x14ac:dyDescent="0.2">
      <c r="A6270">
        <v>6209</v>
      </c>
      <c r="B6270" s="138">
        <f>'Acct Summary 7-8'!F82</f>
        <v>79457</v>
      </c>
      <c r="D6270" s="2" t="str">
        <f t="shared" si="96"/>
        <v>Error?</v>
      </c>
      <c r="E6270" s="2" t="s">
        <v>199</v>
      </c>
    </row>
    <row r="6271" spans="1:5" x14ac:dyDescent="0.2">
      <c r="A6271">
        <v>6210</v>
      </c>
      <c r="B6271" s="138">
        <f>'Acct Summary 7-8'!G82</f>
        <v>206280</v>
      </c>
      <c r="D6271" s="2" t="str">
        <f t="shared" ref="D6271:D6334" si="97">IF(ISBLANK(B6271),"OK",IF(A6271-B6271=0,"OK","Error?"))</f>
        <v>Error?</v>
      </c>
      <c r="E6271" s="2" t="s">
        <v>199</v>
      </c>
    </row>
    <row r="6272" spans="1:5" x14ac:dyDescent="0.2">
      <c r="A6272">
        <v>6211</v>
      </c>
      <c r="B6272" s="138">
        <f>'Acct Summary 7-8'!H82</f>
        <v>2885004</v>
      </c>
      <c r="D6272" s="2" t="str">
        <f t="shared" si="97"/>
        <v>Error?</v>
      </c>
      <c r="E6272" s="2" t="s">
        <v>199</v>
      </c>
    </row>
    <row r="6273" spans="1:5" x14ac:dyDescent="0.2">
      <c r="A6273">
        <v>6212</v>
      </c>
      <c r="B6273" s="138">
        <f>'Acct Summary 7-8'!I82</f>
        <v>-8791232</v>
      </c>
      <c r="D6273" s="2" t="str">
        <f t="shared" si="97"/>
        <v>Error?</v>
      </c>
      <c r="E6273" s="2" t="s">
        <v>199</v>
      </c>
    </row>
    <row r="6274" spans="1:5" x14ac:dyDescent="0.2">
      <c r="A6274">
        <v>6213</v>
      </c>
      <c r="B6274" s="138">
        <f>'Acct Summary 7-8'!J82</f>
        <v>349477</v>
      </c>
      <c r="D6274" s="2" t="str">
        <f t="shared" si="97"/>
        <v>Error?</v>
      </c>
      <c r="E6274" s="2" t="s">
        <v>199</v>
      </c>
    </row>
    <row r="6275" spans="1:5" x14ac:dyDescent="0.2">
      <c r="A6275">
        <v>6214</v>
      </c>
      <c r="B6275" s="138">
        <f>'Acct Summary 7-8'!K82</f>
        <v>-138831</v>
      </c>
      <c r="D6275" s="2" t="str">
        <f t="shared" si="97"/>
        <v>Error?</v>
      </c>
      <c r="E6275" s="2" t="s">
        <v>199</v>
      </c>
    </row>
    <row r="6276" spans="1:5" x14ac:dyDescent="0.2">
      <c r="A6276">
        <v>6215</v>
      </c>
      <c r="B6276" s="138">
        <f>'Acct Summary 7-8'!C83</f>
        <v>7.7633181014305927E-2</v>
      </c>
      <c r="D6276" s="2" t="str">
        <f t="shared" si="97"/>
        <v>Error?</v>
      </c>
      <c r="E6276" s="2" t="s">
        <v>199</v>
      </c>
    </row>
    <row r="6277" spans="1:5" x14ac:dyDescent="0.2">
      <c r="A6277">
        <v>6216</v>
      </c>
      <c r="B6277" s="138">
        <f>'Acct Summary 7-8'!D83</f>
        <v>0.23744709475428263</v>
      </c>
      <c r="D6277" s="2" t="str">
        <f t="shared" si="97"/>
        <v>Error?</v>
      </c>
      <c r="E6277" s="2" t="s">
        <v>199</v>
      </c>
    </row>
    <row r="6278" spans="1:5" x14ac:dyDescent="0.2">
      <c r="A6278">
        <v>6217</v>
      </c>
      <c r="B6278" s="138">
        <f>'Acct Summary 7-8'!E83</f>
        <v>0.21647372810675564</v>
      </c>
      <c r="D6278" s="2" t="str">
        <f t="shared" si="97"/>
        <v>Error?</v>
      </c>
      <c r="E6278" s="2" t="s">
        <v>199</v>
      </c>
    </row>
    <row r="6279" spans="1:5" x14ac:dyDescent="0.2">
      <c r="A6279">
        <v>6218</v>
      </c>
      <c r="B6279" s="138">
        <f>'Acct Summary 7-8'!F83</f>
        <v>2.7841686738713459E-2</v>
      </c>
      <c r="D6279" s="2" t="str">
        <f t="shared" si="97"/>
        <v>Error?</v>
      </c>
      <c r="E6279" s="2" t="s">
        <v>199</v>
      </c>
    </row>
    <row r="6280" spans="1:5" x14ac:dyDescent="0.2">
      <c r="A6280">
        <v>6219</v>
      </c>
      <c r="B6280" s="138">
        <f>'Acct Summary 7-8'!G83</f>
        <v>5.3547579027976973E-2</v>
      </c>
      <c r="D6280" s="2" t="str">
        <f t="shared" si="97"/>
        <v>Error?</v>
      </c>
      <c r="E6280" s="2" t="s">
        <v>199</v>
      </c>
    </row>
    <row r="6281" spans="1:5" x14ac:dyDescent="0.2">
      <c r="A6281">
        <v>6220</v>
      </c>
      <c r="B6281" s="138">
        <f>'Acct Summary 7-8'!H83</f>
        <v>0.451194294785077</v>
      </c>
      <c r="D6281" s="2" t="str">
        <f t="shared" si="97"/>
        <v>Error?</v>
      </c>
      <c r="E6281" s="2" t="s">
        <v>199</v>
      </c>
    </row>
    <row r="6282" spans="1:5" x14ac:dyDescent="0.2">
      <c r="A6282">
        <v>6221</v>
      </c>
      <c r="B6282" s="138">
        <f>'Acct Summary 7-8'!I83</f>
        <v>-0.3102667563714267</v>
      </c>
      <c r="D6282" s="2" t="str">
        <f t="shared" si="97"/>
        <v>Error?</v>
      </c>
      <c r="E6282" s="2" t="s">
        <v>199</v>
      </c>
    </row>
    <row r="6283" spans="1:5" x14ac:dyDescent="0.2">
      <c r="A6283">
        <v>6222</v>
      </c>
      <c r="B6283" s="138">
        <f>'Acct Summary 7-8'!J83</f>
        <v>0.32341014251341849</v>
      </c>
      <c r="D6283" s="2" t="str">
        <f t="shared" si="97"/>
        <v>Error?</v>
      </c>
      <c r="E6283" s="2" t="s">
        <v>199</v>
      </c>
    </row>
    <row r="6284" spans="1:5" x14ac:dyDescent="0.2">
      <c r="A6284">
        <v>6223</v>
      </c>
      <c r="B6284" s="138">
        <f>'Acct Summary 7-8'!K83</f>
        <v>-3.3633088732281768E-2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1141159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1141159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9086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9086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13827</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137078</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61170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1150245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6461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50424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470303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2548543</v>
      </c>
      <c r="D6880" s="2" t="str">
        <f t="shared" si="106"/>
        <v>Error?</v>
      </c>
    </row>
    <row r="6881" spans="1:4" x14ac:dyDescent="0.2">
      <c r="A6881">
        <v>6820</v>
      </c>
      <c r="B6881" s="138">
        <f>'Expenditures 15-22'!K22</f>
        <v>2548543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56885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2000</v>
      </c>
      <c r="D6981" s="2" t="str">
        <f t="shared" si="108"/>
        <v>Error?</v>
      </c>
    </row>
    <row r="6982" spans="1:4" x14ac:dyDescent="0.2">
      <c r="A6982">
        <v>6921</v>
      </c>
      <c r="B6982" s="138">
        <f>'Expenditures 15-22'!K85</f>
        <v>2000</v>
      </c>
      <c r="D6982" s="2" t="str">
        <f t="shared" si="108"/>
        <v>Error?</v>
      </c>
    </row>
    <row r="6983" spans="1:4" x14ac:dyDescent="0.2">
      <c r="A6983">
        <v>6922</v>
      </c>
      <c r="B6983" s="138">
        <f>'Expenditures 15-22'!H86</f>
        <v>1568561</v>
      </c>
      <c r="D6983" s="2" t="str">
        <f t="shared" si="108"/>
        <v>Error?</v>
      </c>
    </row>
    <row r="6984" spans="1:4" x14ac:dyDescent="0.2">
      <c r="A6984">
        <v>6923</v>
      </c>
      <c r="B6984" s="138">
        <f>'Expenditures 15-22'!K86</f>
        <v>1568561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1570561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56885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800768</v>
      </c>
      <c r="D7042" s="2" t="str">
        <f t="shared" si="109"/>
        <v>Error?</v>
      </c>
    </row>
    <row r="7043" spans="1:5" x14ac:dyDescent="0.2">
      <c r="A7043">
        <v>6982</v>
      </c>
      <c r="B7043" s="138">
        <f>'Revenues 9-14'!H9</f>
        <v>0</v>
      </c>
      <c r="D7043" s="2" t="str">
        <f t="shared" si="109"/>
        <v>Error?</v>
      </c>
    </row>
    <row r="7044" spans="1:5" x14ac:dyDescent="0.2">
      <c r="A7044">
        <v>6983</v>
      </c>
      <c r="B7044" s="138">
        <f>'Revenues 9-14'!D106</f>
        <v>1760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1150245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5756</v>
      </c>
      <c r="D7079" s="2" t="str">
        <f t="shared" si="109"/>
        <v>Error?</v>
      </c>
    </row>
    <row r="7080" spans="1:4" x14ac:dyDescent="0.2">
      <c r="A7080">
        <v>7019</v>
      </c>
      <c r="B7080" s="138">
        <f>'Expenditures 15-22'!K226</f>
        <v>5756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204296</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204296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2437</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178015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178015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133947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133947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206733</v>
      </c>
      <c r="D7200" s="2" t="str">
        <f t="shared" si="111"/>
        <v>Error?</v>
      </c>
    </row>
    <row r="7201" spans="1:4" x14ac:dyDescent="0.2">
      <c r="A7201">
        <v>7140</v>
      </c>
      <c r="B7201" s="138">
        <f>'Expenditures 15-22'!E330</f>
        <v>594035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800768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206733</v>
      </c>
      <c r="D7217" s="2" t="str">
        <f t="shared" si="111"/>
        <v>Error?</v>
      </c>
    </row>
    <row r="7218" spans="1:4" x14ac:dyDescent="0.2">
      <c r="A7218">
        <v>7157</v>
      </c>
      <c r="B7218" s="138">
        <f>'Expenditures 15-22'!E342</f>
        <v>594035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800768</v>
      </c>
      <c r="D7224" s="2" t="str">
        <f t="shared" si="111"/>
        <v>Error?</v>
      </c>
    </row>
    <row r="7225" spans="1:4" x14ac:dyDescent="0.2">
      <c r="A7225">
        <v>7164</v>
      </c>
      <c r="B7225" s="138">
        <f>'Expenditures 15-22'!K343</f>
        <v>349477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409913</v>
      </c>
      <c r="D7263" s="2" t="str">
        <f t="shared" si="112"/>
        <v>Error?</v>
      </c>
    </row>
    <row r="7264" spans="1:4" x14ac:dyDescent="0.2">
      <c r="A7264">
        <f t="shared" si="113"/>
        <v>7203</v>
      </c>
      <c r="B7264" s="138">
        <f>'Expenditures 15-22'!D17</f>
        <v>57764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2626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56885</v>
      </c>
      <c r="D7624" s="2" t="str">
        <f t="shared" si="124"/>
        <v>Error?</v>
      </c>
      <c r="E7624" s="2" t="s">
        <v>19</v>
      </c>
    </row>
    <row r="7625" spans="1:5" x14ac:dyDescent="0.2">
      <c r="A7625">
        <f t="shared" si="123"/>
        <v>7564</v>
      </c>
      <c r="B7625" s="138">
        <f>'Cap Outlay Deprec 26'!I17</f>
        <v>5688.5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4295800.5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282073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282073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61170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88429</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149599</v>
      </c>
      <c r="D7719" s="2" t="str">
        <f t="shared" si="126"/>
        <v>Error?</v>
      </c>
      <c r="E7719" s="2" t="s">
        <v>881</v>
      </c>
    </row>
    <row r="7720" spans="1:6" x14ac:dyDescent="0.2">
      <c r="A7720">
        <v>7659</v>
      </c>
      <c r="B7720" s="138">
        <f>'Rest Tax Levies-Tort Im 25'!H14</f>
        <v>1535697</v>
      </c>
      <c r="D7720" s="2" t="str">
        <f t="shared" si="126"/>
        <v>Error?</v>
      </c>
      <c r="E7720" s="2" t="s">
        <v>881</v>
      </c>
    </row>
    <row r="7721" spans="1:6" x14ac:dyDescent="0.2">
      <c r="A7721">
        <v>7660</v>
      </c>
      <c r="B7721" s="138">
        <f>'Rest Tax Levies-Tort Im 25'!K14</f>
        <v>149599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487015</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487015</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917981</v>
      </c>
      <c r="D7797" s="2" t="str">
        <f t="shared" si="127"/>
        <v>Error?</v>
      </c>
      <c r="E7797" s="4" t="s">
        <v>2018</v>
      </c>
    </row>
    <row r="7798" spans="1:5" x14ac:dyDescent="0.2">
      <c r="A7798">
        <v>7737</v>
      </c>
      <c r="B7798" s="138">
        <f>'Contracts Paid in CY 29'!F141</f>
        <v>75000</v>
      </c>
      <c r="D7798" s="2" t="str">
        <f t="shared" si="127"/>
        <v>Error?</v>
      </c>
      <c r="E7798" s="4" t="s">
        <v>2018</v>
      </c>
    </row>
    <row r="7799" spans="1:5" x14ac:dyDescent="0.2">
      <c r="A7799">
        <v>7738</v>
      </c>
      <c r="B7799" s="138">
        <f>'Contracts Paid in CY 29'!G141</f>
        <v>842981</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AC60"/>
  <sheetViews>
    <sheetView showGridLines="0" showZeros="0" zoomScale="110" zoomScaleNormal="110" workbookViewId="0">
      <selection activeCell="A10" sqref="A10:F1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7" t="str">
        <f>COVER!A17</f>
        <v>MAINE TOWNSHIP HIGH SCHOOL DISTRICT 207</v>
      </c>
      <c r="B7" s="2408"/>
      <c r="C7" s="2408"/>
      <c r="D7" s="2445"/>
      <c r="E7" s="2446">
        <f>COVER!A13</f>
        <v>5016207017</v>
      </c>
      <c r="F7" s="2447"/>
      <c r="G7" s="2414" t="str">
        <f>COVER!T23</f>
        <v>066-005142</v>
      </c>
      <c r="H7" s="2415"/>
      <c r="I7" s="2415"/>
      <c r="J7" s="2415"/>
      <c r="K7" s="2415"/>
      <c r="L7" s="241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7"/>
      <c r="B9" s="2418"/>
      <c r="C9" s="2418"/>
      <c r="D9" s="2418"/>
      <c r="E9" s="2418"/>
      <c r="F9" s="2419"/>
      <c r="G9" s="2420" t="str">
        <f>COVER!T13</f>
        <v>EDER, CASELLA &amp; CO.</v>
      </c>
      <c r="H9" s="2421"/>
      <c r="I9" s="2421"/>
      <c r="J9" s="2421"/>
      <c r="K9" s="2421"/>
      <c r="L9" s="2422"/>
    </row>
    <row r="10" spans="1:29" ht="13.5" customHeight="1" x14ac:dyDescent="0.2">
      <c r="A10" s="2404"/>
      <c r="B10" s="2405"/>
      <c r="C10" s="2405"/>
      <c r="D10" s="2405"/>
      <c r="E10" s="2405"/>
      <c r="F10" s="2406"/>
      <c r="G10" s="2420" t="str">
        <f>COVER!T17</f>
        <v>5400 WEST ELM STREET, SUITE 203</v>
      </c>
      <c r="H10" s="2433"/>
      <c r="I10" s="2433"/>
      <c r="J10" s="2433"/>
      <c r="K10" s="2433"/>
      <c r="L10" s="2434"/>
    </row>
    <row r="11" spans="1:29" ht="13.5" customHeight="1" x14ac:dyDescent="0.2">
      <c r="A11" s="1184" t="s">
        <v>1599</v>
      </c>
      <c r="B11" s="1185"/>
      <c r="C11" s="1186"/>
      <c r="D11" s="1191"/>
      <c r="E11" s="1186"/>
      <c r="F11" s="1190"/>
      <c r="G11" s="2420" t="str">
        <f>COVER!T19</f>
        <v>MCHENRY</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CPAS@EDERCASELLA.COM</v>
      </c>
      <c r="J13" s="2442"/>
      <c r="K13" s="2442"/>
      <c r="L13" s="2443"/>
    </row>
    <row r="14" spans="1:29" ht="13.5" customHeight="1" x14ac:dyDescent="0.2">
      <c r="A14" s="2420" t="str">
        <f>COVER!A19</f>
        <v>1177 SOUTH DEE ROAD</v>
      </c>
      <c r="B14" s="2433"/>
      <c r="C14" s="2433"/>
      <c r="D14" s="2433"/>
      <c r="E14" s="2433"/>
      <c r="F14" s="2434"/>
      <c r="G14" s="1195" t="s">
        <v>1247</v>
      </c>
      <c r="H14" s="1193"/>
      <c r="I14" s="1193"/>
      <c r="J14" s="1193"/>
      <c r="K14" s="1193"/>
      <c r="L14" s="1194"/>
    </row>
    <row r="15" spans="1:29" ht="13.5" customHeight="1" x14ac:dyDescent="0.2">
      <c r="A15" s="2420" t="str">
        <f>COVER!A21</f>
        <v>PARK RIDGE</v>
      </c>
      <c r="B15" s="2433"/>
      <c r="C15" s="2433"/>
      <c r="D15" s="2433"/>
      <c r="E15" s="2433"/>
      <c r="F15" s="2434"/>
      <c r="G15" s="2430" t="str">
        <f>COVER!T15</f>
        <v>ANTHONY MICHELOTTI</v>
      </c>
      <c r="H15" s="2431"/>
      <c r="I15" s="2431"/>
      <c r="J15" s="2431"/>
      <c r="K15" s="2431"/>
      <c r="L15" s="2432"/>
    </row>
    <row r="16" spans="1:29" ht="12.2" customHeight="1" x14ac:dyDescent="0.2">
      <c r="A16" s="2410">
        <f>COVER!A25</f>
        <v>60068</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5" t="s">
        <v>1246</v>
      </c>
      <c r="H17" s="1193"/>
      <c r="I17" s="1193"/>
      <c r="J17" s="1193"/>
      <c r="K17" s="1197" t="s">
        <v>1245</v>
      </c>
      <c r="L17" s="1190"/>
      <c r="M17" s="1183"/>
    </row>
    <row r="18" spans="1:13" ht="12.2" customHeight="1" x14ac:dyDescent="0.2">
      <c r="A18" s="2404"/>
      <c r="B18" s="2405"/>
      <c r="C18" s="2405"/>
      <c r="D18" s="2405"/>
      <c r="E18" s="2405"/>
      <c r="F18" s="2406"/>
      <c r="G18" s="2407" t="str">
        <f>COVER!T21</f>
        <v>814-344-1300</v>
      </c>
      <c r="H18" s="2408"/>
      <c r="I18" s="2408"/>
      <c r="J18" s="2408"/>
      <c r="K18" s="2407" t="str">
        <f>COVER!X21</f>
        <v>815-344-1320</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2075</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2075</v>
      </c>
      <c r="C26" s="1202" t="s">
        <v>1801</v>
      </c>
    </row>
    <row r="27" spans="1:13" s="1198" customFormat="1" ht="9" customHeight="1" x14ac:dyDescent="0.2">
      <c r="B27" s="1203"/>
      <c r="C27" s="1202"/>
    </row>
    <row r="28" spans="1:13" s="1198" customFormat="1" ht="12.2" customHeight="1" x14ac:dyDescent="0.2">
      <c r="A28" s="1205"/>
      <c r="B28" s="1201" t="s">
        <v>2075</v>
      </c>
      <c r="C28" s="1202" t="s">
        <v>1802</v>
      </c>
    </row>
    <row r="29" spans="1:13" s="1198" customFormat="1" ht="9" customHeight="1" x14ac:dyDescent="0.2">
      <c r="A29" s="1205"/>
      <c r="B29" s="1203"/>
      <c r="C29" s="1202"/>
    </row>
    <row r="30" spans="1:13" s="1198" customFormat="1" ht="12.2" customHeight="1" x14ac:dyDescent="0.2">
      <c r="B30" s="1201" t="s">
        <v>2075</v>
      </c>
      <c r="C30" s="1202" t="s">
        <v>1643</v>
      </c>
      <c r="D30" s="1196"/>
      <c r="E30" s="1196"/>
    </row>
    <row r="31" spans="1:13" s="1198" customFormat="1" ht="9" customHeight="1" x14ac:dyDescent="0.2">
      <c r="B31" s="1203"/>
      <c r="C31" s="1202"/>
      <c r="D31" s="1196"/>
      <c r="E31" s="1196"/>
    </row>
    <row r="32" spans="1:13" s="1198" customFormat="1" ht="12.2" customHeight="1" x14ac:dyDescent="0.2">
      <c r="B32" s="1201" t="s">
        <v>2075</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2075</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2075</v>
      </c>
      <c r="C38" s="1202" t="s">
        <v>1647</v>
      </c>
    </row>
    <row r="39" spans="1:8" ht="9" customHeight="1" x14ac:dyDescent="0.2">
      <c r="B39" s="1203"/>
      <c r="C39" s="1206"/>
    </row>
    <row r="40" spans="1:8" s="1198" customFormat="1" ht="13.5" customHeight="1" x14ac:dyDescent="0.2">
      <c r="B40" s="1201" t="s">
        <v>2075</v>
      </c>
      <c r="C40" s="1202" t="s">
        <v>1648</v>
      </c>
    </row>
    <row r="41" spans="1:8" ht="9" customHeight="1" x14ac:dyDescent="0.2">
      <c r="A41" s="1207"/>
      <c r="B41" s="1203"/>
      <c r="C41" s="1206"/>
    </row>
    <row r="42" spans="1:8" s="1198" customFormat="1" ht="13.5" customHeight="1" x14ac:dyDescent="0.2">
      <c r="B42" s="1201" t="s">
        <v>2075</v>
      </c>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127"/>
  <sheetViews>
    <sheetView showGridLines="0" zoomScale="125" zoomScaleNormal="125" workbookViewId="0">
      <selection activeCell="D48" sqref="D48"/>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8" t="str">
        <f>'Single Audit Cover'!A7</f>
        <v>MAINE TOWNSHIP HIGH SCHOOL DISTRICT 207</v>
      </c>
      <c r="B1" s="2444"/>
      <c r="C1" s="2444"/>
      <c r="D1" s="2444"/>
    </row>
    <row r="2" spans="1:11" s="1214" customFormat="1" ht="12.75" x14ac:dyDescent="0.2">
      <c r="A2" s="2449">
        <f>'Single Audit Cover'!E7</f>
        <v>5016207017</v>
      </c>
      <c r="B2" s="2450"/>
      <c r="C2" s="2450"/>
      <c r="D2" s="2450"/>
    </row>
    <row r="3" spans="1:11" s="1214" customFormat="1" ht="12.75" x14ac:dyDescent="0.2">
      <c r="A3" s="2448" t="s">
        <v>1593</v>
      </c>
      <c r="B3" s="2444"/>
      <c r="C3" s="2444"/>
      <c r="D3" s="2444"/>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2" t="str">
        <f>'Single Audit Cover'!A7</f>
        <v>MAINE TOWNSHIP HIGH SCHOOL DISTRICT 207</v>
      </c>
      <c r="B1" s="2452"/>
      <c r="C1" s="2452"/>
      <c r="D1" s="2452"/>
      <c r="E1" s="2452"/>
    </row>
    <row r="2" spans="1:5" x14ac:dyDescent="0.2">
      <c r="A2" s="2453">
        <f>'Single Audit Cover'!E7</f>
        <v>5016207017</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9" t="s">
        <v>1305</v>
      </c>
    </row>
    <row r="10" spans="1:5" x14ac:dyDescent="0.2">
      <c r="A10" s="1260" t="s">
        <v>1304</v>
      </c>
      <c r="B10" s="1261" t="s">
        <v>1303</v>
      </c>
      <c r="C10" s="1261"/>
      <c r="D10" s="1262">
        <f>SUM('Acct Summary 7-8'!C7:K7)</f>
        <v>3627152</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1954</v>
      </c>
      <c r="B16" s="1261"/>
      <c r="C16" s="1261"/>
    </row>
    <row r="17" spans="1:4" x14ac:dyDescent="0.2">
      <c r="A17" s="1260" t="s">
        <v>1601</v>
      </c>
      <c r="B17" s="1261" t="s">
        <v>1298</v>
      </c>
      <c r="C17" s="1261"/>
      <c r="D17" s="1263">
        <f>-SUM('Revenues 9-14'!C271:D271,'Revenues 9-14'!F271:G271)</f>
        <v>-373246</v>
      </c>
    </row>
    <row r="19" spans="1:4" ht="13.5" thickBot="1" x14ac:dyDescent="0.25">
      <c r="A19" s="1264" t="s">
        <v>1297</v>
      </c>
      <c r="D19" s="1265">
        <f>SUM(D10:D17)</f>
        <v>3253906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4"/>
      <c r="B24" s="2454"/>
      <c r="D24" s="1267"/>
    </row>
    <row r="25" spans="1:4" x14ac:dyDescent="0.2">
      <c r="A25" s="2451"/>
      <c r="B25" s="2451"/>
      <c r="D25" s="1267"/>
    </row>
    <row r="26" spans="1:4" x14ac:dyDescent="0.2">
      <c r="A26" s="2451"/>
      <c r="B26" s="2451"/>
      <c r="D26" s="1267"/>
    </row>
    <row r="27" spans="1:4" x14ac:dyDescent="0.2">
      <c r="A27" s="2451"/>
      <c r="B27" s="2451"/>
      <c r="D27" s="1267"/>
    </row>
    <row r="28" spans="1:4" x14ac:dyDescent="0.2">
      <c r="A28" s="2451"/>
      <c r="B28" s="2451"/>
      <c r="D28" s="1267"/>
    </row>
    <row r="29" spans="1:4" x14ac:dyDescent="0.2">
      <c r="A29" s="2451"/>
      <c r="B29" s="2451"/>
      <c r="D29" s="1267"/>
    </row>
    <row r="30" spans="1:4" x14ac:dyDescent="0.2">
      <c r="A30" s="2451"/>
      <c r="B30" s="2451"/>
      <c r="D30" s="1267"/>
    </row>
    <row r="32" spans="1:4" x14ac:dyDescent="0.2">
      <c r="A32" s="1259" t="s">
        <v>1295</v>
      </c>
      <c r="D32" s="1262">
        <f>SUM(D19:D30)</f>
        <v>3253906</v>
      </c>
    </row>
    <row r="33" spans="1:4" x14ac:dyDescent="0.2">
      <c r="D33" s="1268"/>
    </row>
    <row r="34" spans="1:4" x14ac:dyDescent="0.2">
      <c r="A34" s="317" t="s">
        <v>1294</v>
      </c>
    </row>
    <row r="35" spans="1:4" x14ac:dyDescent="0.2">
      <c r="A35" s="317" t="s">
        <v>1293</v>
      </c>
      <c r="B35" s="1257" t="s">
        <v>1292</v>
      </c>
      <c r="D35" s="1269">
        <f>+' SEFA (5)'!F13</f>
        <v>3253906</v>
      </c>
    </row>
    <row r="37" spans="1:4" x14ac:dyDescent="0.2">
      <c r="A37" s="1259" t="s">
        <v>1291</v>
      </c>
    </row>
    <row r="39" spans="1:4" ht="13.35" customHeight="1" x14ac:dyDescent="0.2">
      <c r="A39" s="1266" t="s">
        <v>1290</v>
      </c>
    </row>
    <row r="40" spans="1:4" x14ac:dyDescent="0.2">
      <c r="A40" s="2451"/>
      <c r="B40" s="2451"/>
      <c r="D40" s="1267"/>
    </row>
    <row r="41" spans="1:4" x14ac:dyDescent="0.2">
      <c r="A41" s="2451"/>
      <c r="B41" s="2451"/>
      <c r="D41" s="1270"/>
    </row>
    <row r="42" spans="1:4" x14ac:dyDescent="0.2">
      <c r="A42" s="2451"/>
      <c r="B42" s="2451"/>
      <c r="D42" s="1270"/>
    </row>
    <row r="43" spans="1:4" x14ac:dyDescent="0.2">
      <c r="A43" s="2451"/>
      <c r="B43" s="2451"/>
      <c r="D43" s="1270"/>
    </row>
    <row r="44" spans="1:4" x14ac:dyDescent="0.2">
      <c r="A44" s="2451"/>
      <c r="B44" s="2451"/>
      <c r="D44" s="1270"/>
    </row>
    <row r="45" spans="1:4" x14ac:dyDescent="0.2">
      <c r="A45" s="2451"/>
      <c r="B45" s="2451"/>
      <c r="D45" s="1270"/>
    </row>
    <row r="47" spans="1:4" x14ac:dyDescent="0.2">
      <c r="B47" s="1271" t="s">
        <v>1289</v>
      </c>
      <c r="C47" s="1271"/>
      <c r="D47" s="1272">
        <f>SUM(D35:D45)</f>
        <v>3253906</v>
      </c>
    </row>
    <row r="49" spans="2:4" x14ac:dyDescent="0.2">
      <c r="B49" s="1271" t="s">
        <v>1288</v>
      </c>
      <c r="C49" s="1271"/>
      <c r="D49" s="127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G52"/>
  <sheetViews>
    <sheetView showGridLines="0" zoomScale="120" zoomScaleNormal="120" workbookViewId="0">
      <selection activeCell="A14" sqref="A1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MAINE TOWNSHIP HIGH SCHOOL DISTRICT 207</v>
      </c>
      <c r="B1" s="2457"/>
      <c r="C1" s="2457"/>
      <c r="D1" s="2457"/>
      <c r="E1" s="2457"/>
      <c r="F1" s="2457"/>
    </row>
    <row r="2" spans="1:7" ht="13.5" customHeight="1" x14ac:dyDescent="0.2">
      <c r="A2" s="2458">
        <f>'Single Audit Cover'!E7</f>
        <v>5016207017</v>
      </c>
      <c r="B2" s="2458"/>
      <c r="C2" s="2458"/>
      <c r="D2" s="2458"/>
      <c r="E2" s="2458"/>
      <c r="F2" s="2458"/>
      <c r="G2" s="1274"/>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5" t="s">
        <v>1831</v>
      </c>
      <c r="C6" s="317"/>
      <c r="D6" s="317"/>
    </row>
    <row r="7" spans="1:7" ht="60.95" customHeight="1" x14ac:dyDescent="0.2">
      <c r="A7" s="2456" t="s">
        <v>2225</v>
      </c>
      <c r="B7" s="2456"/>
      <c r="C7" s="2456"/>
      <c r="D7" s="2456"/>
      <c r="E7" s="2456"/>
      <c r="F7" s="2456"/>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2075</v>
      </c>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6" t="s">
        <v>2226</v>
      </c>
      <c r="B13" s="2456"/>
      <c r="C13" s="2456"/>
      <c r="D13" s="2456"/>
      <c r="E13" s="2456"/>
      <c r="F13" s="2456"/>
    </row>
    <row r="14" spans="1:7" ht="9.75" customHeight="1" x14ac:dyDescent="0.2">
      <c r="C14" s="1259"/>
      <c r="D14" s="1259"/>
    </row>
    <row r="15" spans="1:7" ht="13.5" customHeight="1" x14ac:dyDescent="0.2">
      <c r="C15" s="1870" t="s">
        <v>1332</v>
      </c>
      <c r="D15" s="2462" t="s">
        <v>1331</v>
      </c>
      <c r="E15" s="2462"/>
      <c r="F15" s="2462"/>
    </row>
    <row r="16" spans="1:7" ht="13.5" customHeight="1" x14ac:dyDescent="0.2">
      <c r="A16" s="1281"/>
      <c r="B16" s="1275" t="s">
        <v>1330</v>
      </c>
      <c r="C16" s="1870" t="s">
        <v>1329</v>
      </c>
      <c r="D16" s="2463" t="s">
        <v>1670</v>
      </c>
      <c r="E16" s="2463"/>
      <c r="F16" s="2463"/>
    </row>
    <row r="17" spans="1:6" ht="20.45" customHeight="1" x14ac:dyDescent="0.2">
      <c r="A17" s="1282"/>
      <c r="B17" s="1283"/>
      <c r="C17" s="1284"/>
      <c r="D17" s="2461"/>
      <c r="E17" s="2461"/>
      <c r="F17" s="2461"/>
    </row>
    <row r="18" spans="1:6" ht="20.65" customHeight="1" x14ac:dyDescent="0.2">
      <c r="A18" s="1282"/>
      <c r="B18" s="1283"/>
      <c r="C18" s="1284"/>
      <c r="D18" s="2461"/>
      <c r="E18" s="2461"/>
      <c r="F18" s="2461"/>
    </row>
    <row r="19" spans="1:6" ht="20.65" customHeight="1" x14ac:dyDescent="0.2">
      <c r="A19" s="1282"/>
      <c r="B19" s="1283"/>
      <c r="C19" s="1284"/>
      <c r="D19" s="2461"/>
      <c r="E19" s="2461"/>
      <c r="F19" s="2461"/>
    </row>
    <row r="20" spans="1:6" ht="20.65" customHeight="1" x14ac:dyDescent="0.2">
      <c r="A20" s="1282"/>
      <c r="B20" s="1283"/>
      <c r="C20" s="1284"/>
      <c r="D20" s="2461"/>
      <c r="E20" s="2461"/>
      <c r="F20" s="2461"/>
    </row>
    <row r="21" spans="1:6" ht="20.65" customHeight="1" x14ac:dyDescent="0.2">
      <c r="A21" s="1282"/>
      <c r="B21" s="1283"/>
      <c r="C21" s="1284"/>
      <c r="D21" s="2461"/>
      <c r="E21" s="2461"/>
      <c r="F21" s="2461"/>
    </row>
    <row r="22" spans="1:6" ht="20.65" customHeight="1" x14ac:dyDescent="0.2">
      <c r="A22" s="1282"/>
      <c r="B22" s="1283"/>
      <c r="C22" s="1284"/>
      <c r="D22" s="2461"/>
      <c r="E22" s="2461"/>
      <c r="F22" s="2461"/>
    </row>
    <row r="23" spans="1:6" ht="20.65" customHeight="1" x14ac:dyDescent="0.2">
      <c r="A23" s="1282"/>
      <c r="B23" s="1283"/>
      <c r="C23" s="1284"/>
      <c r="D23" s="2461"/>
      <c r="E23" s="2461"/>
      <c r="F23" s="2461"/>
    </row>
    <row r="24" spans="1:6" ht="20.65" customHeight="1" x14ac:dyDescent="0.2">
      <c r="A24" s="1282"/>
      <c r="B24" s="1283"/>
      <c r="C24" s="1284"/>
      <c r="D24" s="2461"/>
      <c r="E24" s="2461"/>
      <c r="F24" s="2461"/>
    </row>
    <row r="25" spans="1:6" ht="20.65" customHeight="1" x14ac:dyDescent="0.2">
      <c r="A25" s="1282"/>
      <c r="B25" s="1283"/>
      <c r="C25" s="1284"/>
      <c r="D25" s="2461"/>
      <c r="E25" s="2461"/>
      <c r="F25" s="2461"/>
    </row>
    <row r="26" spans="1:6" ht="20.65" customHeight="1" x14ac:dyDescent="0.2">
      <c r="A26" s="1282"/>
      <c r="B26" s="1283"/>
      <c r="C26" s="1284"/>
      <c r="D26" s="2461"/>
      <c r="E26" s="2461"/>
      <c r="F26" s="2461"/>
    </row>
    <row r="27" spans="1:6" ht="20.65" customHeight="1" x14ac:dyDescent="0.2">
      <c r="A27" s="1282"/>
      <c r="B27" s="1283"/>
      <c r="C27" s="1284"/>
      <c r="D27" s="2461"/>
      <c r="E27" s="2461"/>
      <c r="F27" s="2461"/>
    </row>
    <row r="28" spans="1:6" ht="20.65" customHeight="1" x14ac:dyDescent="0.2">
      <c r="A28" s="1282"/>
      <c r="B28" s="1283"/>
      <c r="C28" s="1284"/>
      <c r="D28" s="2461"/>
      <c r="E28" s="2461"/>
      <c r="F28" s="2461"/>
    </row>
    <row r="29" spans="1:6" ht="20.65" customHeight="1" x14ac:dyDescent="0.2">
      <c r="A29" s="1282"/>
      <c r="B29" s="1283"/>
      <c r="C29" s="1284"/>
      <c r="D29" s="2461"/>
      <c r="E29" s="2461"/>
      <c r="F29" s="246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5" t="s">
        <v>1833</v>
      </c>
      <c r="B32" s="2465"/>
      <c r="C32" s="2465"/>
      <c r="D32" s="2465"/>
      <c r="E32" s="2465"/>
      <c r="F32" s="2465"/>
    </row>
    <row r="33" spans="1:6" ht="13.5" customHeight="1" x14ac:dyDescent="0.2">
      <c r="A33" s="328" t="s">
        <v>1509</v>
      </c>
      <c r="B33" s="328"/>
      <c r="C33" s="1287">
        <v>0</v>
      </c>
      <c r="D33" s="1927"/>
      <c r="E33" s="1285"/>
    </row>
    <row r="34" spans="1:6" ht="13.5" customHeight="1" x14ac:dyDescent="0.2">
      <c r="A34" s="328" t="s">
        <v>1947</v>
      </c>
      <c r="B34" s="328"/>
      <c r="C34" s="1288">
        <v>0</v>
      </c>
      <c r="D34" s="1927" t="s">
        <v>1671</v>
      </c>
      <c r="E34" s="2466">
        <f>+C33+C34</f>
        <v>0</v>
      </c>
      <c r="F34" s="2467"/>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t="s">
        <v>401</v>
      </c>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8" t="s">
        <v>1672</v>
      </c>
      <c r="C49" s="2468"/>
      <c r="D49" s="2468"/>
      <c r="E49" s="1398"/>
    </row>
    <row r="50" spans="1:5" s="1299" customFormat="1" ht="3.75" customHeight="1" x14ac:dyDescent="0.2">
      <c r="A50" s="1298"/>
      <c r="B50" s="1869"/>
      <c r="C50" s="1869"/>
      <c r="D50" s="1869"/>
      <c r="E50" s="1398"/>
    </row>
    <row r="51" spans="1:5" s="1299" customFormat="1" ht="20.25" customHeight="1" x14ac:dyDescent="0.2">
      <c r="A51" s="1300">
        <v>6</v>
      </c>
      <c r="B51" s="2464" t="s">
        <v>1632</v>
      </c>
      <c r="C51" s="2464"/>
      <c r="D51" s="2464"/>
    </row>
    <row r="52" spans="1:5" ht="14.25" customHeight="1" x14ac:dyDescent="0.2">
      <c r="A52" s="1300"/>
      <c r="B52" s="2464"/>
      <c r="C52" s="2464"/>
      <c r="D52" s="246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B1:N152"/>
  <sheetViews>
    <sheetView showGridLines="0"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3" t="str">
        <f>'Single Audit Cover'!A7</f>
        <v>MAINE TOWNSHIP HIGH SCHOOL DISTRICT 207</v>
      </c>
      <c r="C1" s="2469"/>
      <c r="D1" s="2469"/>
      <c r="E1" s="2469"/>
      <c r="F1" s="2469"/>
      <c r="G1" s="2469"/>
      <c r="H1" s="2469"/>
      <c r="I1" s="2469"/>
      <c r="J1" s="2469"/>
      <c r="K1" s="2469"/>
      <c r="L1" s="2469"/>
      <c r="M1" s="2469"/>
    </row>
    <row r="2" spans="2:14" ht="15" x14ac:dyDescent="0.2">
      <c r="B2" s="2458">
        <f>'Single Audit Cover'!E7</f>
        <v>5016207017</v>
      </c>
      <c r="C2" s="2458"/>
      <c r="D2" s="2458"/>
      <c r="E2" s="2458"/>
      <c r="F2" s="2458"/>
      <c r="G2" s="2458"/>
      <c r="H2" s="2458"/>
      <c r="I2" s="2458"/>
      <c r="J2" s="2458"/>
      <c r="K2" s="2458"/>
      <c r="L2" s="2458"/>
      <c r="M2" s="2458"/>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2108</v>
      </c>
      <c r="C11" s="1337"/>
      <c r="D11" s="1338"/>
      <c r="E11" s="1339"/>
      <c r="F11" s="1339"/>
      <c r="G11" s="1339"/>
      <c r="H11" s="1339"/>
      <c r="I11" s="1339"/>
      <c r="J11" s="1339"/>
      <c r="K11" s="1339"/>
      <c r="L11" s="1339">
        <f>+G11+I11+K11</f>
        <v>0</v>
      </c>
      <c r="M11" s="1339"/>
    </row>
    <row r="12" spans="2:14" ht="20.100000000000001" customHeight="1" x14ac:dyDescent="0.2">
      <c r="B12" s="1955" t="s">
        <v>2109</v>
      </c>
      <c r="C12" s="1340"/>
      <c r="D12" s="1341"/>
      <c r="E12" s="1342"/>
      <c r="F12" s="1342"/>
      <c r="G12" s="1342"/>
      <c r="H12" s="1342"/>
      <c r="I12" s="1342"/>
      <c r="J12" s="1342"/>
      <c r="K12" s="1342"/>
      <c r="L12" s="1339">
        <f t="shared" ref="L12:L27" si="0">+G12+I12+K12</f>
        <v>0</v>
      </c>
      <c r="M12" s="1342"/>
    </row>
    <row r="13" spans="2:14" ht="20.100000000000001" customHeight="1" x14ac:dyDescent="0.2">
      <c r="B13" s="1955" t="s">
        <v>2218</v>
      </c>
      <c r="C13" s="1340" t="s">
        <v>2116</v>
      </c>
      <c r="D13" s="1341" t="s">
        <v>2159</v>
      </c>
      <c r="E13" s="1342">
        <v>847195</v>
      </c>
      <c r="F13" s="1342">
        <v>38072</v>
      </c>
      <c r="G13" s="1342">
        <v>847195</v>
      </c>
      <c r="H13" s="1342"/>
      <c r="I13" s="1342">
        <v>38072</v>
      </c>
      <c r="J13" s="1342"/>
      <c r="K13" s="1342"/>
      <c r="L13" s="1339">
        <f t="shared" si="0"/>
        <v>885267</v>
      </c>
      <c r="M13" s="1957">
        <v>1030308</v>
      </c>
    </row>
    <row r="14" spans="2:14" ht="20.100000000000001" customHeight="1" x14ac:dyDescent="0.2">
      <c r="B14" s="1955" t="s">
        <v>2219</v>
      </c>
      <c r="C14" s="1340" t="s">
        <v>2116</v>
      </c>
      <c r="D14" s="1341" t="s">
        <v>2160</v>
      </c>
      <c r="E14" s="1342"/>
      <c r="F14" s="1342">
        <v>800648</v>
      </c>
      <c r="G14" s="1342"/>
      <c r="H14" s="1342"/>
      <c r="I14" s="1342">
        <v>800648</v>
      </c>
      <c r="J14" s="1342"/>
      <c r="K14" s="1342"/>
      <c r="L14" s="1339">
        <f t="shared" si="0"/>
        <v>800648</v>
      </c>
      <c r="M14" s="1957">
        <v>1030089</v>
      </c>
    </row>
    <row r="15" spans="2:14" ht="20.100000000000001" customHeight="1" x14ac:dyDescent="0.2">
      <c r="B15" s="1955" t="s">
        <v>2110</v>
      </c>
      <c r="C15" s="1340" t="s">
        <v>2117</v>
      </c>
      <c r="D15" s="1341" t="s">
        <v>2163</v>
      </c>
      <c r="E15" s="1342">
        <v>95912</v>
      </c>
      <c r="F15" s="1342">
        <v>2287</v>
      </c>
      <c r="G15" s="1342">
        <v>95912</v>
      </c>
      <c r="H15" s="1342"/>
      <c r="I15" s="1342">
        <v>2287</v>
      </c>
      <c r="J15" s="1342"/>
      <c r="K15" s="1342"/>
      <c r="L15" s="1339">
        <f t="shared" si="0"/>
        <v>98199</v>
      </c>
      <c r="M15" s="1957">
        <v>110506</v>
      </c>
    </row>
    <row r="16" spans="2:14" ht="20.100000000000001" customHeight="1" x14ac:dyDescent="0.2">
      <c r="B16" s="1955" t="s">
        <v>2111</v>
      </c>
      <c r="C16" s="1340" t="s">
        <v>2117</v>
      </c>
      <c r="D16" s="1341" t="s">
        <v>2164</v>
      </c>
      <c r="E16" s="1342"/>
      <c r="F16" s="1342">
        <v>106164</v>
      </c>
      <c r="G16" s="1342"/>
      <c r="H16" s="1342"/>
      <c r="I16" s="1342">
        <v>106164</v>
      </c>
      <c r="J16" s="1342"/>
      <c r="K16" s="1342"/>
      <c r="L16" s="1339">
        <f t="shared" si="0"/>
        <v>106164</v>
      </c>
      <c r="M16" s="1957">
        <v>188060</v>
      </c>
    </row>
    <row r="17" spans="2:14" ht="20.100000000000001" customHeight="1" x14ac:dyDescent="0.2">
      <c r="B17" s="1955" t="s">
        <v>2112</v>
      </c>
      <c r="C17" s="1340" t="s">
        <v>2118</v>
      </c>
      <c r="D17" s="1341" t="s">
        <v>2161</v>
      </c>
      <c r="E17" s="1342">
        <v>30247</v>
      </c>
      <c r="F17" s="1342">
        <v>373</v>
      </c>
      <c r="G17" s="1342">
        <v>30247</v>
      </c>
      <c r="H17" s="1342"/>
      <c r="I17" s="1342">
        <v>373</v>
      </c>
      <c r="J17" s="1342"/>
      <c r="K17" s="1342"/>
      <c r="L17" s="1339">
        <f t="shared" si="0"/>
        <v>30620</v>
      </c>
      <c r="M17" s="1957">
        <v>77362</v>
      </c>
    </row>
    <row r="18" spans="2:14" ht="20.100000000000001" customHeight="1" x14ac:dyDescent="0.2">
      <c r="B18" s="1955" t="s">
        <v>2113</v>
      </c>
      <c r="C18" s="1340" t="s">
        <v>2118</v>
      </c>
      <c r="D18" s="1341" t="s">
        <v>2162</v>
      </c>
      <c r="E18" s="1342"/>
      <c r="F18" s="1342">
        <v>22965</v>
      </c>
      <c r="G18" s="1342"/>
      <c r="H18" s="1342"/>
      <c r="I18" s="1342">
        <v>22965</v>
      </c>
      <c r="J18" s="1342"/>
      <c r="K18" s="1342"/>
      <c r="L18" s="1339">
        <f t="shared" si="0"/>
        <v>22965</v>
      </c>
      <c r="M18" s="1957">
        <v>78880</v>
      </c>
    </row>
    <row r="19" spans="2:14" ht="20.100000000000001" customHeight="1" x14ac:dyDescent="0.2">
      <c r="B19" s="1955" t="s">
        <v>2214</v>
      </c>
      <c r="C19" s="1340">
        <v>84.027000000000001</v>
      </c>
      <c r="D19" s="1341" t="s">
        <v>2167</v>
      </c>
      <c r="E19" s="1342">
        <v>1176709</v>
      </c>
      <c r="F19" s="1342"/>
      <c r="G19" s="1342">
        <v>1176709</v>
      </c>
      <c r="H19" s="1342"/>
      <c r="I19" s="1342"/>
      <c r="J19" s="1342"/>
      <c r="K19" s="1342"/>
      <c r="L19" s="1339">
        <f t="shared" si="0"/>
        <v>1176709</v>
      </c>
      <c r="M19" s="1957">
        <v>1465240</v>
      </c>
    </row>
    <row r="20" spans="2:14" ht="20.100000000000001" customHeight="1" x14ac:dyDescent="0.2">
      <c r="B20" s="1955" t="s">
        <v>2215</v>
      </c>
      <c r="C20" s="1340">
        <v>84.027000000000001</v>
      </c>
      <c r="D20" s="1341" t="s">
        <v>2168</v>
      </c>
      <c r="E20" s="1342"/>
      <c r="F20" s="1342">
        <v>1343361</v>
      </c>
      <c r="G20" s="1342"/>
      <c r="H20" s="1342"/>
      <c r="I20" s="1342">
        <v>1343361</v>
      </c>
      <c r="J20" s="1342"/>
      <c r="K20" s="1342"/>
      <c r="L20" s="1339">
        <f t="shared" si="0"/>
        <v>1343361</v>
      </c>
      <c r="M20" s="1957">
        <v>1669734</v>
      </c>
    </row>
    <row r="21" spans="2:14" ht="20.100000000000001" customHeight="1" x14ac:dyDescent="0.2">
      <c r="B21" s="1955" t="s">
        <v>2216</v>
      </c>
      <c r="C21" s="1340" t="s">
        <v>2119</v>
      </c>
      <c r="D21" s="1341" t="s">
        <v>2165</v>
      </c>
      <c r="E21" s="1342">
        <v>23485</v>
      </c>
      <c r="F21" s="1342">
        <v>74641</v>
      </c>
      <c r="G21" s="1342">
        <v>30531</v>
      </c>
      <c r="H21" s="1342"/>
      <c r="I21" s="1342">
        <v>74641</v>
      </c>
      <c r="J21" s="1342"/>
      <c r="K21" s="1342"/>
      <c r="L21" s="1339">
        <f t="shared" si="0"/>
        <v>105172</v>
      </c>
      <c r="M21" s="1957">
        <v>0</v>
      </c>
    </row>
    <row r="22" spans="2:14" ht="20.100000000000001" customHeight="1" x14ac:dyDescent="0.2">
      <c r="B22" s="1336" t="s">
        <v>2217</v>
      </c>
      <c r="C22" s="1340" t="s">
        <v>2119</v>
      </c>
      <c r="D22" s="1341" t="s">
        <v>2166</v>
      </c>
      <c r="E22" s="1342"/>
      <c r="F22" s="1342">
        <v>64115</v>
      </c>
      <c r="G22" s="1342"/>
      <c r="H22" s="1342"/>
      <c r="I22" s="1342">
        <v>64115</v>
      </c>
      <c r="J22" s="1342"/>
      <c r="K22" s="1342"/>
      <c r="L22" s="1339">
        <f t="shared" si="0"/>
        <v>64115</v>
      </c>
      <c r="M22" s="1957">
        <v>0</v>
      </c>
    </row>
    <row r="23" spans="2:14" ht="20.100000000000001" customHeight="1" x14ac:dyDescent="0.2">
      <c r="B23" s="1955" t="s">
        <v>2157</v>
      </c>
      <c r="C23" s="1959">
        <v>84.364999999999995</v>
      </c>
      <c r="D23" s="1341" t="s">
        <v>2203</v>
      </c>
      <c r="E23" s="1342"/>
      <c r="F23" s="1342">
        <v>13855</v>
      </c>
      <c r="G23" s="1342"/>
      <c r="H23" s="1342"/>
      <c r="I23" s="1342">
        <v>13855</v>
      </c>
      <c r="J23" s="1342"/>
      <c r="K23" s="1342"/>
      <c r="L23" s="1339">
        <f t="shared" si="0"/>
        <v>13855</v>
      </c>
      <c r="M23" s="1957">
        <v>13855</v>
      </c>
    </row>
    <row r="24" spans="2:14" ht="20.100000000000001" customHeight="1" x14ac:dyDescent="0.2">
      <c r="B24" s="1955" t="s">
        <v>2158</v>
      </c>
      <c r="C24" s="1340">
        <v>84.424000000000007</v>
      </c>
      <c r="D24" s="1341" t="s">
        <v>2204</v>
      </c>
      <c r="E24" s="1342"/>
      <c r="F24" s="1342">
        <v>15409</v>
      </c>
      <c r="G24" s="1342"/>
      <c r="H24" s="1342"/>
      <c r="I24" s="1342">
        <v>15409</v>
      </c>
      <c r="J24" s="1342"/>
      <c r="K24" s="1342"/>
      <c r="L24" s="1339">
        <f t="shared" si="0"/>
        <v>15409</v>
      </c>
      <c r="M24" s="1957">
        <v>22557</v>
      </c>
    </row>
    <row r="25" spans="2:14" ht="20.100000000000001" customHeight="1" x14ac:dyDescent="0.2">
      <c r="B25" s="1336"/>
      <c r="C25" s="1340"/>
      <c r="D25" s="1341"/>
      <c r="E25" s="1342"/>
      <c r="F25" s="1342"/>
      <c r="G25" s="1342"/>
      <c r="H25" s="1342"/>
      <c r="I25" s="1342"/>
      <c r="J25" s="1342"/>
      <c r="K25" s="1342"/>
      <c r="L25" s="1339">
        <f t="shared" si="0"/>
        <v>0</v>
      </c>
      <c r="M25" s="1957"/>
    </row>
    <row r="26" spans="2:14" ht="20.100000000000001" customHeight="1" x14ac:dyDescent="0.2">
      <c r="B26" s="1336" t="s">
        <v>2114</v>
      </c>
      <c r="C26" s="1340"/>
      <c r="D26" s="1341"/>
      <c r="E26" s="1342"/>
      <c r="F26" s="1342"/>
      <c r="G26" s="1342"/>
      <c r="H26" s="1342"/>
      <c r="I26" s="1342"/>
      <c r="J26" s="1342"/>
      <c r="K26" s="1342"/>
      <c r="L26" s="1339">
        <f t="shared" si="0"/>
        <v>0</v>
      </c>
      <c r="M26" s="1957"/>
    </row>
    <row r="27" spans="2:14" ht="20.100000000000001" customHeight="1" x14ac:dyDescent="0.2">
      <c r="B27" s="1336" t="s">
        <v>2115</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J46" sqref="J4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2075</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0"/>
      <c r="J77" s="261">
        <v>43336</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774</v>
      </c>
      <c r="G85" s="276">
        <v>336987</v>
      </c>
      <c r="H85" s="276"/>
      <c r="I85" s="276">
        <v>149254</v>
      </c>
      <c r="J85" s="277">
        <f>SUM(E85:I85)</f>
        <v>487015</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487015</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2090</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B1:N152"/>
  <sheetViews>
    <sheetView showGridLines="0" topLeftCell="A10"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3" t="str">
        <f>'Single Audit Cover'!A7</f>
        <v>MAINE TOWNSHIP HIGH SCHOOL DISTRICT 207</v>
      </c>
      <c r="C1" s="2469"/>
      <c r="D1" s="2469"/>
      <c r="E1" s="2469"/>
      <c r="F1" s="2469"/>
      <c r="G1" s="2469"/>
      <c r="H1" s="2469"/>
      <c r="I1" s="2469"/>
      <c r="J1" s="2469"/>
      <c r="K1" s="2469"/>
      <c r="L1" s="2469"/>
      <c r="M1" s="2469"/>
    </row>
    <row r="2" spans="2:14" ht="15" x14ac:dyDescent="0.2">
      <c r="B2" s="2458">
        <f>'Single Audit Cover'!E7</f>
        <v>5016207017</v>
      </c>
      <c r="C2" s="2458"/>
      <c r="D2" s="2458"/>
      <c r="E2" s="2458"/>
      <c r="F2" s="2458"/>
      <c r="G2" s="2458"/>
      <c r="H2" s="2458"/>
      <c r="I2" s="2458"/>
      <c r="J2" s="2458"/>
      <c r="K2" s="2458"/>
      <c r="L2" s="2458"/>
      <c r="M2" s="2458"/>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2108</v>
      </c>
      <c r="C11" s="1337"/>
      <c r="D11" s="1338"/>
      <c r="E11" s="1339"/>
      <c r="F11" s="1339"/>
      <c r="G11" s="1339"/>
      <c r="H11" s="1339"/>
      <c r="I11" s="1339"/>
      <c r="J11" s="1339"/>
      <c r="K11" s="1339"/>
      <c r="L11" s="1339">
        <f>+G11+I11+K11</f>
        <v>0</v>
      </c>
      <c r="M11" s="1339"/>
    </row>
    <row r="12" spans="2:14" ht="20.100000000000001" customHeight="1" x14ac:dyDescent="0.2">
      <c r="B12" s="1955" t="s">
        <v>2169</v>
      </c>
      <c r="C12" s="1340"/>
      <c r="D12" s="1341"/>
      <c r="E12" s="1342"/>
      <c r="F12" s="1342"/>
      <c r="G12" s="1342"/>
      <c r="H12" s="1342"/>
      <c r="I12" s="1342"/>
      <c r="J12" s="1342"/>
      <c r="K12" s="1342"/>
      <c r="L12" s="1339">
        <f t="shared" ref="L12:L27" si="0">+G12+I12+K12</f>
        <v>0</v>
      </c>
      <c r="M12" s="1342"/>
    </row>
    <row r="13" spans="2:14" ht="20.100000000000001" customHeight="1" x14ac:dyDescent="0.2">
      <c r="B13" s="1955" t="s">
        <v>2170</v>
      </c>
      <c r="C13" s="1340"/>
      <c r="D13" s="1341"/>
      <c r="E13" s="1342"/>
      <c r="F13" s="1342"/>
      <c r="G13" s="1342"/>
      <c r="H13" s="1342"/>
      <c r="I13" s="1342"/>
      <c r="J13" s="1342"/>
      <c r="K13" s="1342"/>
      <c r="L13" s="1339">
        <f t="shared" si="0"/>
        <v>0</v>
      </c>
      <c r="M13" s="1342"/>
    </row>
    <row r="14" spans="2:14" ht="20.100000000000001" customHeight="1" x14ac:dyDescent="0.2">
      <c r="B14" s="1955" t="s">
        <v>2171</v>
      </c>
      <c r="C14" s="1340">
        <v>84.048000000000002</v>
      </c>
      <c r="D14" s="1341" t="s">
        <v>2173</v>
      </c>
      <c r="E14" s="1342">
        <v>151471</v>
      </c>
      <c r="F14" s="1342"/>
      <c r="G14" s="1342">
        <v>151471</v>
      </c>
      <c r="H14" s="1342"/>
      <c r="I14" s="1342"/>
      <c r="J14" s="1342"/>
      <c r="K14" s="1342"/>
      <c r="L14" s="1339">
        <f t="shared" si="0"/>
        <v>151471</v>
      </c>
      <c r="M14" s="1342">
        <v>151471</v>
      </c>
    </row>
    <row r="15" spans="2:14" ht="20.100000000000001" customHeight="1" x14ac:dyDescent="0.2">
      <c r="B15" s="1955" t="s">
        <v>2172</v>
      </c>
      <c r="C15" s="1340">
        <v>84.048000000000002</v>
      </c>
      <c r="D15" s="1341" t="s">
        <v>2174</v>
      </c>
      <c r="E15" s="1342"/>
      <c r="F15" s="1342">
        <v>141885</v>
      </c>
      <c r="G15" s="1342"/>
      <c r="H15" s="1342"/>
      <c r="I15" s="1342">
        <v>141885</v>
      </c>
      <c r="J15" s="1342"/>
      <c r="K15" s="1342"/>
      <c r="L15" s="1339">
        <f t="shared" si="0"/>
        <v>141885</v>
      </c>
      <c r="M15" s="1342">
        <v>141885</v>
      </c>
    </row>
    <row r="16" spans="2:14" ht="20.100000000000001" customHeight="1" x14ac:dyDescent="0.2">
      <c r="B16" s="1955"/>
      <c r="C16" s="1340"/>
      <c r="D16" s="1341"/>
      <c r="E16" s="1342"/>
      <c r="F16" s="1342"/>
      <c r="G16" s="1342"/>
      <c r="H16" s="1342"/>
      <c r="I16" s="1342"/>
      <c r="J16" s="1342"/>
      <c r="K16" s="1342"/>
      <c r="L16" s="1339">
        <f t="shared" si="0"/>
        <v>0</v>
      </c>
      <c r="M16" s="1342"/>
    </row>
    <row r="17" spans="2:14" ht="20.100000000000001" customHeight="1" x14ac:dyDescent="0.2">
      <c r="B17" s="1955" t="s">
        <v>2108</v>
      </c>
      <c r="C17" s="1340"/>
      <c r="D17" s="1341"/>
      <c r="E17" s="1342"/>
      <c r="F17" s="1342"/>
      <c r="G17" s="1342"/>
      <c r="H17" s="1342"/>
      <c r="I17" s="1342"/>
      <c r="J17" s="1342"/>
      <c r="K17" s="1342"/>
      <c r="L17" s="1339">
        <f t="shared" si="0"/>
        <v>0</v>
      </c>
      <c r="M17" s="1342"/>
    </row>
    <row r="18" spans="2:14" ht="20.100000000000001" customHeight="1" x14ac:dyDescent="0.2">
      <c r="B18" s="1955" t="s">
        <v>2175</v>
      </c>
      <c r="C18" s="1340"/>
      <c r="D18" s="1341"/>
      <c r="E18" s="1342"/>
      <c r="F18" s="1342"/>
      <c r="G18" s="1342"/>
      <c r="H18" s="1342"/>
      <c r="I18" s="1342"/>
      <c r="J18" s="1342"/>
      <c r="K18" s="1342"/>
      <c r="L18" s="1339">
        <f t="shared" si="0"/>
        <v>0</v>
      </c>
      <c r="M18" s="1342"/>
    </row>
    <row r="19" spans="2:14" ht="20.100000000000001" customHeight="1" x14ac:dyDescent="0.2">
      <c r="B19" s="1955" t="s">
        <v>2220</v>
      </c>
      <c r="C19" s="1340">
        <v>84.126000000000005</v>
      </c>
      <c r="D19" s="1341" t="s">
        <v>2176</v>
      </c>
      <c r="E19" s="1342">
        <v>184992</v>
      </c>
      <c r="F19" s="1342"/>
      <c r="G19" s="1342">
        <v>184992</v>
      </c>
      <c r="H19" s="1342"/>
      <c r="I19" s="1342"/>
      <c r="J19" s="1342"/>
      <c r="K19" s="1342"/>
      <c r="L19" s="1339">
        <f t="shared" si="0"/>
        <v>184992</v>
      </c>
      <c r="M19" s="1342">
        <v>196800</v>
      </c>
    </row>
    <row r="20" spans="2:14" ht="20.100000000000001" customHeight="1" x14ac:dyDescent="0.2">
      <c r="B20" s="1955" t="s">
        <v>2221</v>
      </c>
      <c r="C20" s="1340">
        <v>84.126000000000005</v>
      </c>
      <c r="D20" s="1341" t="s">
        <v>2177</v>
      </c>
      <c r="E20" s="1342"/>
      <c r="F20" s="1342">
        <v>195635</v>
      </c>
      <c r="G20" s="1342"/>
      <c r="H20" s="1342"/>
      <c r="I20" s="1342">
        <v>195635</v>
      </c>
      <c r="J20" s="1342"/>
      <c r="K20" s="1342"/>
      <c r="L20" s="1339">
        <f t="shared" si="0"/>
        <v>195635</v>
      </c>
      <c r="M20" s="1342">
        <v>196800</v>
      </c>
    </row>
    <row r="21" spans="2:14" ht="20.100000000000001" customHeight="1" x14ac:dyDescent="0.2">
      <c r="B21" s="1955"/>
      <c r="C21" s="1340"/>
      <c r="D21" s="1341"/>
      <c r="E21" s="1342"/>
      <c r="F21" s="1342"/>
      <c r="G21" s="1342"/>
      <c r="H21" s="1342"/>
      <c r="I21" s="1342"/>
      <c r="J21" s="1342"/>
      <c r="K21" s="1342"/>
      <c r="L21" s="1339">
        <f t="shared" si="0"/>
        <v>0</v>
      </c>
      <c r="M21" s="1342"/>
    </row>
    <row r="22" spans="2:14" ht="20.100000000000001" customHeight="1" x14ac:dyDescent="0.2">
      <c r="B22" s="1958" t="s">
        <v>2189</v>
      </c>
      <c r="C22" s="1959"/>
      <c r="D22" s="1960"/>
      <c r="E22" s="1957">
        <f>SUM(E14:E20,' SEFA'!E13:E24)</f>
        <v>2510011</v>
      </c>
      <c r="F22" s="1957">
        <f>SUM(F14:F20,' SEFA'!F13:F24)</f>
        <v>2819410</v>
      </c>
      <c r="G22" s="1957">
        <f>SUM(G14:G20,' SEFA'!G13:G24)</f>
        <v>2517057</v>
      </c>
      <c r="H22" s="1957"/>
      <c r="I22" s="1957">
        <f>SUM(I14:I20,' SEFA'!I13:I24)</f>
        <v>2819410</v>
      </c>
      <c r="J22" s="1957"/>
      <c r="K22" s="1957"/>
      <c r="L22" s="1339">
        <f t="shared" si="0"/>
        <v>5336467</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t="s">
        <v>2114</v>
      </c>
      <c r="C26" s="1340"/>
      <c r="D26" s="1341"/>
      <c r="E26" s="1342"/>
      <c r="F26" s="1342"/>
      <c r="G26" s="1342"/>
      <c r="H26" s="1342"/>
      <c r="I26" s="1342"/>
      <c r="J26" s="1342"/>
      <c r="K26" s="1342"/>
      <c r="L26" s="1339">
        <f t="shared" si="0"/>
        <v>0</v>
      </c>
      <c r="M26" s="1342"/>
    </row>
    <row r="27" spans="2:14" ht="20.100000000000001" customHeight="1" x14ac:dyDescent="0.2">
      <c r="B27" s="1336" t="s">
        <v>2115</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B1:N152"/>
  <sheetViews>
    <sheetView showGridLines="0" topLeftCell="A10"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3" t="str">
        <f>'Single Audit Cover'!A7</f>
        <v>MAINE TOWNSHIP HIGH SCHOOL DISTRICT 207</v>
      </c>
      <c r="C1" s="2469"/>
      <c r="D1" s="2469"/>
      <c r="E1" s="2469"/>
      <c r="F1" s="2469"/>
      <c r="G1" s="2469"/>
      <c r="H1" s="2469"/>
      <c r="I1" s="2469"/>
      <c r="J1" s="2469"/>
      <c r="K1" s="2469"/>
      <c r="L1" s="2469"/>
      <c r="M1" s="2469"/>
    </row>
    <row r="2" spans="2:14" ht="15" x14ac:dyDescent="0.2">
      <c r="B2" s="2458">
        <f>'Single Audit Cover'!E7</f>
        <v>5016207017</v>
      </c>
      <c r="C2" s="2458"/>
      <c r="D2" s="2458"/>
      <c r="E2" s="2458"/>
      <c r="F2" s="2458"/>
      <c r="G2" s="2458"/>
      <c r="H2" s="2458"/>
      <c r="I2" s="2458"/>
      <c r="J2" s="2458"/>
      <c r="K2" s="2458"/>
      <c r="L2" s="2458"/>
      <c r="M2" s="2458"/>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2178</v>
      </c>
      <c r="C11" s="1337"/>
      <c r="D11" s="1338"/>
      <c r="E11" s="1339"/>
      <c r="F11" s="1339"/>
      <c r="G11" s="1339"/>
      <c r="H11" s="1339"/>
      <c r="I11" s="1339"/>
      <c r="J11" s="1339"/>
      <c r="K11" s="1339"/>
      <c r="L11" s="1339">
        <f>+G11+I11+K11</f>
        <v>0</v>
      </c>
      <c r="M11" s="1339"/>
    </row>
    <row r="12" spans="2:14" ht="20.100000000000001" customHeight="1" x14ac:dyDescent="0.2">
      <c r="B12" s="1955" t="s">
        <v>2179</v>
      </c>
      <c r="C12" s="1340"/>
      <c r="D12" s="1341"/>
      <c r="E12" s="1342"/>
      <c r="F12" s="1342"/>
      <c r="G12" s="1342"/>
      <c r="H12" s="1342"/>
      <c r="I12" s="1342"/>
      <c r="J12" s="1342"/>
      <c r="K12" s="1342"/>
      <c r="L12" s="1339">
        <f t="shared" ref="L12:L27" si="0">+G12+I12+K12</f>
        <v>0</v>
      </c>
      <c r="M12" s="1342"/>
    </row>
    <row r="13" spans="2:14" ht="20.100000000000001" customHeight="1" x14ac:dyDescent="0.2">
      <c r="B13" s="1955" t="s">
        <v>2180</v>
      </c>
      <c r="C13" s="1340"/>
      <c r="D13" s="1341"/>
      <c r="E13" s="1342"/>
      <c r="F13" s="1342"/>
      <c r="G13" s="1342"/>
      <c r="H13" s="1342"/>
      <c r="I13" s="1342"/>
      <c r="J13" s="1342"/>
      <c r="K13" s="1342"/>
      <c r="L13" s="1339">
        <f t="shared" si="0"/>
        <v>0</v>
      </c>
      <c r="M13" s="1342"/>
    </row>
    <row r="14" spans="2:14" ht="20.100000000000001" customHeight="1" x14ac:dyDescent="0.2">
      <c r="B14" s="1955" t="s">
        <v>2182</v>
      </c>
      <c r="C14" s="1340">
        <v>93.667000000000002</v>
      </c>
      <c r="D14" s="1341" t="s">
        <v>2183</v>
      </c>
      <c r="E14" s="1342">
        <v>30600</v>
      </c>
      <c r="F14" s="1342"/>
      <c r="G14" s="1342">
        <v>30600</v>
      </c>
      <c r="H14" s="1342"/>
      <c r="I14" s="1342"/>
      <c r="J14" s="1342"/>
      <c r="K14" s="1342"/>
      <c r="L14" s="1339">
        <f t="shared" si="0"/>
        <v>30600</v>
      </c>
      <c r="M14" s="1342">
        <v>30600</v>
      </c>
    </row>
    <row r="15" spans="2:14" ht="20.100000000000001" customHeight="1" x14ac:dyDescent="0.2">
      <c r="B15" s="1955" t="s">
        <v>2184</v>
      </c>
      <c r="C15" s="1340">
        <v>93.994</v>
      </c>
      <c r="D15" s="1341" t="s">
        <v>2181</v>
      </c>
      <c r="E15" s="1342">
        <v>31420</v>
      </c>
      <c r="F15" s="1342"/>
      <c r="G15" s="1342">
        <v>31420</v>
      </c>
      <c r="H15" s="1342"/>
      <c r="I15" s="1342"/>
      <c r="J15" s="1342"/>
      <c r="K15" s="1342"/>
      <c r="L15" s="1339">
        <f t="shared" si="0"/>
        <v>31420</v>
      </c>
      <c r="M15" s="1342">
        <v>31420</v>
      </c>
    </row>
    <row r="16" spans="2:14" ht="20.100000000000001" customHeight="1" x14ac:dyDescent="0.2">
      <c r="B16" s="1955" t="s">
        <v>2208</v>
      </c>
      <c r="C16" s="1340">
        <v>93.994</v>
      </c>
      <c r="D16" s="1341" t="s">
        <v>2185</v>
      </c>
      <c r="E16" s="1342"/>
      <c r="F16" s="1342">
        <v>62020</v>
      </c>
      <c r="G16" s="1342"/>
      <c r="H16" s="1342"/>
      <c r="I16" s="1342">
        <v>62020</v>
      </c>
      <c r="J16" s="1342"/>
      <c r="K16" s="1342"/>
      <c r="L16" s="1339">
        <f t="shared" si="0"/>
        <v>62020</v>
      </c>
      <c r="M16" s="1342">
        <v>62020</v>
      </c>
    </row>
    <row r="17" spans="2:14" ht="20.100000000000001" customHeight="1" x14ac:dyDescent="0.2">
      <c r="B17" s="1955" t="s">
        <v>2186</v>
      </c>
      <c r="C17" s="1340">
        <v>93.778000000000006</v>
      </c>
      <c r="D17" s="1341" t="s">
        <v>2187</v>
      </c>
      <c r="E17" s="1342">
        <v>92677</v>
      </c>
      <c r="F17" s="1342"/>
      <c r="G17" s="1342">
        <v>92677</v>
      </c>
      <c r="H17" s="1342"/>
      <c r="I17" s="1342"/>
      <c r="J17" s="1342"/>
      <c r="K17" s="1342"/>
      <c r="L17" s="1339">
        <f t="shared" si="0"/>
        <v>92677</v>
      </c>
      <c r="M17" s="1342">
        <v>0</v>
      </c>
    </row>
    <row r="18" spans="2:14" ht="20.100000000000001" customHeight="1" x14ac:dyDescent="0.2">
      <c r="B18" s="1955" t="s">
        <v>2207</v>
      </c>
      <c r="C18" s="1340">
        <v>93.778000000000006</v>
      </c>
      <c r="D18" s="1341" t="s">
        <v>2188</v>
      </c>
      <c r="E18" s="1342"/>
      <c r="F18" s="1342">
        <v>88911</v>
      </c>
      <c r="G18" s="1342"/>
      <c r="H18" s="1342"/>
      <c r="I18" s="1342">
        <v>88911</v>
      </c>
      <c r="J18" s="1342"/>
      <c r="K18" s="1342"/>
      <c r="L18" s="1339">
        <f t="shared" si="0"/>
        <v>88911</v>
      </c>
      <c r="M18" s="1342">
        <v>0</v>
      </c>
    </row>
    <row r="19" spans="2:14" ht="20.100000000000001" customHeight="1" x14ac:dyDescent="0.2">
      <c r="B19" s="1955"/>
      <c r="C19" s="1340"/>
      <c r="D19" s="1341"/>
      <c r="E19" s="1342"/>
      <c r="F19" s="1342"/>
      <c r="G19" s="1342"/>
      <c r="H19" s="1342"/>
      <c r="I19" s="1342"/>
      <c r="J19" s="1342"/>
      <c r="K19" s="1342"/>
      <c r="L19" s="1339">
        <f t="shared" si="0"/>
        <v>0</v>
      </c>
      <c r="M19" s="1342"/>
    </row>
    <row r="20" spans="2:14" ht="20.100000000000001" customHeight="1" x14ac:dyDescent="0.2">
      <c r="B20" s="1955" t="s">
        <v>2190</v>
      </c>
      <c r="C20" s="1340"/>
      <c r="D20" s="1341"/>
      <c r="E20" s="1342">
        <f>SUM(E14:E18)</f>
        <v>154697</v>
      </c>
      <c r="F20" s="1342">
        <f>SUM(F14:F18)</f>
        <v>150931</v>
      </c>
      <c r="G20" s="1342">
        <f>SUM(G14:G18)</f>
        <v>154697</v>
      </c>
      <c r="H20" s="1342"/>
      <c r="I20" s="1342">
        <f>SUM(I14:I18)</f>
        <v>150931</v>
      </c>
      <c r="J20" s="1342"/>
      <c r="K20" s="1342"/>
      <c r="L20" s="1339">
        <f t="shared" si="0"/>
        <v>305628</v>
      </c>
      <c r="M20" s="1342"/>
    </row>
    <row r="21" spans="2:14" ht="20.100000000000001" customHeight="1" x14ac:dyDescent="0.2">
      <c r="B21" s="1955"/>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t="s">
        <v>2114</v>
      </c>
      <c r="C26" s="1340"/>
      <c r="D26" s="1341"/>
      <c r="E26" s="1342"/>
      <c r="F26" s="1342"/>
      <c r="G26" s="1342"/>
      <c r="H26" s="1342"/>
      <c r="I26" s="1342"/>
      <c r="J26" s="1342"/>
      <c r="K26" s="1342"/>
      <c r="L26" s="1339">
        <f t="shared" si="0"/>
        <v>0</v>
      </c>
      <c r="M26" s="1342"/>
    </row>
    <row r="27" spans="2:14" ht="20.100000000000001" customHeight="1" x14ac:dyDescent="0.2">
      <c r="B27" s="1336" t="s">
        <v>2115</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B1:N152"/>
  <sheetViews>
    <sheetView showGridLines="0" topLeftCell="A13"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3" t="str">
        <f>'Single Audit Cover'!A7</f>
        <v>MAINE TOWNSHIP HIGH SCHOOL DISTRICT 207</v>
      </c>
      <c r="C1" s="2469"/>
      <c r="D1" s="2469"/>
      <c r="E1" s="2469"/>
      <c r="F1" s="2469"/>
      <c r="G1" s="2469"/>
      <c r="H1" s="2469"/>
      <c r="I1" s="2469"/>
      <c r="J1" s="2469"/>
      <c r="K1" s="2469"/>
      <c r="L1" s="2469"/>
      <c r="M1" s="2469"/>
    </row>
    <row r="2" spans="2:14" ht="15" x14ac:dyDescent="0.2">
      <c r="B2" s="2458">
        <f>'Single Audit Cover'!E7</f>
        <v>5016207017</v>
      </c>
      <c r="C2" s="2458"/>
      <c r="D2" s="2458"/>
      <c r="E2" s="2458"/>
      <c r="F2" s="2458"/>
      <c r="G2" s="2458"/>
      <c r="H2" s="2458"/>
      <c r="I2" s="2458"/>
      <c r="J2" s="2458"/>
      <c r="K2" s="2458"/>
      <c r="L2" s="2458"/>
      <c r="M2" s="2458"/>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955" t="s">
        <v>2191</v>
      </c>
      <c r="C12" s="1340"/>
      <c r="D12" s="1341"/>
      <c r="E12" s="1342"/>
      <c r="F12" s="1342"/>
      <c r="G12" s="1342"/>
      <c r="H12" s="1342"/>
      <c r="I12" s="1342"/>
      <c r="J12" s="1342"/>
      <c r="K12" s="1342"/>
      <c r="L12" s="1339">
        <f t="shared" ref="L12:L27" si="0">+G12+I12+K12</f>
        <v>0</v>
      </c>
      <c r="M12" s="1342"/>
    </row>
    <row r="13" spans="2:14" ht="20.100000000000001" customHeight="1" x14ac:dyDescent="0.2">
      <c r="B13" s="1955" t="s">
        <v>2192</v>
      </c>
      <c r="C13" s="1340"/>
      <c r="D13" s="1341"/>
      <c r="E13" s="1342"/>
      <c r="F13" s="1342"/>
      <c r="G13" s="1342"/>
      <c r="H13" s="1342"/>
      <c r="I13" s="1342"/>
      <c r="J13" s="1342"/>
      <c r="K13" s="1342"/>
      <c r="L13" s="1339">
        <f t="shared" si="0"/>
        <v>0</v>
      </c>
      <c r="M13" s="1342"/>
    </row>
    <row r="14" spans="2:14" ht="20.100000000000001" customHeight="1" x14ac:dyDescent="0.2">
      <c r="B14" s="1955" t="s">
        <v>2193</v>
      </c>
      <c r="C14" s="1340"/>
      <c r="D14" s="1341"/>
      <c r="E14" s="1342"/>
      <c r="F14" s="1342"/>
      <c r="G14" s="1342"/>
      <c r="H14" s="1342"/>
      <c r="I14" s="1342"/>
      <c r="J14" s="1342"/>
      <c r="K14" s="1342"/>
      <c r="L14" s="1339">
        <f t="shared" si="0"/>
        <v>0</v>
      </c>
      <c r="M14" s="1342"/>
    </row>
    <row r="15" spans="2:14" ht="20.100000000000001" customHeight="1" x14ac:dyDescent="0.2">
      <c r="B15" s="1955" t="s">
        <v>2194</v>
      </c>
      <c r="C15" s="1340">
        <v>10.555999999999999</v>
      </c>
      <c r="D15" s="1341" t="s">
        <v>2195</v>
      </c>
      <c r="E15" s="1342">
        <v>20710</v>
      </c>
      <c r="F15" s="1342">
        <v>4460</v>
      </c>
      <c r="G15" s="1342">
        <v>20710</v>
      </c>
      <c r="H15" s="1342"/>
      <c r="I15" s="1342">
        <v>4460</v>
      </c>
      <c r="J15" s="1342"/>
      <c r="K15" s="1342"/>
      <c r="L15" s="1339">
        <f t="shared" si="0"/>
        <v>25170</v>
      </c>
      <c r="M15" s="1342">
        <v>0</v>
      </c>
    </row>
    <row r="16" spans="2:14" ht="20.100000000000001" customHeight="1" x14ac:dyDescent="0.2">
      <c r="B16" s="1955" t="s">
        <v>2205</v>
      </c>
      <c r="C16" s="1340">
        <v>10.555999999999999</v>
      </c>
      <c r="D16" s="1341" t="s">
        <v>2196</v>
      </c>
      <c r="E16" s="1342"/>
      <c r="F16" s="1342">
        <v>19291</v>
      </c>
      <c r="G16" s="1342"/>
      <c r="H16" s="1342"/>
      <c r="I16" s="1342">
        <v>19291</v>
      </c>
      <c r="J16" s="1342"/>
      <c r="K16" s="1342"/>
      <c r="L16" s="1339">
        <f t="shared" si="0"/>
        <v>19291</v>
      </c>
      <c r="M16" s="1342">
        <v>0</v>
      </c>
    </row>
    <row r="17" spans="2:14" ht="20.100000000000001" customHeight="1" x14ac:dyDescent="0.2">
      <c r="B17" s="1955"/>
      <c r="C17" s="1340"/>
      <c r="D17" s="1341"/>
      <c r="E17" s="1342"/>
      <c r="F17" s="1342"/>
      <c r="G17" s="1342"/>
      <c r="H17" s="1342"/>
      <c r="I17" s="1342"/>
      <c r="J17" s="1342"/>
      <c r="K17" s="1342"/>
      <c r="L17" s="1339">
        <f t="shared" si="0"/>
        <v>0</v>
      </c>
      <c r="M17" s="1342"/>
    </row>
    <row r="18" spans="2:14" ht="20.100000000000001" customHeight="1" x14ac:dyDescent="0.2">
      <c r="B18" s="1955" t="s">
        <v>2199</v>
      </c>
      <c r="C18" s="1340"/>
      <c r="D18" s="1341"/>
      <c r="E18" s="1342">
        <f>SUM(E15:E17)</f>
        <v>20710</v>
      </c>
      <c r="F18" s="1342">
        <f>SUM(F15:F16)</f>
        <v>23751</v>
      </c>
      <c r="G18" s="1342">
        <f>SUM(G15:G16)</f>
        <v>20710</v>
      </c>
      <c r="H18" s="1342"/>
      <c r="I18" s="1342">
        <f>SUM(I15:I16)</f>
        <v>23751</v>
      </c>
      <c r="J18" s="1342"/>
      <c r="K18" s="1342"/>
      <c r="L18" s="1339">
        <f t="shared" si="0"/>
        <v>44461</v>
      </c>
      <c r="M18" s="1342"/>
    </row>
    <row r="19" spans="2:14" ht="20.100000000000001" customHeight="1" x14ac:dyDescent="0.2">
      <c r="B19" s="1955"/>
      <c r="C19" s="1340"/>
      <c r="D19" s="1341"/>
      <c r="E19" s="1342"/>
      <c r="F19" s="1342"/>
      <c r="G19" s="1342"/>
      <c r="H19" s="1342"/>
      <c r="I19" s="1342"/>
      <c r="J19" s="1342"/>
      <c r="K19" s="1342"/>
      <c r="L19" s="1339">
        <f t="shared" si="0"/>
        <v>0</v>
      </c>
      <c r="M19" s="1342"/>
    </row>
    <row r="20" spans="2:14" ht="20.100000000000001" customHeight="1" x14ac:dyDescent="0.2">
      <c r="B20" s="1955" t="s">
        <v>2197</v>
      </c>
      <c r="C20" s="1340"/>
      <c r="D20" s="1341"/>
      <c r="E20" s="1342"/>
      <c r="F20" s="1342"/>
      <c r="G20" s="1342"/>
      <c r="H20" s="1342"/>
      <c r="I20" s="1342"/>
      <c r="J20" s="1342"/>
      <c r="K20" s="1342"/>
      <c r="L20" s="1339">
        <f t="shared" si="0"/>
        <v>0</v>
      </c>
      <c r="M20" s="1342"/>
    </row>
    <row r="21" spans="2:14" ht="20.100000000000001" customHeight="1" x14ac:dyDescent="0.2">
      <c r="B21" s="1955" t="s">
        <v>2198</v>
      </c>
      <c r="C21" s="1340">
        <v>17.259</v>
      </c>
      <c r="D21" s="1341" t="s">
        <v>2201</v>
      </c>
      <c r="E21" s="1342">
        <v>204814</v>
      </c>
      <c r="F21" s="1342">
        <v>46537</v>
      </c>
      <c r="G21" s="1342">
        <v>259671</v>
      </c>
      <c r="H21" s="1342"/>
      <c r="I21" s="1342">
        <v>4485</v>
      </c>
      <c r="J21" s="1342"/>
      <c r="K21" s="1342"/>
      <c r="L21" s="1339">
        <f t="shared" si="0"/>
        <v>264156</v>
      </c>
      <c r="M21" s="1342">
        <v>259671</v>
      </c>
    </row>
    <row r="22" spans="2:14" ht="20.100000000000001" customHeight="1" x14ac:dyDescent="0.2">
      <c r="B22" s="1955" t="s">
        <v>2206</v>
      </c>
      <c r="C22" s="1340">
        <v>17.259</v>
      </c>
      <c r="D22" s="1341" t="s">
        <v>2202</v>
      </c>
      <c r="E22" s="1342"/>
      <c r="F22" s="1342">
        <v>213277</v>
      </c>
      <c r="G22" s="1342"/>
      <c r="H22" s="1342"/>
      <c r="I22" s="1342">
        <v>238396</v>
      </c>
      <c r="J22" s="1342"/>
      <c r="K22" s="1342"/>
      <c r="L22" s="1339">
        <f t="shared" si="0"/>
        <v>238396</v>
      </c>
      <c r="M22" s="1342">
        <v>259671</v>
      </c>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t="s">
        <v>2200</v>
      </c>
      <c r="C24" s="1340"/>
      <c r="D24" s="1341"/>
      <c r="E24" s="1342">
        <f>SUM(E21:E22)</f>
        <v>204814</v>
      </c>
      <c r="F24" s="1342">
        <f>SUM(F21:F22)</f>
        <v>259814</v>
      </c>
      <c r="G24" s="1342">
        <f>SUM(G21:G22)</f>
        <v>259671</v>
      </c>
      <c r="H24" s="1342"/>
      <c r="I24" s="1342">
        <f>SUM(I21:I22)</f>
        <v>242881</v>
      </c>
      <c r="J24" s="1342"/>
      <c r="K24" s="1342"/>
      <c r="L24" s="1339">
        <f t="shared" si="0"/>
        <v>502552</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t="s">
        <v>2114</v>
      </c>
      <c r="C26" s="1340"/>
      <c r="D26" s="1341"/>
      <c r="E26" s="1342"/>
      <c r="F26" s="1342"/>
      <c r="G26" s="1342"/>
      <c r="H26" s="1342"/>
      <c r="I26" s="1342"/>
      <c r="J26" s="1342"/>
      <c r="K26" s="1342"/>
      <c r="L26" s="1339">
        <f t="shared" si="0"/>
        <v>0</v>
      </c>
      <c r="M26" s="1342"/>
    </row>
    <row r="27" spans="2:14" ht="20.100000000000001" customHeight="1" x14ac:dyDescent="0.2">
      <c r="B27" s="1336" t="s">
        <v>2115</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B1:N152"/>
  <sheetViews>
    <sheetView showGridLines="0" topLeftCell="A4"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3" t="str">
        <f>'Single Audit Cover'!A7</f>
        <v>MAINE TOWNSHIP HIGH SCHOOL DISTRICT 207</v>
      </c>
      <c r="C1" s="2469"/>
      <c r="D1" s="2469"/>
      <c r="E1" s="2469"/>
      <c r="F1" s="2469"/>
      <c r="G1" s="2469"/>
      <c r="H1" s="2469"/>
      <c r="I1" s="2469"/>
      <c r="J1" s="2469"/>
      <c r="K1" s="2469"/>
      <c r="L1" s="2469"/>
      <c r="M1" s="2469"/>
    </row>
    <row r="2" spans="2:14" ht="15" x14ac:dyDescent="0.2">
      <c r="B2" s="2458">
        <f>'Single Audit Cover'!E7</f>
        <v>5016207017</v>
      </c>
      <c r="C2" s="2458"/>
      <c r="D2" s="2458"/>
      <c r="E2" s="2458"/>
      <c r="F2" s="2458"/>
      <c r="G2" s="2458"/>
      <c r="H2" s="2458"/>
      <c r="I2" s="2458"/>
      <c r="J2" s="2458"/>
      <c r="K2" s="2458"/>
      <c r="L2" s="2458"/>
      <c r="M2" s="2458"/>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955"/>
      <c r="C12" s="1340"/>
      <c r="D12" s="1341"/>
      <c r="E12" s="1342"/>
      <c r="F12" s="1342"/>
      <c r="G12" s="1342"/>
      <c r="H12" s="1342"/>
      <c r="I12" s="1342"/>
      <c r="J12" s="1342"/>
      <c r="K12" s="1342"/>
      <c r="L12" s="1339">
        <f t="shared" ref="L12:L27" si="0">+G12+I12+K12</f>
        <v>0</v>
      </c>
      <c r="M12" s="1342"/>
    </row>
    <row r="13" spans="2:14" ht="20.100000000000001" customHeight="1" x14ac:dyDescent="0.2">
      <c r="B13" s="1955" t="s">
        <v>2209</v>
      </c>
      <c r="C13" s="1340"/>
      <c r="D13" s="1341"/>
      <c r="E13" s="1342">
        <f>+' SEFA (4)'!E24+' SEFA (4)'!E18+' SEFA (3)'!E20+' SEFA (2)'!E22</f>
        <v>2890232</v>
      </c>
      <c r="F13" s="1342">
        <f>+' SEFA (4)'!F24+' SEFA (4)'!F18+' SEFA (3)'!F20+' SEFA (2)'!F22</f>
        <v>3253906</v>
      </c>
      <c r="G13" s="1342">
        <f>+' SEFA (4)'!G24+' SEFA (4)'!G18+' SEFA (3)'!G20+' SEFA (2)'!G22</f>
        <v>2952135</v>
      </c>
      <c r="H13" s="1342"/>
      <c r="I13" s="1342">
        <f>+' SEFA (4)'!I24+' SEFA (4)'!I18+' SEFA (3)'!I20+' SEFA (2)'!I22</f>
        <v>3236973</v>
      </c>
      <c r="J13" s="1342"/>
      <c r="K13" s="1342"/>
      <c r="L13" s="1339">
        <f t="shared" si="0"/>
        <v>6189108</v>
      </c>
      <c r="M13" s="1342"/>
    </row>
    <row r="14" spans="2:14" ht="20.100000000000001" customHeight="1" x14ac:dyDescent="0.2">
      <c r="B14" s="1955"/>
      <c r="C14" s="1340"/>
      <c r="D14" s="1341"/>
      <c r="E14" s="1342"/>
      <c r="F14" s="1342"/>
      <c r="G14" s="1342"/>
      <c r="H14" s="1342"/>
      <c r="I14" s="1342"/>
      <c r="J14" s="1342"/>
      <c r="K14" s="1342"/>
      <c r="L14" s="1339">
        <f t="shared" si="0"/>
        <v>0</v>
      </c>
      <c r="M14" s="1342"/>
    </row>
    <row r="15" spans="2:14" ht="20.100000000000001" customHeight="1" x14ac:dyDescent="0.2">
      <c r="B15" s="1955"/>
      <c r="C15" s="1340"/>
      <c r="D15" s="1341"/>
      <c r="E15" s="1342"/>
      <c r="F15" s="1342"/>
      <c r="G15" s="1342"/>
      <c r="H15" s="1342"/>
      <c r="I15" s="1342"/>
      <c r="J15" s="1342"/>
      <c r="K15" s="1342"/>
      <c r="L15" s="1339">
        <f t="shared" si="0"/>
        <v>0</v>
      </c>
      <c r="M15" s="1342"/>
    </row>
    <row r="16" spans="2:14" ht="20.100000000000001" customHeight="1" x14ac:dyDescent="0.2">
      <c r="B16" s="1955"/>
      <c r="C16" s="1340"/>
      <c r="D16" s="1341"/>
      <c r="E16" s="1342"/>
      <c r="F16" s="1342"/>
      <c r="G16" s="1342"/>
      <c r="H16" s="1342"/>
      <c r="I16" s="1342"/>
      <c r="J16" s="1342"/>
      <c r="K16" s="1342"/>
      <c r="L16" s="1339">
        <f t="shared" si="0"/>
        <v>0</v>
      </c>
      <c r="M16" s="1342"/>
    </row>
    <row r="17" spans="2:14" ht="20.100000000000001" customHeight="1" x14ac:dyDescent="0.2">
      <c r="B17" s="1955"/>
      <c r="C17" s="1340"/>
      <c r="D17" s="1341"/>
      <c r="E17" s="1342"/>
      <c r="F17" s="1342"/>
      <c r="G17" s="1342"/>
      <c r="H17" s="1342"/>
      <c r="I17" s="1342"/>
      <c r="J17" s="1342"/>
      <c r="K17" s="1342"/>
      <c r="L17" s="1339">
        <f t="shared" si="0"/>
        <v>0</v>
      </c>
      <c r="M17" s="1342"/>
    </row>
    <row r="18" spans="2:14" ht="20.100000000000001" customHeight="1" x14ac:dyDescent="0.2">
      <c r="B18" s="1955"/>
      <c r="C18" s="1340"/>
      <c r="D18" s="1341"/>
      <c r="E18" s="1342"/>
      <c r="F18" s="1342"/>
      <c r="G18" s="1342"/>
      <c r="H18" s="1342"/>
      <c r="I18" s="1342"/>
      <c r="J18" s="1342"/>
      <c r="K18" s="1342"/>
      <c r="L18" s="1339">
        <f t="shared" si="0"/>
        <v>0</v>
      </c>
      <c r="M18" s="1342"/>
    </row>
    <row r="19" spans="2:14" ht="20.100000000000001" customHeight="1" x14ac:dyDescent="0.2">
      <c r="B19" s="1955"/>
      <c r="C19" s="1340"/>
      <c r="D19" s="1341"/>
      <c r="E19" s="1342"/>
      <c r="F19" s="1342"/>
      <c r="G19" s="1342"/>
      <c r="H19" s="1342"/>
      <c r="I19" s="1342"/>
      <c r="J19" s="1342"/>
      <c r="K19" s="1342"/>
      <c r="L19" s="1339">
        <f t="shared" si="0"/>
        <v>0</v>
      </c>
      <c r="M19" s="1342"/>
    </row>
    <row r="20" spans="2:14" ht="20.100000000000001" customHeight="1" x14ac:dyDescent="0.2">
      <c r="B20" s="1955"/>
      <c r="C20" s="1340"/>
      <c r="D20" s="1341"/>
      <c r="E20" s="1342"/>
      <c r="F20" s="1342"/>
      <c r="G20" s="1342"/>
      <c r="H20" s="1342"/>
      <c r="I20" s="1342"/>
      <c r="J20" s="1342"/>
      <c r="K20" s="1342"/>
      <c r="L20" s="1339">
        <f t="shared" si="0"/>
        <v>0</v>
      </c>
      <c r="M20" s="1342"/>
    </row>
    <row r="21" spans="2:14" ht="20.100000000000001" customHeight="1" x14ac:dyDescent="0.2">
      <c r="B21" s="1955"/>
      <c r="C21" s="1340"/>
      <c r="D21" s="1341"/>
      <c r="E21" s="1342"/>
      <c r="F21" s="1342"/>
      <c r="G21" s="1342"/>
      <c r="H21" s="1342"/>
      <c r="I21" s="1342"/>
      <c r="J21" s="1342"/>
      <c r="K21" s="1342"/>
      <c r="L21" s="1339">
        <f t="shared" si="0"/>
        <v>0</v>
      </c>
      <c r="M21" s="1342"/>
    </row>
    <row r="22" spans="2:14" ht="20.100000000000001" customHeight="1" x14ac:dyDescent="0.2">
      <c r="B22" s="1955"/>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t="s">
        <v>2114</v>
      </c>
      <c r="C26" s="1340"/>
      <c r="D26" s="1341"/>
      <c r="E26" s="1342"/>
      <c r="F26" s="1342"/>
      <c r="G26" s="1342"/>
      <c r="H26" s="1342"/>
      <c r="I26" s="1342"/>
      <c r="J26" s="1342"/>
      <c r="K26" s="1342"/>
      <c r="L26" s="1339">
        <f t="shared" si="0"/>
        <v>0</v>
      </c>
      <c r="M26" s="1342"/>
    </row>
    <row r="27" spans="2:14" ht="20.100000000000001" customHeight="1" x14ac:dyDescent="0.2">
      <c r="B27" s="1336" t="s">
        <v>2115</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J63"/>
  <sheetViews>
    <sheetView showGridLines="0" zoomScale="110" zoomScaleNormal="110" workbookViewId="0">
      <selection activeCell="D30" sqref="D30"/>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MAINE TOWNSHIP HIGH SCHOOL DISTRICT 207</v>
      </c>
      <c r="C1" s="2477"/>
      <c r="D1" s="2477"/>
      <c r="E1" s="2477"/>
      <c r="F1" s="2477"/>
      <c r="G1" s="2477"/>
      <c r="H1" s="2477"/>
      <c r="I1" s="2477"/>
      <c r="J1" s="1421"/>
    </row>
    <row r="2" spans="2:10" s="317" customFormat="1" ht="12.75" customHeight="1" x14ac:dyDescent="0.2">
      <c r="B2" s="2478">
        <f>'Single Audit Cover'!E7</f>
        <v>5016207017</v>
      </c>
      <c r="C2" s="2479"/>
      <c r="D2" s="2479"/>
      <c r="E2" s="2479"/>
      <c r="F2" s="2479"/>
      <c r="G2" s="2479"/>
      <c r="H2" s="2479"/>
      <c r="I2" s="2479"/>
      <c r="J2" s="1421"/>
    </row>
    <row r="3" spans="2:10" s="317" customFormat="1" ht="12.75" customHeight="1" x14ac:dyDescent="0.2">
      <c r="B3" s="2480" t="s">
        <v>1347</v>
      </c>
      <c r="C3" s="2481"/>
      <c r="D3" s="2481"/>
      <c r="E3" s="2481"/>
      <c r="F3" s="2481"/>
      <c r="G3" s="2481"/>
      <c r="H3" s="2481"/>
      <c r="I3" s="2481"/>
      <c r="J3" s="1422"/>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0" t="s">
        <v>1346</v>
      </c>
      <c r="C7" s="2481"/>
      <c r="D7" s="2481"/>
      <c r="E7" s="2481"/>
      <c r="F7" s="2481"/>
      <c r="G7" s="2481"/>
      <c r="H7" s="2481"/>
      <c r="I7" s="2481"/>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2" t="s">
        <v>2105</v>
      </c>
      <c r="D11" s="2482"/>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2075</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2075</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2075</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2075</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2075</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3" t="s">
        <v>2227</v>
      </c>
      <c r="E29" s="2483"/>
      <c r="F29" s="2483"/>
      <c r="G29" s="2483"/>
      <c r="H29" s="2483"/>
      <c r="I29" s="2483"/>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2075</v>
      </c>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84" t="s">
        <v>1852</v>
      </c>
      <c r="D37" s="2485"/>
      <c r="E37" s="2485"/>
      <c r="F37" s="2486"/>
      <c r="G37" s="2484" t="s">
        <v>1674</v>
      </c>
      <c r="H37" s="2485"/>
      <c r="I37" s="2486"/>
    </row>
    <row r="38" spans="2:9" ht="16.5" customHeight="1" x14ac:dyDescent="0.2">
      <c r="B38" s="1443">
        <v>84.01</v>
      </c>
      <c r="C38" s="2472" t="s">
        <v>2106</v>
      </c>
      <c r="D38" s="2473"/>
      <c r="E38" s="2473"/>
      <c r="F38" s="2474"/>
      <c r="G38" s="2487">
        <v>838720</v>
      </c>
      <c r="H38" s="2488"/>
      <c r="I38" s="2489"/>
    </row>
    <row r="39" spans="2:9" ht="16.5" customHeight="1" x14ac:dyDescent="0.2">
      <c r="B39" s="1443">
        <v>84.126000000000005</v>
      </c>
      <c r="C39" s="2472" t="s">
        <v>2107</v>
      </c>
      <c r="D39" s="2473"/>
      <c r="E39" s="2473"/>
      <c r="F39" s="2474"/>
      <c r="G39" s="2475">
        <v>195635</v>
      </c>
      <c r="H39" s="2475"/>
      <c r="I39" s="2475"/>
    </row>
    <row r="40" spans="2:9" ht="16.5" customHeight="1" x14ac:dyDescent="0.2">
      <c r="B40" s="1443"/>
      <c r="C40" s="2472"/>
      <c r="D40" s="2473"/>
      <c r="E40" s="2473"/>
      <c r="F40" s="2474"/>
      <c r="G40" s="2475"/>
      <c r="H40" s="2475"/>
      <c r="I40" s="2475"/>
    </row>
    <row r="41" spans="2:9" ht="16.5" customHeight="1" x14ac:dyDescent="0.2">
      <c r="B41" s="1443"/>
      <c r="C41" s="2472"/>
      <c r="D41" s="2473"/>
      <c r="E41" s="2473"/>
      <c r="F41" s="2474"/>
      <c r="G41" s="2475"/>
      <c r="H41" s="2475"/>
      <c r="I41" s="2475"/>
    </row>
    <row r="42" spans="2:9" ht="16.5" customHeight="1" x14ac:dyDescent="0.2">
      <c r="B42" s="1443"/>
      <c r="C42" s="2472"/>
      <c r="D42" s="2473"/>
      <c r="E42" s="2473"/>
      <c r="F42" s="2474"/>
      <c r="G42" s="2475"/>
      <c r="H42" s="2475"/>
      <c r="I42" s="2475"/>
    </row>
    <row r="43" spans="2:9" ht="16.5" customHeight="1" x14ac:dyDescent="0.2">
      <c r="B43" s="1443"/>
      <c r="C43" s="2490" t="s">
        <v>1675</v>
      </c>
      <c r="D43" s="2491"/>
      <c r="E43" s="2491"/>
      <c r="F43" s="2492"/>
      <c r="G43" s="2493">
        <f>SUM(G38:I42)</f>
        <v>1034355</v>
      </c>
      <c r="H43" s="2493"/>
      <c r="I43" s="2493"/>
    </row>
    <row r="44" spans="2:9" ht="12.75" customHeight="1" x14ac:dyDescent="0.2"/>
    <row r="45" spans="2:9" ht="12.75" customHeight="1" x14ac:dyDescent="0.2">
      <c r="B45" s="1434" t="s">
        <v>1950</v>
      </c>
      <c r="D45" s="2494">
        <v>3236973</v>
      </c>
      <c r="E45" s="2495"/>
    </row>
    <row r="46" spans="2:9" ht="5.25" customHeight="1" x14ac:dyDescent="0.2">
      <c r="B46" s="1444"/>
      <c r="D46" s="1445"/>
      <c r="E46" s="1446"/>
    </row>
    <row r="47" spans="2:9" ht="12.75" customHeight="1" x14ac:dyDescent="0.2">
      <c r="B47" s="1299" t="s">
        <v>1676</v>
      </c>
      <c r="C47" s="1299"/>
      <c r="D47" s="1447">
        <f>+G43/D45</f>
        <v>0.31954390722443465</v>
      </c>
      <c r="E47" s="1448"/>
      <c r="F47" s="1449"/>
      <c r="I47" s="1450"/>
    </row>
    <row r="48" spans="2:9" ht="9.9499999999999993" customHeight="1" x14ac:dyDescent="0.2"/>
    <row r="49" spans="1:9" x14ac:dyDescent="0.2">
      <c r="B49" s="1367" t="s">
        <v>1335</v>
      </c>
      <c r="C49" s="1281"/>
      <c r="D49" s="1281"/>
      <c r="E49" s="2496">
        <v>750000</v>
      </c>
      <c r="F49" s="2496"/>
      <c r="G49" s="2496"/>
      <c r="H49" s="322"/>
    </row>
    <row r="51" spans="1:9" ht="13.5" customHeight="1" x14ac:dyDescent="0.2">
      <c r="B51" s="1367" t="s">
        <v>1334</v>
      </c>
      <c r="C51" s="1281"/>
      <c r="E51" s="1437" t="s">
        <v>2075</v>
      </c>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1679</v>
      </c>
      <c r="C63" s="1457"/>
      <c r="D63" s="145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MAINE TOWNSHIP HIGH SCHOOL DISTRICT 207</v>
      </c>
      <c r="C1" s="2476"/>
      <c r="D1" s="2476"/>
      <c r="E1" s="2476"/>
      <c r="F1" s="2476"/>
      <c r="G1" s="2476"/>
      <c r="H1" s="2476"/>
      <c r="I1" s="2476"/>
      <c r="J1" s="2476"/>
      <c r="K1" s="2476"/>
      <c r="L1" s="1373"/>
      <c r="M1" s="1373"/>
    </row>
    <row r="2" spans="1:13" ht="12" customHeight="1" x14ac:dyDescent="0.2">
      <c r="B2" s="2478">
        <f>'Single Audit Cover'!E7</f>
        <v>5016207017</v>
      </c>
      <c r="C2" s="2478"/>
      <c r="D2" s="2478"/>
      <c r="E2" s="2478"/>
      <c r="F2" s="2478"/>
      <c r="G2" s="2478"/>
      <c r="H2" s="2478"/>
      <c r="I2" s="2478"/>
      <c r="J2" s="2478"/>
      <c r="K2" s="2478"/>
      <c r="L2" s="1374"/>
      <c r="M2" s="1375"/>
    </row>
    <row r="3" spans="1:13" ht="10.35" customHeight="1" x14ac:dyDescent="0.2">
      <c r="B3" s="2499" t="s">
        <v>1347</v>
      </c>
      <c r="C3" s="2499"/>
      <c r="D3" s="2499"/>
      <c r="E3" s="2499"/>
      <c r="F3" s="2499"/>
      <c r="G3" s="2499"/>
      <c r="H3" s="2499"/>
      <c r="I3" s="2499"/>
      <c r="J3" s="2499"/>
      <c r="K3" s="2499"/>
      <c r="L3" s="1376"/>
      <c r="M3" s="1376"/>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0" t="s">
        <v>1363</v>
      </c>
      <c r="C7" s="2500"/>
      <c r="D7" s="2501"/>
      <c r="E7" s="2501"/>
      <c r="F7" s="2501"/>
      <c r="G7" s="2501"/>
      <c r="H7" s="2501"/>
      <c r="I7" s="2501"/>
      <c r="J7" s="2501"/>
      <c r="K7" s="250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t="s">
        <v>2104</v>
      </c>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8"/>
      <c r="C14" s="2498"/>
      <c r="D14" s="2498"/>
      <c r="E14" s="2498"/>
      <c r="F14" s="2498"/>
      <c r="G14" s="2498"/>
      <c r="H14" s="2498"/>
      <c r="I14" s="2498"/>
      <c r="J14" s="2498"/>
      <c r="K14" s="249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8"/>
      <c r="C17" s="2498"/>
      <c r="D17" s="2498"/>
      <c r="E17" s="2498"/>
      <c r="F17" s="2498"/>
      <c r="G17" s="2498"/>
      <c r="H17" s="2498"/>
      <c r="I17" s="2498"/>
      <c r="J17" s="2498"/>
      <c r="K17" s="2498"/>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2"/>
      <c r="C20" s="2502"/>
      <c r="D20" s="2498"/>
      <c r="E20" s="2498"/>
      <c r="F20" s="2498"/>
      <c r="G20" s="2498"/>
      <c r="H20" s="2498"/>
      <c r="I20" s="2498"/>
      <c r="J20" s="2498"/>
      <c r="K20" s="249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8"/>
      <c r="C23" s="2498"/>
      <c r="D23" s="2498"/>
      <c r="E23" s="2498"/>
      <c r="F23" s="2498"/>
      <c r="G23" s="2498"/>
      <c r="H23" s="2498"/>
      <c r="I23" s="2498"/>
      <c r="J23" s="2498"/>
      <c r="K23" s="249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8"/>
      <c r="C26" s="2498"/>
      <c r="D26" s="2498"/>
      <c r="E26" s="2498"/>
      <c r="F26" s="2498"/>
      <c r="G26" s="2498"/>
      <c r="H26" s="2498"/>
      <c r="I26" s="2498"/>
      <c r="J26" s="2498"/>
      <c r="K26" s="249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7"/>
      <c r="C29" s="2497"/>
      <c r="D29" s="2498"/>
      <c r="E29" s="2498"/>
      <c r="F29" s="2498"/>
      <c r="G29" s="2498"/>
      <c r="H29" s="2498"/>
      <c r="I29" s="2498"/>
      <c r="J29" s="2498"/>
      <c r="K29" s="249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7"/>
      <c r="C32" s="2497"/>
      <c r="D32" s="2498"/>
      <c r="E32" s="2498"/>
      <c r="F32" s="2498"/>
      <c r="G32" s="2498"/>
      <c r="H32" s="2498"/>
      <c r="I32" s="2498"/>
      <c r="J32" s="2498"/>
      <c r="K32" s="249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MAINE TOWNSHIP HIGH SCHOOL DISTRICT 207</v>
      </c>
      <c r="C1" s="2503"/>
      <c r="D1" s="2503"/>
      <c r="E1" s="2503"/>
      <c r="F1" s="2503"/>
      <c r="G1" s="2503"/>
      <c r="H1" s="2503"/>
      <c r="I1" s="2503"/>
      <c r="J1" s="2503"/>
      <c r="K1" s="2503"/>
      <c r="L1" s="1464"/>
    </row>
    <row r="2" spans="1:12" ht="12.75" customHeight="1" x14ac:dyDescent="0.2">
      <c r="B2" s="2504">
        <f>'Single Audit Cover'!E7</f>
        <v>5016207017</v>
      </c>
      <c r="C2" s="2504"/>
      <c r="D2" s="2504"/>
      <c r="E2" s="2504"/>
      <c r="F2" s="2504"/>
      <c r="G2" s="2504"/>
      <c r="H2" s="2504"/>
      <c r="I2" s="2504"/>
      <c r="J2" s="2504"/>
      <c r="K2" s="2504"/>
      <c r="L2" s="1465"/>
    </row>
    <row r="3" spans="1:12" ht="12.75" customHeight="1" x14ac:dyDescent="0.2">
      <c r="B3" s="2499" t="s">
        <v>1347</v>
      </c>
      <c r="C3" s="2499"/>
      <c r="D3" s="2499"/>
      <c r="E3" s="2499"/>
      <c r="F3" s="2499"/>
      <c r="G3" s="2499"/>
      <c r="H3" s="2499"/>
      <c r="I3" s="2499"/>
      <c r="J3" s="2499"/>
      <c r="K3" s="2499"/>
      <c r="L3" s="1376"/>
    </row>
    <row r="4" spans="1:12" ht="12.75" customHeight="1" x14ac:dyDescent="0.2">
      <c r="B4" s="2499" t="str">
        <f>'Single Audit Cover'!A4</f>
        <v>Year Ending June 30, 2018</v>
      </c>
      <c r="C4" s="2499"/>
      <c r="D4" s="2499"/>
      <c r="E4" s="2499"/>
      <c r="F4" s="2499"/>
      <c r="G4" s="2499"/>
      <c r="H4" s="2499"/>
      <c r="I4" s="2499"/>
      <c r="J4" s="2499"/>
      <c r="K4" s="2499"/>
      <c r="L4" s="1376"/>
    </row>
    <row r="5" spans="1:12" ht="5.25" customHeight="1" x14ac:dyDescent="0.2">
      <c r="B5" s="1259" t="s">
        <v>1231</v>
      </c>
      <c r="C5" s="1259"/>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t="s">
        <v>2104</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3"/>
      <c r="G12" s="2483"/>
      <c r="H12" s="2483"/>
      <c r="I12" s="2483"/>
      <c r="J12" s="2483"/>
      <c r="K12" s="248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6"/>
      <c r="E14" s="2506"/>
      <c r="F14" s="2506"/>
      <c r="H14" s="1474" t="s">
        <v>1370</v>
      </c>
      <c r="I14" s="2507"/>
      <c r="J14" s="2507"/>
      <c r="K14" s="250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7"/>
      <c r="E16" s="2507"/>
      <c r="F16" s="2507"/>
      <c r="G16" s="2507"/>
      <c r="H16" s="2507"/>
      <c r="I16" s="2507"/>
      <c r="J16" s="2507"/>
      <c r="K16" s="2507"/>
      <c r="L16" s="322"/>
    </row>
    <row r="17" spans="2:12" ht="13.5" customHeight="1" x14ac:dyDescent="0.2">
      <c r="B17" s="1386" t="s">
        <v>1368</v>
      </c>
      <c r="C17" s="1386"/>
      <c r="D17" s="2508"/>
      <c r="E17" s="2508"/>
      <c r="F17" s="2508"/>
      <c r="G17" s="2508"/>
      <c r="H17" s="2508"/>
      <c r="I17" s="2508"/>
      <c r="J17" s="2508"/>
      <c r="K17" s="250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8"/>
      <c r="C20" s="2498"/>
      <c r="D20" s="2498"/>
      <c r="E20" s="2498"/>
      <c r="F20" s="2498"/>
      <c r="G20" s="2498"/>
      <c r="H20" s="2498"/>
      <c r="I20" s="2498"/>
      <c r="J20" s="2498"/>
      <c r="K20" s="249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pageSetUpPr fitToPage="1"/>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6" t="str">
        <f>'Single Audit Cover'!A7</f>
        <v>MAINE TOWNSHIP HIGH SCHOOL DISTRICT 207</v>
      </c>
      <c r="C1" s="2476"/>
      <c r="D1" s="2476"/>
      <c r="E1" s="1490"/>
    </row>
    <row r="2" spans="2:5" s="1281" customFormat="1" ht="12.75" customHeight="1" x14ac:dyDescent="0.2">
      <c r="B2" s="2478">
        <f>'Single Audit Cover'!E7</f>
        <v>5016207017</v>
      </c>
      <c r="C2" s="2478"/>
      <c r="D2" s="2478"/>
      <c r="E2" s="1491"/>
    </row>
    <row r="3" spans="2:5" ht="12.75" customHeight="1" x14ac:dyDescent="0.2">
      <c r="B3" s="2499" t="s">
        <v>1867</v>
      </c>
      <c r="C3" s="2499"/>
      <c r="D3" s="2499"/>
      <c r="E3" s="1273"/>
    </row>
    <row r="4" spans="2:5" s="1281" customFormat="1" ht="12.75" customHeight="1" x14ac:dyDescent="0.2">
      <c r="B4" s="2509" t="str">
        <f>'Single Audit Cover'!A4</f>
        <v>Year Ending June 30, 2018</v>
      </c>
      <c r="C4" s="2509"/>
      <c r="D4" s="2509"/>
      <c r="E4" s="1492"/>
    </row>
    <row r="5" spans="2:5" s="1281" customFormat="1" ht="40.15" customHeight="1" x14ac:dyDescent="0.2">
      <c r="B5" s="1493" t="s">
        <v>1868</v>
      </c>
      <c r="C5" s="328"/>
      <c r="D5" s="328"/>
      <c r="E5" s="328"/>
    </row>
    <row r="6" spans="2:5" s="1281" customFormat="1" ht="13.5" customHeight="1" x14ac:dyDescent="0.2">
      <c r="B6" s="1494" t="s">
        <v>1382</v>
      </c>
      <c r="C6" s="1494" t="s">
        <v>1381</v>
      </c>
      <c r="D6" s="1494" t="s">
        <v>1869</v>
      </c>
    </row>
    <row r="7" spans="2:5" ht="13.5" customHeight="1" x14ac:dyDescent="0.2">
      <c r="B7" s="1495" t="s">
        <v>2103</v>
      </c>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1870</v>
      </c>
    </row>
    <row r="46" spans="2:5" ht="12.2" customHeight="1" x14ac:dyDescent="0.2">
      <c r="B46" s="1504" t="s">
        <v>1871</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46" sqref="J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4712019362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1.9214999999999999E-2</v>
      </c>
      <c r="E10" s="356" t="s">
        <v>1062</v>
      </c>
      <c r="F10" s="355">
        <v>3.9129999999999998E-3</v>
      </c>
      <c r="G10" s="356" t="s">
        <v>1062</v>
      </c>
      <c r="H10" s="355">
        <v>1.8100000000000001E-4</v>
      </c>
      <c r="I10" s="356" t="s">
        <v>1063</v>
      </c>
      <c r="J10" s="1753">
        <f>ROUND(D10+F10+H10,5)</f>
        <v>2.3310000000000001E-2</v>
      </c>
      <c r="K10" s="222"/>
      <c r="L10" s="355">
        <v>0</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130226605</v>
      </c>
      <c r="E16" s="356"/>
      <c r="F16" s="1754">
        <f>SUM('Acct Summary 7-8'!C17,'Acct Summary 7-8'!D17,'Acct Summary 7-8'!F17)</f>
        <v>121858779</v>
      </c>
      <c r="G16" s="356"/>
      <c r="H16" s="1754">
        <f>SUM(D16-F16)</f>
        <v>8367826</v>
      </c>
      <c r="I16" s="222"/>
      <c r="J16" s="1754">
        <f>SUM('Acct Summary 7-8'!C81,'Acct Summary 7-8'!D81,'Acct Summary 7-8'!F81,'Acct Summary 7-8'!I81)</f>
        <v>127860202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607</v>
      </c>
      <c r="D31" s="237" t="s">
        <v>1132</v>
      </c>
      <c r="E31" s="222"/>
      <c r="F31" s="222"/>
      <c r="G31" s="363"/>
      <c r="H31" s="1756">
        <f>IF(B31="X",(J7*0.069),IF(B32="X",(J7*0.138),"Enter x in a.or b."))</f>
        <v>325129335.97800004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14540000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46" sqref="J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MAINE TOWNSHIP HIGH SCHOOL DISTRICT 207</v>
      </c>
      <c r="E7" s="391"/>
      <c r="G7" s="252"/>
      <c r="H7" s="387"/>
      <c r="I7" s="387"/>
      <c r="J7" s="387"/>
      <c r="K7" s="387"/>
      <c r="L7" s="329"/>
      <c r="M7" s="329"/>
      <c r="N7" s="329"/>
      <c r="O7" s="329"/>
      <c r="P7" s="329"/>
    </row>
    <row r="8" spans="1:18" ht="12.75" x14ac:dyDescent="0.2">
      <c r="A8" s="329"/>
      <c r="B8" s="329"/>
      <c r="C8" s="389" t="s">
        <v>1187</v>
      </c>
      <c r="D8" s="392">
        <f>COVER!A13</f>
        <v>5016207017</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127860202</v>
      </c>
      <c r="I12" s="404"/>
      <c r="J12" s="404"/>
      <c r="K12" s="405">
        <f>TRUNC((H12/H13*100000),5)/100000</f>
        <v>0.98182857480000008</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130226605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121858779</v>
      </c>
      <c r="I17" s="404"/>
      <c r="J17" s="416"/>
      <c r="K17" s="405">
        <f>TRUNC((H17/H18*100000),5)/100000</f>
        <v>0.93574411309999994</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130226605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132697515</v>
      </c>
      <c r="I24" s="422"/>
      <c r="J24" s="422"/>
      <c r="K24" s="423">
        <f>TRUNC(((H24/H25*100000)/100000),2)</f>
        <v>392.02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338496.60833000002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93361595.628989995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14540000</v>
      </c>
      <c r="I32" s="420"/>
      <c r="J32" s="420"/>
      <c r="K32" s="423">
        <f>TRUNC(100-((((H32/H33*100))*100)/100),2)</f>
        <v>95.52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325129335.97800004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20" zoomScaleNormal="120" workbookViewId="0">
      <pane ySplit="2" topLeftCell="A24" activePane="bottomLeft" state="frozen"/>
      <selection activeCell="J46" sqref="J46"/>
      <selection pane="bottomLeft" activeCell="J46" sqref="J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0"/>
      <c r="D3" s="1581"/>
      <c r="E3" s="1581"/>
      <c r="F3" s="1581"/>
      <c r="G3" s="1581"/>
      <c r="H3" s="1581"/>
      <c r="I3" s="1581"/>
      <c r="J3" s="1581"/>
      <c r="K3" s="1581"/>
      <c r="L3" s="1581"/>
      <c r="M3" s="1582"/>
      <c r="N3" s="1583"/>
    </row>
    <row r="4" spans="1:14" ht="13.5" customHeight="1" x14ac:dyDescent="0.2">
      <c r="A4" s="463" t="s">
        <v>1750</v>
      </c>
      <c r="B4" s="464"/>
      <c r="C4" s="465">
        <v>90271646</v>
      </c>
      <c r="D4" s="466">
        <v>11254977</v>
      </c>
      <c r="E4" s="466">
        <v>94566</v>
      </c>
      <c r="F4" s="466">
        <v>2844109</v>
      </c>
      <c r="G4" s="466">
        <v>3683260</v>
      </c>
      <c r="H4" s="466">
        <v>6616525</v>
      </c>
      <c r="I4" s="466">
        <v>28326783</v>
      </c>
      <c r="J4" s="467">
        <v>1071105</v>
      </c>
      <c r="K4" s="466">
        <v>4320646</v>
      </c>
      <c r="L4" s="466">
        <v>2311662</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43672312</v>
      </c>
      <c r="D6" s="466">
        <v>8739385</v>
      </c>
      <c r="E6" s="466">
        <v>771409</v>
      </c>
      <c r="F6" s="466">
        <v>404249</v>
      </c>
      <c r="G6" s="471">
        <v>1784505</v>
      </c>
      <c r="H6" s="471">
        <v>0</v>
      </c>
      <c r="I6" s="466">
        <v>0</v>
      </c>
      <c r="J6" s="474">
        <v>558355</v>
      </c>
      <c r="K6" s="471">
        <v>551655</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2050161</v>
      </c>
      <c r="D8" s="467">
        <v>0</v>
      </c>
      <c r="E8" s="467">
        <v>0</v>
      </c>
      <c r="F8" s="467">
        <v>337761</v>
      </c>
      <c r="G8" s="478">
        <v>216837</v>
      </c>
      <c r="H8" s="467">
        <v>0</v>
      </c>
      <c r="I8" s="474">
        <v>0</v>
      </c>
      <c r="J8" s="474">
        <v>0</v>
      </c>
      <c r="K8" s="479">
        <v>0</v>
      </c>
      <c r="L8" s="480"/>
      <c r="M8" s="468"/>
      <c r="N8" s="469"/>
    </row>
    <row r="9" spans="1:14" ht="13.5" customHeight="1" x14ac:dyDescent="0.2">
      <c r="A9" s="473" t="s">
        <v>288</v>
      </c>
      <c r="B9" s="470">
        <v>160</v>
      </c>
      <c r="C9" s="476">
        <v>593710</v>
      </c>
      <c r="D9" s="467">
        <v>31658</v>
      </c>
      <c r="E9" s="467">
        <v>0</v>
      </c>
      <c r="F9" s="467">
        <v>5111</v>
      </c>
      <c r="G9" s="467">
        <v>11701</v>
      </c>
      <c r="H9" s="478">
        <v>12157</v>
      </c>
      <c r="I9" s="467">
        <v>125151</v>
      </c>
      <c r="J9" s="467">
        <v>2716</v>
      </c>
      <c r="K9" s="467">
        <v>12892</v>
      </c>
      <c r="L9" s="467">
        <v>2608</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75103</v>
      </c>
      <c r="D11" s="467">
        <v>28933</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7" t="s">
        <v>665</v>
      </c>
      <c r="B13" s="1730"/>
      <c r="C13" s="1758">
        <f>SUM(C4:C12)</f>
        <v>136662932</v>
      </c>
      <c r="D13" s="1758">
        <f t="shared" ref="D13:L13" si="0">SUM(D4:D12)</f>
        <v>20054953</v>
      </c>
      <c r="E13" s="1758">
        <f t="shared" si="0"/>
        <v>865975</v>
      </c>
      <c r="F13" s="1758">
        <f t="shared" si="0"/>
        <v>3591230</v>
      </c>
      <c r="G13" s="1758">
        <f t="shared" si="0"/>
        <v>5696303</v>
      </c>
      <c r="H13" s="1758">
        <f t="shared" si="0"/>
        <v>6628682</v>
      </c>
      <c r="I13" s="1758">
        <f t="shared" si="0"/>
        <v>28451934</v>
      </c>
      <c r="J13" s="1758">
        <f t="shared" si="0"/>
        <v>1632176</v>
      </c>
      <c r="K13" s="1758">
        <f t="shared" si="0"/>
        <v>4885193</v>
      </c>
      <c r="L13" s="1758">
        <f t="shared" si="0"/>
        <v>2314270</v>
      </c>
      <c r="M13" s="468"/>
      <c r="N13" s="469"/>
    </row>
    <row r="14" spans="1:14" ht="18" customHeight="1" thickTop="1" x14ac:dyDescent="0.2">
      <c r="A14" s="2133" t="s">
        <v>149</v>
      </c>
      <c r="B14" s="2134"/>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1356386</v>
      </c>
      <c r="N16" s="484"/>
    </row>
    <row r="17" spans="1:14" s="485" customFormat="1" ht="12.75" customHeight="1" x14ac:dyDescent="0.2">
      <c r="A17" s="482" t="s">
        <v>1470</v>
      </c>
      <c r="B17" s="483">
        <v>230</v>
      </c>
      <c r="C17" s="477"/>
      <c r="D17" s="477"/>
      <c r="E17" s="477"/>
      <c r="F17" s="477"/>
      <c r="G17" s="477"/>
      <c r="H17" s="477"/>
      <c r="I17" s="477"/>
      <c r="J17" s="477"/>
      <c r="K17" s="477"/>
      <c r="L17" s="477"/>
      <c r="M17" s="467">
        <v>139334168</v>
      </c>
      <c r="N17" s="484"/>
    </row>
    <row r="18" spans="1:14" s="485" customFormat="1" ht="12.75" customHeight="1" x14ac:dyDescent="0.2">
      <c r="A18" s="482" t="s">
        <v>1471</v>
      </c>
      <c r="B18" s="483">
        <v>240</v>
      </c>
      <c r="C18" s="477"/>
      <c r="D18" s="477"/>
      <c r="E18" s="477"/>
      <c r="F18" s="477"/>
      <c r="G18" s="477"/>
      <c r="H18" s="477"/>
      <c r="I18" s="477"/>
      <c r="J18" s="477"/>
      <c r="K18" s="477"/>
      <c r="L18" s="477"/>
      <c r="M18" s="467">
        <v>10288984</v>
      </c>
      <c r="N18" s="484"/>
    </row>
    <row r="19" spans="1:14" s="485" customFormat="1" ht="12.75" customHeight="1" x14ac:dyDescent="0.2">
      <c r="A19" s="482" t="s">
        <v>1472</v>
      </c>
      <c r="B19" s="483">
        <v>250</v>
      </c>
      <c r="C19" s="477"/>
      <c r="D19" s="477"/>
      <c r="E19" s="477"/>
      <c r="F19" s="477"/>
      <c r="G19" s="477"/>
      <c r="H19" s="477"/>
      <c r="I19" s="477"/>
      <c r="J19" s="477"/>
      <c r="K19" s="477"/>
      <c r="L19" s="477"/>
      <c r="M19" s="467">
        <v>29704520</v>
      </c>
      <c r="N19" s="484"/>
    </row>
    <row r="20" spans="1:14" s="485" customFormat="1" ht="12.75" customHeight="1" x14ac:dyDescent="0.2">
      <c r="A20" s="482" t="s">
        <v>1473</v>
      </c>
      <c r="B20" s="483">
        <v>260</v>
      </c>
      <c r="C20" s="477"/>
      <c r="D20" s="477"/>
      <c r="E20" s="477"/>
      <c r="F20" s="477"/>
      <c r="G20" s="477"/>
      <c r="H20" s="477"/>
      <c r="I20" s="477"/>
      <c r="J20" s="477"/>
      <c r="K20" s="477"/>
      <c r="L20" s="477"/>
      <c r="M20" s="467">
        <v>3284284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149875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14390125</v>
      </c>
    </row>
    <row r="23" spans="1:14" ht="13.5" customHeight="1" thickBot="1" x14ac:dyDescent="0.25">
      <c r="A23" s="1757" t="s">
        <v>664</v>
      </c>
      <c r="B23" s="1762"/>
      <c r="C23" s="468"/>
      <c r="D23" s="468"/>
      <c r="E23" s="468"/>
      <c r="F23" s="468"/>
      <c r="G23" s="468"/>
      <c r="H23" s="468"/>
      <c r="I23" s="468"/>
      <c r="J23" s="468"/>
      <c r="K23" s="468"/>
      <c r="L23" s="468"/>
      <c r="M23" s="1709">
        <f>SUM(M15:M22)</f>
        <v>183968342</v>
      </c>
      <c r="N23" s="1709">
        <f>SUM(N21:N22)</f>
        <v>14540000</v>
      </c>
    </row>
    <row r="24" spans="1:14" ht="18" customHeight="1" thickTop="1" x14ac:dyDescent="0.2">
      <c r="A24" s="2135" t="s">
        <v>619</v>
      </c>
      <c r="B24" s="2136"/>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1350358</v>
      </c>
      <c r="D27" s="467">
        <v>784830</v>
      </c>
      <c r="E27" s="467">
        <v>0</v>
      </c>
      <c r="F27" s="467">
        <v>22176</v>
      </c>
      <c r="G27" s="467">
        <v>0</v>
      </c>
      <c r="H27" s="467">
        <v>230051</v>
      </c>
      <c r="I27" s="467">
        <v>0</v>
      </c>
      <c r="J27" s="467">
        <v>31761</v>
      </c>
      <c r="K27" s="467">
        <v>235863</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8085783</v>
      </c>
      <c r="D30" s="474">
        <v>71875</v>
      </c>
      <c r="E30" s="467">
        <v>0</v>
      </c>
      <c r="F30" s="467">
        <v>0</v>
      </c>
      <c r="G30" s="467">
        <v>178983</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41630131</v>
      </c>
      <c r="D32" s="492">
        <v>8123023</v>
      </c>
      <c r="E32" s="474">
        <v>716100</v>
      </c>
      <c r="F32" s="474">
        <v>715168</v>
      </c>
      <c r="G32" s="474">
        <v>1665045</v>
      </c>
      <c r="H32" s="474">
        <v>4481</v>
      </c>
      <c r="I32" s="474">
        <v>117503</v>
      </c>
      <c r="J32" s="474">
        <v>519815</v>
      </c>
      <c r="K32" s="479">
        <v>521520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1765862</v>
      </c>
      <c r="M33" s="468"/>
      <c r="N33" s="469"/>
    </row>
    <row r="34" spans="1:14" ht="13.5" customHeight="1" thickBot="1" x14ac:dyDescent="0.25">
      <c r="A34" s="1759" t="s">
        <v>675</v>
      </c>
      <c r="B34" s="1760"/>
      <c r="C34" s="1761">
        <f>SUM(C25:C33)</f>
        <v>51066272</v>
      </c>
      <c r="D34" s="1761">
        <f t="shared" ref="D34:K34" si="1">SUM(D25:D33)</f>
        <v>8979728</v>
      </c>
      <c r="E34" s="1761">
        <f t="shared" si="1"/>
        <v>716100</v>
      </c>
      <c r="F34" s="1761">
        <f t="shared" si="1"/>
        <v>737344</v>
      </c>
      <c r="G34" s="1761">
        <f t="shared" si="1"/>
        <v>1844028</v>
      </c>
      <c r="H34" s="1761">
        <f t="shared" si="1"/>
        <v>234532</v>
      </c>
      <c r="I34" s="1761">
        <f t="shared" si="1"/>
        <v>117503</v>
      </c>
      <c r="J34" s="1761">
        <f t="shared" si="1"/>
        <v>551576</v>
      </c>
      <c r="K34" s="1761">
        <f t="shared" si="1"/>
        <v>757383</v>
      </c>
      <c r="L34" s="1742">
        <f>SUM(L33)</f>
        <v>1765862</v>
      </c>
      <c r="M34" s="468"/>
      <c r="N34" s="480"/>
    </row>
    <row r="35" spans="1:14" ht="18" customHeight="1" thickTop="1" x14ac:dyDescent="0.2">
      <c r="A35" s="2137" t="s">
        <v>550</v>
      </c>
      <c r="B35" s="213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14540000</v>
      </c>
    </row>
    <row r="37" spans="1:14" ht="13.5" thickBot="1" x14ac:dyDescent="0.25">
      <c r="A37" s="1757" t="s">
        <v>674</v>
      </c>
      <c r="B37" s="1762"/>
      <c r="C37" s="477"/>
      <c r="D37" s="477"/>
      <c r="E37" s="477"/>
      <c r="F37" s="477"/>
      <c r="G37" s="477"/>
      <c r="H37" s="477"/>
      <c r="I37" s="477"/>
      <c r="J37" s="477"/>
      <c r="K37" s="477"/>
      <c r="L37" s="480"/>
      <c r="M37" s="468"/>
      <c r="N37" s="1709">
        <f>SUM(N36:N36)</f>
        <v>14540000</v>
      </c>
    </row>
    <row r="38" spans="1:14" s="329" customFormat="1" ht="13.5" customHeight="1" thickTop="1" x14ac:dyDescent="0.2">
      <c r="A38" s="496" t="s">
        <v>440</v>
      </c>
      <c r="B38" s="483">
        <v>714</v>
      </c>
      <c r="C38" s="466"/>
      <c r="D38" s="466"/>
      <c r="E38" s="466"/>
      <c r="F38" s="466"/>
      <c r="G38" s="466">
        <v>4769843</v>
      </c>
      <c r="H38" s="466"/>
      <c r="I38" s="466"/>
      <c r="J38" s="467"/>
      <c r="K38" s="466"/>
      <c r="L38" s="481"/>
      <c r="M38" s="497"/>
      <c r="N38" s="497"/>
    </row>
    <row r="39" spans="1:14" s="329" customFormat="1" ht="13.5" customHeight="1" x14ac:dyDescent="0.2">
      <c r="A39" s="496" t="s">
        <v>360</v>
      </c>
      <c r="B39" s="483">
        <v>730</v>
      </c>
      <c r="C39" s="466">
        <v>85596660</v>
      </c>
      <c r="D39" s="466">
        <v>11075225</v>
      </c>
      <c r="E39" s="466">
        <v>149875</v>
      </c>
      <c r="F39" s="466">
        <v>2853886</v>
      </c>
      <c r="G39" s="466">
        <v>-917568</v>
      </c>
      <c r="H39" s="466">
        <v>6394150</v>
      </c>
      <c r="I39" s="466">
        <v>28334431</v>
      </c>
      <c r="J39" s="467">
        <v>1080600</v>
      </c>
      <c r="K39" s="466">
        <v>4127810</v>
      </c>
      <c r="L39" s="466">
        <v>548408</v>
      </c>
      <c r="M39" s="497"/>
      <c r="N39" s="497"/>
    </row>
    <row r="40" spans="1:14" s="329" customFormat="1" ht="13.5" customHeight="1" x14ac:dyDescent="0.2">
      <c r="A40" s="498" t="s">
        <v>150</v>
      </c>
      <c r="B40" s="499"/>
      <c r="C40" s="500"/>
      <c r="D40" s="500"/>
      <c r="E40" s="500"/>
      <c r="F40" s="500"/>
      <c r="G40" s="500"/>
      <c r="H40" s="500"/>
      <c r="I40" s="500"/>
      <c r="J40" s="500"/>
      <c r="K40" s="500"/>
      <c r="L40" s="500"/>
      <c r="M40" s="467">
        <v>183968342</v>
      </c>
      <c r="N40" s="497"/>
    </row>
    <row r="41" spans="1:14" ht="13.5" customHeight="1" thickBot="1" x14ac:dyDescent="0.25">
      <c r="A41" s="1757" t="s">
        <v>676</v>
      </c>
      <c r="B41" s="1727"/>
      <c r="C41" s="1709">
        <f>(SUM(C34,C37,C38,C39))</f>
        <v>136662932</v>
      </c>
      <c r="D41" s="1709">
        <f t="shared" ref="D41:L41" si="2">SUM(D34,D37,D38:D39)</f>
        <v>20054953</v>
      </c>
      <c r="E41" s="1709">
        <f t="shared" si="2"/>
        <v>865975</v>
      </c>
      <c r="F41" s="1709">
        <f t="shared" si="2"/>
        <v>3591230</v>
      </c>
      <c r="G41" s="1709">
        <f t="shared" si="2"/>
        <v>5696303</v>
      </c>
      <c r="H41" s="1709">
        <f t="shared" si="2"/>
        <v>6628682</v>
      </c>
      <c r="I41" s="1709">
        <f t="shared" si="2"/>
        <v>28451934</v>
      </c>
      <c r="J41" s="1709">
        <f t="shared" si="2"/>
        <v>1632176</v>
      </c>
      <c r="K41" s="1709">
        <f t="shared" si="2"/>
        <v>4885193</v>
      </c>
      <c r="L41" s="1709">
        <f t="shared" si="2"/>
        <v>2314270</v>
      </c>
      <c r="M41" s="1709">
        <f>SUM(M40)</f>
        <v>183968342</v>
      </c>
      <c r="N41" s="1709">
        <f>SUM(N37)</f>
        <v>14540000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Split"/>
      <selection activeCell="J46" sqref="J46"/>
      <selection pane="bottomLeft" activeCell="J46" sqref="J4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4"/>
      <c r="D3" s="1595"/>
      <c r="E3" s="1595"/>
      <c r="F3" s="1595"/>
      <c r="G3" s="1595"/>
      <c r="H3" s="1595"/>
      <c r="I3" s="1595"/>
      <c r="J3" s="1595"/>
      <c r="K3" s="1596"/>
      <c r="L3" s="506"/>
    </row>
    <row r="4" spans="1:13" ht="15.75" customHeight="1" x14ac:dyDescent="0.2">
      <c r="A4" s="1953" t="s">
        <v>1579</v>
      </c>
      <c r="B4" s="1954">
        <v>1000</v>
      </c>
      <c r="C4" s="1763">
        <f>'Revenues 9-14'!C109</f>
        <v>97899890</v>
      </c>
      <c r="D4" s="1763">
        <f>'Revenues 9-14'!D109</f>
        <v>18016536</v>
      </c>
      <c r="E4" s="1763">
        <f>'Revenues 9-14'!E109</f>
        <v>1591343</v>
      </c>
      <c r="F4" s="1763">
        <f>'Revenues 9-14'!F109</f>
        <v>853759</v>
      </c>
      <c r="G4" s="1763">
        <f>'Revenues 9-14'!G109</f>
        <v>3876896</v>
      </c>
      <c r="H4" s="1763">
        <f>'Revenues 9-14'!H109</f>
        <v>421660</v>
      </c>
      <c r="I4" s="1763">
        <f>'Revenues 9-14'!I109</f>
        <v>8768</v>
      </c>
      <c r="J4" s="1763">
        <f>'Revenues 9-14'!J109</f>
        <v>1150245</v>
      </c>
      <c r="K4" s="1763">
        <f>'Revenues 9-14'!K109</f>
        <v>1123775</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8107820</v>
      </c>
      <c r="D6" s="1764">
        <f>'Revenues 9-14'!D173</f>
        <v>0</v>
      </c>
      <c r="E6" s="1764">
        <f>'Revenues 9-14'!E173</f>
        <v>0</v>
      </c>
      <c r="F6" s="1764">
        <f>'Revenues 9-14'!F173</f>
        <v>1712680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3627152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109634862</v>
      </c>
      <c r="D8" s="1709">
        <f t="shared" ref="D8:K8" si="0">SUM(D4:D7)</f>
        <v>18016536</v>
      </c>
      <c r="E8" s="1709">
        <f t="shared" si="0"/>
        <v>1591343</v>
      </c>
      <c r="F8" s="1709">
        <f t="shared" si="0"/>
        <v>2566439</v>
      </c>
      <c r="G8" s="1709">
        <f t="shared" si="0"/>
        <v>3876896</v>
      </c>
      <c r="H8" s="1709">
        <f t="shared" si="0"/>
        <v>421660</v>
      </c>
      <c r="I8" s="1709">
        <f t="shared" si="0"/>
        <v>8768</v>
      </c>
      <c r="J8" s="1709">
        <f t="shared" si="0"/>
        <v>1150245</v>
      </c>
      <c r="K8" s="1709">
        <f t="shared" si="0"/>
        <v>1123775</v>
      </c>
      <c r="L8" s="347"/>
    </row>
    <row r="9" spans="1:13" ht="15.75" thickTop="1" x14ac:dyDescent="0.2">
      <c r="A9" s="514" t="s">
        <v>1752</v>
      </c>
      <c r="B9" s="515">
        <v>3998</v>
      </c>
      <c r="C9" s="481">
        <v>45678237</v>
      </c>
      <c r="D9" s="516">
        <v>0</v>
      </c>
      <c r="E9" s="481">
        <v>0</v>
      </c>
      <c r="F9" s="481">
        <v>0</v>
      </c>
      <c r="G9" s="517">
        <v>0</v>
      </c>
      <c r="H9" s="481">
        <v>0</v>
      </c>
      <c r="I9" s="509" t="s">
        <v>1231</v>
      </c>
      <c r="J9" s="478">
        <v>0</v>
      </c>
      <c r="K9" s="481">
        <v>0</v>
      </c>
      <c r="L9" s="347"/>
    </row>
    <row r="10" spans="1:13" s="519" customFormat="1" ht="13.5" thickBot="1" x14ac:dyDescent="0.25">
      <c r="A10" s="1757" t="s">
        <v>1235</v>
      </c>
      <c r="B10" s="1730"/>
      <c r="C10" s="1709">
        <f>SUM(C8:C9)</f>
        <v>155313099</v>
      </c>
      <c r="D10" s="1709">
        <f t="shared" ref="D10:K10" si="1">SUM(D8:D9)</f>
        <v>18016536</v>
      </c>
      <c r="E10" s="1709">
        <f t="shared" si="1"/>
        <v>1591343</v>
      </c>
      <c r="F10" s="1709">
        <f t="shared" si="1"/>
        <v>2566439</v>
      </c>
      <c r="G10" s="1709">
        <f t="shared" si="1"/>
        <v>3876896</v>
      </c>
      <c r="H10" s="1709">
        <f t="shared" si="1"/>
        <v>421660</v>
      </c>
      <c r="I10" s="1709">
        <f t="shared" si="1"/>
        <v>8768</v>
      </c>
      <c r="J10" s="1709">
        <f t="shared" si="1"/>
        <v>1150245</v>
      </c>
      <c r="K10" s="1709">
        <f t="shared" si="1"/>
        <v>1123775</v>
      </c>
      <c r="L10" s="518"/>
    </row>
    <row r="11" spans="1:13" s="519" customFormat="1" ht="16.7" customHeight="1" thickTop="1" x14ac:dyDescent="0.2">
      <c r="A11" s="2133" t="s">
        <v>1238</v>
      </c>
      <c r="B11" s="2134"/>
      <c r="C11" s="1591"/>
      <c r="D11" s="1592"/>
      <c r="E11" s="1592"/>
      <c r="F11" s="1592"/>
      <c r="G11" s="1592"/>
      <c r="H11" s="1592"/>
      <c r="I11" s="1592"/>
      <c r="J11" s="1592"/>
      <c r="K11" s="1593"/>
      <c r="L11" s="518"/>
    </row>
    <row r="12" spans="1:13" ht="15.75" customHeight="1" x14ac:dyDescent="0.2">
      <c r="A12" s="1597" t="s">
        <v>476</v>
      </c>
      <c r="B12" s="1599">
        <v>1000</v>
      </c>
      <c r="C12" s="1763">
        <f>'Expenditures 15-22'!K33</f>
        <v>77260083</v>
      </c>
      <c r="D12" s="520" t="s">
        <v>1231</v>
      </c>
      <c r="E12" s="468" t="s">
        <v>1231</v>
      </c>
      <c r="F12" s="468" t="s">
        <v>1231</v>
      </c>
      <c r="G12" s="1763">
        <f>'Expenditures 15-22'!K229</f>
        <v>1699392</v>
      </c>
      <c r="H12" s="521"/>
      <c r="I12" s="468" t="s">
        <v>1231</v>
      </c>
      <c r="J12" s="468" t="s">
        <v>1231</v>
      </c>
      <c r="K12" s="521" t="s">
        <v>1231</v>
      </c>
      <c r="L12" s="347"/>
    </row>
    <row r="13" spans="1:13" ht="15.75" customHeight="1" x14ac:dyDescent="0.2">
      <c r="A13" s="1597" t="s">
        <v>477</v>
      </c>
      <c r="B13" s="1599">
        <v>2000</v>
      </c>
      <c r="C13" s="1764">
        <f>'Expenditures 15-22'!K74</f>
        <v>24165103</v>
      </c>
      <c r="D13" s="1764">
        <f>'Expenditures 15-22'!K129</f>
        <v>15786756</v>
      </c>
      <c r="E13" s="469" t="s">
        <v>1231</v>
      </c>
      <c r="F13" s="1764">
        <f>'Expenditures 15-22'!K184</f>
        <v>2486982</v>
      </c>
      <c r="G13" s="1764">
        <f>'Expenditures 15-22'!K279</f>
        <v>2008488</v>
      </c>
      <c r="H13" s="1764">
        <f>'Expenditures 15-22'!K303</f>
        <v>5936656</v>
      </c>
      <c r="I13" s="468" t="s">
        <v>1231</v>
      </c>
      <c r="J13" s="1764">
        <f>'Expenditures 15-22'!K330</f>
        <v>800768</v>
      </c>
      <c r="K13" s="1768">
        <f>'Expenditures 15-22'!K352</f>
        <v>1262606</v>
      </c>
      <c r="L13" s="347"/>
    </row>
    <row r="14" spans="1:13" ht="15.75" customHeight="1" x14ac:dyDescent="0.2">
      <c r="A14" s="1597" t="s">
        <v>469</v>
      </c>
      <c r="B14" s="1599">
        <v>3000</v>
      </c>
      <c r="C14" s="1764">
        <f>'Expenditures 15-22'!K75</f>
        <v>386090</v>
      </c>
      <c r="D14" s="1764">
        <f>'Expenditures 15-22'!K130</f>
        <v>0</v>
      </c>
      <c r="E14" s="520" t="s">
        <v>1231</v>
      </c>
      <c r="F14" s="1764">
        <f>'Expenditures 15-22'!K185</f>
        <v>0</v>
      </c>
      <c r="G14" s="1764">
        <f>'Expenditures 15-22'!K280</f>
        <v>62</v>
      </c>
      <c r="H14" s="512"/>
      <c r="I14" s="468" t="s">
        <v>1231</v>
      </c>
      <c r="J14" s="468" t="s">
        <v>1231</v>
      </c>
      <c r="K14" s="512" t="s">
        <v>1231</v>
      </c>
      <c r="L14" s="347"/>
    </row>
    <row r="15" spans="1:13" ht="15.75" customHeight="1" x14ac:dyDescent="0.2">
      <c r="A15" s="1597" t="s">
        <v>109</v>
      </c>
      <c r="B15" s="1599">
        <v>4000</v>
      </c>
      <c r="C15" s="1764">
        <f>'Expenditures 15-22'!K102</f>
        <v>1773765</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1558899</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103585041</v>
      </c>
      <c r="D17" s="1709">
        <f t="shared" si="2"/>
        <v>15786756</v>
      </c>
      <c r="E17" s="1709">
        <f t="shared" si="2"/>
        <v>1558899</v>
      </c>
      <c r="F17" s="1709">
        <f t="shared" si="2"/>
        <v>2486982</v>
      </c>
      <c r="G17" s="1709">
        <f t="shared" si="2"/>
        <v>3707942</v>
      </c>
      <c r="H17" s="1709">
        <f t="shared" si="2"/>
        <v>5936656</v>
      </c>
      <c r="I17" s="468"/>
      <c r="J17" s="1709">
        <f>SUM(J12:J16)</f>
        <v>800768</v>
      </c>
      <c r="K17" s="1709">
        <f>SUM(K12:K16)</f>
        <v>1262606</v>
      </c>
      <c r="L17" s="347"/>
    </row>
    <row r="18" spans="1:12" ht="15" customHeight="1" thickTop="1" x14ac:dyDescent="0.2">
      <c r="A18" s="1765" t="s">
        <v>1753</v>
      </c>
      <c r="B18" s="1766">
        <v>4180</v>
      </c>
      <c r="C18" s="1763">
        <f t="shared" ref="C18:H18" si="3">C9</f>
        <v>45678237</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149263278</v>
      </c>
      <c r="D19" s="1709">
        <f t="shared" si="4"/>
        <v>15786756</v>
      </c>
      <c r="E19" s="1709">
        <f t="shared" si="4"/>
        <v>1558899</v>
      </c>
      <c r="F19" s="1709">
        <f t="shared" si="4"/>
        <v>2486982</v>
      </c>
      <c r="G19" s="1709">
        <f t="shared" si="4"/>
        <v>3707942</v>
      </c>
      <c r="H19" s="1709">
        <f t="shared" si="4"/>
        <v>5936656</v>
      </c>
      <c r="I19" s="468"/>
      <c r="J19" s="1709">
        <f>SUM(J17:J18)</f>
        <v>800768</v>
      </c>
      <c r="K19" s="1709">
        <f>SUM(K17:K18)</f>
        <v>1262606</v>
      </c>
      <c r="L19" s="347"/>
    </row>
    <row r="20" spans="1:12" ht="16.5" thickTop="1" thickBot="1" x14ac:dyDescent="0.25">
      <c r="A20" s="2149" t="s">
        <v>1754</v>
      </c>
      <c r="B20" s="2150"/>
      <c r="C20" s="1767">
        <f>C8-C17</f>
        <v>6049821</v>
      </c>
      <c r="D20" s="1767">
        <f t="shared" ref="D20:K20" si="5">D8-D17</f>
        <v>2229780</v>
      </c>
      <c r="E20" s="1767">
        <f t="shared" si="5"/>
        <v>32444</v>
      </c>
      <c r="F20" s="1767">
        <f t="shared" si="5"/>
        <v>79457</v>
      </c>
      <c r="G20" s="1767">
        <f t="shared" si="5"/>
        <v>168954</v>
      </c>
      <c r="H20" s="1767">
        <f t="shared" si="5"/>
        <v>-5514996</v>
      </c>
      <c r="I20" s="1767">
        <f t="shared" si="5"/>
        <v>8768</v>
      </c>
      <c r="J20" s="1767">
        <f t="shared" si="5"/>
        <v>349477</v>
      </c>
      <c r="K20" s="1767">
        <f t="shared" si="5"/>
        <v>-138831</v>
      </c>
      <c r="L20" s="347"/>
    </row>
    <row r="21" spans="1:12" ht="16.7" customHeight="1" thickTop="1" x14ac:dyDescent="0.2">
      <c r="A21" s="2161" t="s">
        <v>616</v>
      </c>
      <c r="B21" s="2162"/>
      <c r="C21" s="1591"/>
      <c r="D21" s="1592"/>
      <c r="E21" s="1592"/>
      <c r="F21" s="1592"/>
      <c r="G21" s="1592"/>
      <c r="H21" s="1592"/>
      <c r="I21" s="1592"/>
      <c r="J21" s="1592"/>
      <c r="K21" s="1593"/>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400000</v>
      </c>
      <c r="E26" s="467">
        <v>0</v>
      </c>
      <c r="F26" s="467">
        <v>0</v>
      </c>
      <c r="G26" s="467">
        <v>0</v>
      </c>
      <c r="H26" s="467">
        <v>8400000</v>
      </c>
      <c r="I26" s="477"/>
      <c r="J26" s="467">
        <v>0</v>
      </c>
      <c r="K26" s="467">
        <v>0</v>
      </c>
      <c r="L26" s="524"/>
    </row>
    <row r="27" spans="1:12" s="485" customFormat="1" ht="13.5" customHeight="1" x14ac:dyDescent="0.2">
      <c r="A27" s="1510" t="s">
        <v>194</v>
      </c>
      <c r="B27" s="483">
        <v>7130</v>
      </c>
      <c r="C27" s="467">
        <v>0</v>
      </c>
      <c r="D27" s="467">
        <v>8400000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1895</v>
      </c>
      <c r="B30" s="527">
        <v>7160</v>
      </c>
      <c r="C30" s="477"/>
      <c r="D30" s="467">
        <v>0</v>
      </c>
      <c r="E30" s="477"/>
      <c r="F30" s="477"/>
      <c r="G30" s="477"/>
      <c r="H30" s="477"/>
      <c r="I30" s="477"/>
      <c r="J30" s="477"/>
      <c r="K30" s="477"/>
      <c r="L30" s="524"/>
    </row>
    <row r="31" spans="1:12" s="485" customFormat="1" ht="26.25" x14ac:dyDescent="0.2">
      <c r="A31" s="1510" t="s">
        <v>1899</v>
      </c>
      <c r="B31" s="527">
        <v>7170</v>
      </c>
      <c r="C31" s="477"/>
      <c r="D31" s="477"/>
      <c r="E31" s="474">
        <v>0</v>
      </c>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0" t="s">
        <v>432</v>
      </c>
      <c r="B33" s="525">
        <v>7210</v>
      </c>
      <c r="C33" s="467">
        <v>0</v>
      </c>
      <c r="D33" s="467">
        <v>0</v>
      </c>
      <c r="E33" s="467">
        <v>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0</v>
      </c>
      <c r="E36" s="467">
        <v>0</v>
      </c>
      <c r="F36" s="467">
        <v>0</v>
      </c>
      <c r="G36" s="467">
        <v>0</v>
      </c>
      <c r="H36" s="467">
        <v>0</v>
      </c>
      <c r="I36" s="475"/>
      <c r="J36" s="467">
        <v>0</v>
      </c>
      <c r="K36" s="467">
        <v>0</v>
      </c>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3" t="s">
        <v>392</v>
      </c>
      <c r="B44" s="2164"/>
      <c r="C44" s="1724">
        <f>SUM(C24:C43)</f>
        <v>0</v>
      </c>
      <c r="D44" s="1724">
        <f t="shared" ref="D44:K44" si="6">SUM(D24:D43)</f>
        <v>8800000</v>
      </c>
      <c r="E44" s="1724">
        <f t="shared" si="6"/>
        <v>0</v>
      </c>
      <c r="F44" s="1724">
        <f t="shared" si="6"/>
        <v>0</v>
      </c>
      <c r="G44" s="1724">
        <f t="shared" si="6"/>
        <v>0</v>
      </c>
      <c r="H44" s="1724">
        <f t="shared" si="6"/>
        <v>8400000</v>
      </c>
      <c r="I44" s="1724">
        <f t="shared" si="6"/>
        <v>0</v>
      </c>
      <c r="J44" s="1724">
        <f t="shared" si="6"/>
        <v>0</v>
      </c>
      <c r="K44" s="1724">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8800000</v>
      </c>
      <c r="J48" s="477"/>
      <c r="K48" s="477"/>
      <c r="L48" s="529"/>
    </row>
    <row r="49" spans="1:12" s="485" customFormat="1" x14ac:dyDescent="0.2">
      <c r="A49" s="1511" t="s">
        <v>194</v>
      </c>
      <c r="B49" s="483">
        <v>8130</v>
      </c>
      <c r="C49" s="467">
        <v>0</v>
      </c>
      <c r="D49" s="467">
        <v>8400000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9" t="s">
        <v>460</v>
      </c>
      <c r="B76" s="2140"/>
      <c r="C76" s="1724">
        <f t="shared" ref="C76:K76" si="7">SUM(C47:C75)</f>
        <v>0</v>
      </c>
      <c r="D76" s="1724">
        <f t="shared" si="7"/>
        <v>8400000</v>
      </c>
      <c r="E76" s="1724">
        <f t="shared" si="7"/>
        <v>0</v>
      </c>
      <c r="F76" s="1724">
        <f t="shared" si="7"/>
        <v>0</v>
      </c>
      <c r="G76" s="1724">
        <f t="shared" si="7"/>
        <v>0</v>
      </c>
      <c r="H76" s="1724">
        <f t="shared" si="7"/>
        <v>0</v>
      </c>
      <c r="I76" s="1724">
        <f t="shared" si="7"/>
        <v>8800000</v>
      </c>
      <c r="J76" s="1724">
        <f t="shared" si="7"/>
        <v>0</v>
      </c>
      <c r="K76" s="1724">
        <f t="shared" si="7"/>
        <v>0</v>
      </c>
      <c r="L76" s="524"/>
    </row>
    <row r="77" spans="1:12" ht="14.25" thickTop="1" thickBot="1" x14ac:dyDescent="0.25">
      <c r="A77" s="2141" t="s">
        <v>1239</v>
      </c>
      <c r="B77" s="2142"/>
      <c r="C77" s="1724">
        <f t="shared" ref="C77:K77" si="8">C44-C76</f>
        <v>0</v>
      </c>
      <c r="D77" s="1724">
        <f t="shared" si="8"/>
        <v>400000</v>
      </c>
      <c r="E77" s="1724">
        <f t="shared" si="8"/>
        <v>0</v>
      </c>
      <c r="F77" s="1724">
        <f t="shared" si="8"/>
        <v>0</v>
      </c>
      <c r="G77" s="1724">
        <f t="shared" si="8"/>
        <v>0</v>
      </c>
      <c r="H77" s="1724">
        <f t="shared" si="8"/>
        <v>8400000</v>
      </c>
      <c r="I77" s="1724">
        <f t="shared" si="8"/>
        <v>-8800000</v>
      </c>
      <c r="J77" s="1724">
        <f t="shared" si="8"/>
        <v>0</v>
      </c>
      <c r="K77" s="1724">
        <f t="shared" si="8"/>
        <v>0</v>
      </c>
      <c r="L77" s="347"/>
    </row>
    <row r="78" spans="1:12" ht="21.75" customHeight="1" thickTop="1" thickBot="1" x14ac:dyDescent="0.25">
      <c r="A78" s="2145" t="s">
        <v>618</v>
      </c>
      <c r="B78" s="2146"/>
      <c r="C78" s="1723">
        <f t="shared" ref="C78:K78" si="9">C20+C77</f>
        <v>6049821</v>
      </c>
      <c r="D78" s="1723">
        <f t="shared" si="9"/>
        <v>2629780</v>
      </c>
      <c r="E78" s="1723">
        <f t="shared" si="9"/>
        <v>32444</v>
      </c>
      <c r="F78" s="1723">
        <f t="shared" si="9"/>
        <v>79457</v>
      </c>
      <c r="G78" s="1723">
        <f t="shared" si="9"/>
        <v>168954</v>
      </c>
      <c r="H78" s="1723">
        <f t="shared" si="9"/>
        <v>2885004</v>
      </c>
      <c r="I78" s="1723">
        <f t="shared" si="9"/>
        <v>-8791232</v>
      </c>
      <c r="J78" s="1723">
        <f t="shared" si="9"/>
        <v>349477</v>
      </c>
      <c r="K78" s="1723">
        <f t="shared" si="9"/>
        <v>-138831</v>
      </c>
      <c r="L78" s="533"/>
    </row>
    <row r="79" spans="1:12" ht="13.5" thickTop="1" x14ac:dyDescent="0.2">
      <c r="A79" s="1515" t="s">
        <v>2071</v>
      </c>
      <c r="B79" s="534"/>
      <c r="C79" s="478">
        <v>78951519</v>
      </c>
      <c r="D79" s="535">
        <v>8445445</v>
      </c>
      <c r="E79" s="535">
        <v>117431</v>
      </c>
      <c r="F79" s="535">
        <v>2774429</v>
      </c>
      <c r="G79" s="535">
        <v>3645995</v>
      </c>
      <c r="H79" s="535">
        <v>3509146</v>
      </c>
      <c r="I79" s="535">
        <v>37125663</v>
      </c>
      <c r="J79" s="535">
        <v>731123</v>
      </c>
      <c r="K79" s="535">
        <v>4266641</v>
      </c>
      <c r="L79" s="347"/>
    </row>
    <row r="80" spans="1:12" x14ac:dyDescent="0.2">
      <c r="A80" s="2151" t="s">
        <v>1896</v>
      </c>
      <c r="B80" s="2152"/>
      <c r="C80" s="467">
        <v>595320</v>
      </c>
      <c r="D80" s="467"/>
      <c r="E80" s="467"/>
      <c r="F80" s="467"/>
      <c r="G80" s="467">
        <v>37326</v>
      </c>
      <c r="H80" s="467"/>
      <c r="I80" s="467"/>
      <c r="J80" s="467"/>
      <c r="K80" s="467"/>
      <c r="L80" s="347"/>
    </row>
    <row r="81" spans="1:12" ht="13.5" thickBot="1" x14ac:dyDescent="0.25">
      <c r="A81" s="2143" t="s">
        <v>2072</v>
      </c>
      <c r="B81" s="2144"/>
      <c r="C81" s="1709">
        <f>(SUM(C78:C80))</f>
        <v>85596660</v>
      </c>
      <c r="D81" s="1709">
        <f>SUM(D78:D80)</f>
        <v>11075225</v>
      </c>
      <c r="E81" s="1709">
        <f t="shared" ref="E81:K81" si="10">SUM(E78:E80)</f>
        <v>149875</v>
      </c>
      <c r="F81" s="1709">
        <f t="shared" si="10"/>
        <v>2853886</v>
      </c>
      <c r="G81" s="1709">
        <f t="shared" si="10"/>
        <v>3852275</v>
      </c>
      <c r="H81" s="1709">
        <f t="shared" si="10"/>
        <v>6394150</v>
      </c>
      <c r="I81" s="1709">
        <f t="shared" si="10"/>
        <v>28334431</v>
      </c>
      <c r="J81" s="1709">
        <f t="shared" si="10"/>
        <v>1080600</v>
      </c>
      <c r="K81" s="1709">
        <f t="shared" si="10"/>
        <v>4127810</v>
      </c>
      <c r="L81" s="347"/>
    </row>
    <row r="82" spans="1:12" ht="0.75" customHeight="1" thickTop="1" thickBot="1" x14ac:dyDescent="0.25">
      <c r="A82" s="536" t="s">
        <v>361</v>
      </c>
      <c r="B82" s="537"/>
      <c r="C82" s="538">
        <f>(C81-C79)</f>
        <v>6645141</v>
      </c>
      <c r="D82" s="538">
        <f t="shared" ref="D82:K82" si="11">(D81-D79)</f>
        <v>2629780</v>
      </c>
      <c r="E82" s="538">
        <f t="shared" si="11"/>
        <v>32444</v>
      </c>
      <c r="F82" s="538">
        <f t="shared" si="11"/>
        <v>79457</v>
      </c>
      <c r="G82" s="538">
        <f t="shared" si="11"/>
        <v>206280</v>
      </c>
      <c r="H82" s="538">
        <f t="shared" si="11"/>
        <v>2885004</v>
      </c>
      <c r="I82" s="538">
        <f t="shared" si="11"/>
        <v>-8791232</v>
      </c>
      <c r="J82" s="538">
        <f t="shared" si="11"/>
        <v>349477</v>
      </c>
      <c r="K82" s="538">
        <f t="shared" si="11"/>
        <v>-138831</v>
      </c>
    </row>
    <row r="83" spans="1:12" ht="14.25" hidden="1" thickTop="1" thickBot="1" x14ac:dyDescent="0.25">
      <c r="A83" s="539" t="s">
        <v>362</v>
      </c>
      <c r="B83" s="464"/>
      <c r="C83" s="540">
        <f>C82/C81</f>
        <v>7.7633181014305927E-2</v>
      </c>
      <c r="D83" s="540">
        <f t="shared" ref="D83:K83" si="12">D82/D81</f>
        <v>0.23744709475428263</v>
      </c>
      <c r="E83" s="540">
        <f t="shared" si="12"/>
        <v>0.21647372810675564</v>
      </c>
      <c r="F83" s="540">
        <f t="shared" si="12"/>
        <v>2.7841686738713459E-2</v>
      </c>
      <c r="G83" s="540">
        <f t="shared" si="12"/>
        <v>5.3547579027976973E-2</v>
      </c>
      <c r="H83" s="540">
        <f t="shared" si="12"/>
        <v>0.451194294785077</v>
      </c>
      <c r="I83" s="540">
        <f t="shared" si="12"/>
        <v>-0.3102667563714267</v>
      </c>
      <c r="J83" s="540">
        <f t="shared" si="12"/>
        <v>0.32341014251341849</v>
      </c>
      <c r="K83" s="540">
        <f t="shared" si="12"/>
        <v>-3.3633088732281768E-2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252" activePane="bottomLeft" state="frozen"/>
      <selection activeCell="J46" sqref="J46"/>
      <selection pane="bottomLeft" activeCell="J46" sqref="J4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1903</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87012949</v>
      </c>
      <c r="D5" s="481">
        <v>17727150</v>
      </c>
      <c r="E5" s="466">
        <v>1583754</v>
      </c>
      <c r="F5" s="548">
        <v>824597</v>
      </c>
      <c r="G5" s="466">
        <v>704121</v>
      </c>
      <c r="H5" s="466">
        <v>0</v>
      </c>
      <c r="I5" s="466">
        <v>0</v>
      </c>
      <c r="J5" s="467">
        <v>1141159</v>
      </c>
      <c r="K5" s="466">
        <v>1111005</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1535697</v>
      </c>
      <c r="D7" s="466">
        <v>0</v>
      </c>
      <c r="E7" s="468"/>
      <c r="F7" s="467">
        <v>0</v>
      </c>
      <c r="G7" s="467">
        <v>0</v>
      </c>
      <c r="H7" s="467">
        <v>0</v>
      </c>
      <c r="I7" s="468"/>
      <c r="J7" s="468"/>
      <c r="K7" s="468"/>
    </row>
    <row r="8" spans="1:12" x14ac:dyDescent="0.2">
      <c r="A8" s="463" t="s">
        <v>433</v>
      </c>
      <c r="B8" s="470">
        <v>1150</v>
      </c>
      <c r="C8" s="475"/>
      <c r="D8" s="475"/>
      <c r="E8" s="477"/>
      <c r="F8" s="477"/>
      <c r="G8" s="481">
        <v>2912415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6" t="s">
        <v>29</v>
      </c>
      <c r="B12" s="1727"/>
      <c r="C12" s="1728">
        <f t="shared" ref="C12:K12" si="0">SUM(C5:C11)</f>
        <v>88548646</v>
      </c>
      <c r="D12" s="1728">
        <f t="shared" si="0"/>
        <v>17727150</v>
      </c>
      <c r="E12" s="1728">
        <f t="shared" si="0"/>
        <v>1583754</v>
      </c>
      <c r="F12" s="1728">
        <f t="shared" si="0"/>
        <v>824597</v>
      </c>
      <c r="G12" s="1728">
        <f t="shared" si="0"/>
        <v>3616536</v>
      </c>
      <c r="H12" s="1728">
        <f t="shared" si="0"/>
        <v>0</v>
      </c>
      <c r="I12" s="1728">
        <f t="shared" si="0"/>
        <v>0</v>
      </c>
      <c r="J12" s="1728">
        <f t="shared" si="0"/>
        <v>1141159</v>
      </c>
      <c r="K12" s="1709">
        <f t="shared" si="0"/>
        <v>1111005</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4290864</v>
      </c>
      <c r="D16" s="466">
        <v>0</v>
      </c>
      <c r="E16" s="466">
        <v>0</v>
      </c>
      <c r="F16" s="466">
        <v>0</v>
      </c>
      <c r="G16" s="466">
        <v>269034</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9" t="s">
        <v>558</v>
      </c>
      <c r="B18" s="1730"/>
      <c r="C18" s="1731">
        <f>SUM(C14:C17)</f>
        <v>4290864</v>
      </c>
      <c r="D18" s="1731">
        <f t="shared" ref="D18:K18" si="1">SUM(D14:D17)</f>
        <v>0</v>
      </c>
      <c r="E18" s="1731">
        <f t="shared" si="1"/>
        <v>0</v>
      </c>
      <c r="F18" s="1731">
        <f t="shared" si="1"/>
        <v>0</v>
      </c>
      <c r="G18" s="1731">
        <f t="shared" si="1"/>
        <v>269034</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35520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733372</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9" t="s">
        <v>559</v>
      </c>
      <c r="B40" s="1730"/>
      <c r="C40" s="1709">
        <f>SUM(C20:C39)</f>
        <v>768892</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219032</v>
      </c>
      <c r="D65" s="466">
        <v>74927</v>
      </c>
      <c r="E65" s="466">
        <v>7589</v>
      </c>
      <c r="F65" s="467">
        <v>29162</v>
      </c>
      <c r="G65" s="466">
        <v>-8674</v>
      </c>
      <c r="H65" s="466">
        <v>71565</v>
      </c>
      <c r="I65" s="466">
        <v>8768</v>
      </c>
      <c r="J65" s="467">
        <v>9086</v>
      </c>
      <c r="K65" s="466">
        <v>12770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9" t="s">
        <v>507</v>
      </c>
      <c r="B67" s="1730"/>
      <c r="C67" s="1709">
        <f>SUM(C65:C66)</f>
        <v>219032</v>
      </c>
      <c r="D67" s="1709">
        <f t="shared" ref="D67:K67" si="2">SUM(D65:D66)</f>
        <v>74927</v>
      </c>
      <c r="E67" s="1709">
        <f t="shared" si="2"/>
        <v>7589</v>
      </c>
      <c r="F67" s="1709">
        <f t="shared" si="2"/>
        <v>29162</v>
      </c>
      <c r="G67" s="1709">
        <f t="shared" si="2"/>
        <v>-8674</v>
      </c>
      <c r="H67" s="1709">
        <f t="shared" si="2"/>
        <v>71565</v>
      </c>
      <c r="I67" s="1709">
        <f t="shared" si="2"/>
        <v>8768</v>
      </c>
      <c r="J67" s="1709">
        <f t="shared" si="2"/>
        <v>9086</v>
      </c>
      <c r="K67" s="1709">
        <f t="shared" si="2"/>
        <v>12770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129725</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569</v>
      </c>
      <c r="B75" s="1730"/>
      <c r="C75" s="1709">
        <f>SUM(C69:C74)</f>
        <v>129725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263022</v>
      </c>
      <c r="D77" s="466">
        <v>0</v>
      </c>
      <c r="E77" s="468"/>
      <c r="F77" s="468"/>
      <c r="G77" s="468"/>
      <c r="H77" s="468"/>
      <c r="I77" s="468"/>
      <c r="J77" s="468"/>
      <c r="K77" s="468"/>
    </row>
    <row r="78" spans="1:11" ht="12.75" customHeight="1" x14ac:dyDescent="0.2">
      <c r="A78" s="463" t="s">
        <v>78</v>
      </c>
      <c r="B78" s="470">
        <v>1719</v>
      </c>
      <c r="C78" s="551">
        <v>23680</v>
      </c>
      <c r="D78" s="466">
        <v>0</v>
      </c>
      <c r="E78" s="468"/>
      <c r="F78" s="468"/>
      <c r="G78" s="468"/>
      <c r="H78" s="468"/>
      <c r="I78" s="468"/>
      <c r="J78" s="468"/>
      <c r="K78" s="468"/>
    </row>
    <row r="79" spans="1:11" ht="12.75" customHeight="1" x14ac:dyDescent="0.2">
      <c r="A79" s="463" t="s">
        <v>571</v>
      </c>
      <c r="B79" s="470">
        <v>1720</v>
      </c>
      <c r="C79" s="551">
        <v>8892</v>
      </c>
      <c r="D79" s="466">
        <v>0</v>
      </c>
      <c r="E79" s="468"/>
      <c r="F79" s="468"/>
      <c r="G79" s="468"/>
      <c r="H79" s="468"/>
      <c r="I79" s="468"/>
      <c r="J79" s="468"/>
      <c r="K79" s="468"/>
    </row>
    <row r="80" spans="1:11" ht="12.75" customHeight="1" x14ac:dyDescent="0.2">
      <c r="A80" s="463" t="s">
        <v>572</v>
      </c>
      <c r="B80" s="470">
        <v>1730</v>
      </c>
      <c r="C80" s="551">
        <v>1497127</v>
      </c>
      <c r="D80" s="466">
        <v>0</v>
      </c>
      <c r="E80" s="468"/>
      <c r="F80" s="468"/>
      <c r="G80" s="468"/>
      <c r="H80" s="468"/>
      <c r="I80" s="468"/>
      <c r="J80" s="468"/>
      <c r="K80" s="468"/>
    </row>
    <row r="81" spans="1:11" ht="12.75" customHeight="1" x14ac:dyDescent="0.2">
      <c r="A81" s="463" t="s">
        <v>26</v>
      </c>
      <c r="B81" s="470">
        <v>1790</v>
      </c>
      <c r="C81" s="551">
        <v>168754</v>
      </c>
      <c r="D81" s="466">
        <v>0</v>
      </c>
      <c r="E81" s="468"/>
      <c r="F81" s="468"/>
      <c r="G81" s="468"/>
      <c r="H81" s="468"/>
      <c r="I81" s="468"/>
      <c r="J81" s="468"/>
      <c r="K81" s="468"/>
    </row>
    <row r="82" spans="1:11" ht="12.75" customHeight="1" thickBot="1" x14ac:dyDescent="0.25">
      <c r="A82" s="1729" t="s">
        <v>259</v>
      </c>
      <c r="B82" s="1730"/>
      <c r="C82" s="1728">
        <f>SUM(C77:C81)</f>
        <v>1961475</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618</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9" t="s">
        <v>261</v>
      </c>
      <c r="B93" s="1730"/>
      <c r="C93" s="1709">
        <f>SUM(C84:C92)</f>
        <v>618</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77725</v>
      </c>
      <c r="D95" s="551">
        <v>23603</v>
      </c>
      <c r="E95" s="521"/>
      <c r="F95" s="521"/>
      <c r="G95" s="521"/>
      <c r="H95" s="521"/>
      <c r="I95" s="521"/>
      <c r="J95" s="521"/>
      <c r="K95" s="521"/>
    </row>
    <row r="96" spans="1:11" ht="12.75" customHeight="1" x14ac:dyDescent="0.2">
      <c r="A96" s="463" t="s">
        <v>409</v>
      </c>
      <c r="B96" s="470">
        <v>1920</v>
      </c>
      <c r="C96" s="551">
        <v>45832</v>
      </c>
      <c r="D96" s="551">
        <v>0</v>
      </c>
      <c r="E96" s="479">
        <v>0</v>
      </c>
      <c r="F96" s="478">
        <v>0</v>
      </c>
      <c r="G96" s="478">
        <v>0</v>
      </c>
      <c r="H96" s="478">
        <v>0</v>
      </c>
      <c r="I96" s="478">
        <v>0</v>
      </c>
      <c r="J96" s="478">
        <v>0</v>
      </c>
      <c r="K96" s="478">
        <v>0</v>
      </c>
    </row>
    <row r="97" spans="1:12" ht="12.75" customHeight="1" x14ac:dyDescent="0.2">
      <c r="A97" s="1516" t="s">
        <v>262</v>
      </c>
      <c r="B97" s="559">
        <v>1930</v>
      </c>
      <c r="C97" s="489">
        <v>13827</v>
      </c>
      <c r="D97" s="467">
        <v>0</v>
      </c>
      <c r="E97" s="474">
        <v>0</v>
      </c>
      <c r="F97" s="467">
        <v>0</v>
      </c>
      <c r="G97" s="467">
        <v>0</v>
      </c>
      <c r="H97" s="467">
        <v>0</v>
      </c>
      <c r="I97" s="467">
        <v>0</v>
      </c>
      <c r="J97" s="467">
        <v>0</v>
      </c>
      <c r="K97" s="467">
        <v>0</v>
      </c>
    </row>
    <row r="98" spans="1:12" ht="12.75" customHeight="1" x14ac:dyDescent="0.2">
      <c r="A98" s="463" t="s">
        <v>198</v>
      </c>
      <c r="B98" s="470">
        <v>1940</v>
      </c>
      <c r="C98" s="489">
        <v>1966</v>
      </c>
      <c r="D98" s="466">
        <v>0</v>
      </c>
      <c r="E98" s="512"/>
      <c r="F98" s="466">
        <v>0</v>
      </c>
      <c r="G98" s="512"/>
      <c r="H98" s="512"/>
      <c r="I98" s="510"/>
      <c r="J98" s="512"/>
      <c r="K98" s="512"/>
    </row>
    <row r="99" spans="1:12" ht="12.75" customHeight="1" x14ac:dyDescent="0.2">
      <c r="A99" s="463" t="s">
        <v>875</v>
      </c>
      <c r="B99" s="470">
        <v>1950</v>
      </c>
      <c r="C99" s="489">
        <v>84023</v>
      </c>
      <c r="D99" s="466">
        <v>249</v>
      </c>
      <c r="E99" s="466">
        <v>0</v>
      </c>
      <c r="F99" s="466">
        <v>0</v>
      </c>
      <c r="G99" s="466">
        <v>0</v>
      </c>
      <c r="H99" s="466">
        <v>0</v>
      </c>
      <c r="I99" s="468"/>
      <c r="J99" s="467">
        <v>0</v>
      </c>
      <c r="K99" s="466">
        <v>0</v>
      </c>
    </row>
    <row r="100" spans="1:12" ht="12.75" customHeight="1" x14ac:dyDescent="0.2">
      <c r="A100" s="463" t="s">
        <v>263</v>
      </c>
      <c r="B100" s="470">
        <v>1960</v>
      </c>
      <c r="C100" s="489">
        <v>137078</v>
      </c>
      <c r="D100" s="489">
        <v>0</v>
      </c>
      <c r="E100" s="489">
        <v>0</v>
      </c>
      <c r="F100" s="489">
        <v>0</v>
      </c>
      <c r="G100" s="489">
        <v>0</v>
      </c>
      <c r="H100" s="489">
        <v>0</v>
      </c>
      <c r="I100" s="467">
        <v>0</v>
      </c>
      <c r="J100" s="489">
        <v>0</v>
      </c>
      <c r="K100" s="467">
        <v>0</v>
      </c>
    </row>
    <row r="101" spans="1:12" ht="12.75" customHeight="1" x14ac:dyDescent="0.2">
      <c r="A101" s="463" t="s">
        <v>264</v>
      </c>
      <c r="B101" s="470">
        <v>1970</v>
      </c>
      <c r="C101" s="489">
        <v>61170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87175</v>
      </c>
      <c r="D106" s="489">
        <v>1760</v>
      </c>
      <c r="E106" s="467">
        <v>0</v>
      </c>
      <c r="F106" s="467">
        <v>0</v>
      </c>
      <c r="G106" s="467">
        <v>0</v>
      </c>
      <c r="H106" s="467">
        <v>0</v>
      </c>
      <c r="I106" s="521"/>
      <c r="J106" s="467">
        <v>0</v>
      </c>
      <c r="K106" s="467">
        <v>0</v>
      </c>
    </row>
    <row r="107" spans="1:12" ht="12.75" customHeight="1" x14ac:dyDescent="0.2">
      <c r="A107" s="463" t="s">
        <v>80</v>
      </c>
      <c r="B107" s="470">
        <v>1999</v>
      </c>
      <c r="C107" s="551">
        <v>1471842</v>
      </c>
      <c r="D107" s="466">
        <v>188847</v>
      </c>
      <c r="E107" s="466">
        <v>0</v>
      </c>
      <c r="F107" s="466">
        <v>0</v>
      </c>
      <c r="G107" s="466">
        <v>0</v>
      </c>
      <c r="H107" s="466">
        <v>350095</v>
      </c>
      <c r="I107" s="466">
        <v>0</v>
      </c>
      <c r="J107" s="467">
        <v>0</v>
      </c>
      <c r="K107" s="466">
        <v>0</v>
      </c>
    </row>
    <row r="108" spans="1:12" ht="12.75" customHeight="1" thickBot="1" x14ac:dyDescent="0.25">
      <c r="A108" s="1729" t="s">
        <v>508</v>
      </c>
      <c r="B108" s="1733"/>
      <c r="C108" s="1728">
        <f>SUM(C95:C107)</f>
        <v>1980638</v>
      </c>
      <c r="D108" s="1728">
        <f t="shared" ref="D108:K108" si="3">SUM(D95:D107)</f>
        <v>214459</v>
      </c>
      <c r="E108" s="1728">
        <f t="shared" si="3"/>
        <v>0</v>
      </c>
      <c r="F108" s="1728">
        <f t="shared" si="3"/>
        <v>0</v>
      </c>
      <c r="G108" s="1728">
        <f t="shared" si="3"/>
        <v>0</v>
      </c>
      <c r="H108" s="1728">
        <f t="shared" si="3"/>
        <v>350095</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97899890</v>
      </c>
      <c r="D109" s="1736">
        <f t="shared" si="4"/>
        <v>18016536</v>
      </c>
      <c r="E109" s="1736">
        <f t="shared" si="4"/>
        <v>1591343</v>
      </c>
      <c r="F109" s="1736">
        <f t="shared" si="4"/>
        <v>853759</v>
      </c>
      <c r="G109" s="1736">
        <f t="shared" si="4"/>
        <v>3876896</v>
      </c>
      <c r="H109" s="1736">
        <f t="shared" si="4"/>
        <v>421660</v>
      </c>
      <c r="I109" s="1736">
        <f t="shared" si="4"/>
        <v>8768</v>
      </c>
      <c r="J109" s="1736">
        <f t="shared" si="4"/>
        <v>1150245</v>
      </c>
      <c r="K109" s="1723">
        <f t="shared" si="4"/>
        <v>1123775</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5595822</v>
      </c>
      <c r="D117" s="481">
        <v>0</v>
      </c>
      <c r="E117" s="466">
        <v>0</v>
      </c>
      <c r="F117" s="481">
        <v>0</v>
      </c>
      <c r="G117" s="481">
        <v>0</v>
      </c>
      <c r="H117" s="466">
        <v>0</v>
      </c>
      <c r="I117" s="468"/>
      <c r="J117" s="467">
        <v>0</v>
      </c>
      <c r="K117" s="466">
        <v>0</v>
      </c>
    </row>
    <row r="118" spans="1:11" ht="12.75" customHeight="1" x14ac:dyDescent="0.2">
      <c r="A118" s="463" t="s">
        <v>1900</v>
      </c>
      <c r="B118" s="562">
        <v>3002</v>
      </c>
      <c r="C118" s="551">
        <v>0</v>
      </c>
      <c r="D118" s="466">
        <v>0</v>
      </c>
      <c r="E118" s="466">
        <v>0</v>
      </c>
      <c r="F118" s="466">
        <v>0</v>
      </c>
      <c r="G118" s="466">
        <v>0</v>
      </c>
      <c r="H118" s="466">
        <v>0</v>
      </c>
      <c r="I118" s="468"/>
      <c r="J118" s="467">
        <v>0</v>
      </c>
      <c r="K118" s="466">
        <v>0</v>
      </c>
    </row>
    <row r="119" spans="1:11" ht="12.75" customHeight="1" x14ac:dyDescent="0.2">
      <c r="A119" s="463" t="s">
        <v>1901</v>
      </c>
      <c r="B119" s="562">
        <v>3005</v>
      </c>
      <c r="C119" s="551">
        <v>0</v>
      </c>
      <c r="D119" s="466">
        <v>0</v>
      </c>
      <c r="E119" s="466">
        <v>0</v>
      </c>
      <c r="F119" s="466">
        <v>0</v>
      </c>
      <c r="G119" s="466">
        <v>0</v>
      </c>
      <c r="H119" s="466">
        <v>0</v>
      </c>
      <c r="I119" s="468"/>
      <c r="J119" s="467">
        <v>0</v>
      </c>
      <c r="K119" s="466">
        <v>0</v>
      </c>
    </row>
    <row r="120" spans="1:11" x14ac:dyDescent="0.2">
      <c r="A120" s="1517" t="s">
        <v>1902</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509</v>
      </c>
      <c r="B121" s="1740"/>
      <c r="C121" s="1728">
        <f t="shared" ref="C121:H121" si="5">SUM(C117:C120)</f>
        <v>5595822</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737592</v>
      </c>
      <c r="D124" s="561"/>
      <c r="E124" s="468"/>
      <c r="F124" s="548">
        <v>0</v>
      </c>
      <c r="G124" s="468"/>
      <c r="H124" s="468"/>
      <c r="I124" s="468"/>
      <c r="J124" s="468"/>
      <c r="K124" s="468"/>
    </row>
    <row r="125" spans="1:11" ht="12.75" customHeight="1" x14ac:dyDescent="0.2">
      <c r="A125" s="463" t="s">
        <v>1521</v>
      </c>
      <c r="B125" s="562">
        <v>3105</v>
      </c>
      <c r="C125" s="466">
        <v>421043</v>
      </c>
      <c r="D125" s="561"/>
      <c r="E125" s="468"/>
      <c r="F125" s="466">
        <v>0</v>
      </c>
      <c r="G125" s="468"/>
      <c r="H125" s="468"/>
      <c r="I125" s="468"/>
      <c r="J125" s="468"/>
      <c r="K125" s="468"/>
    </row>
    <row r="126" spans="1:11" ht="12.75" customHeight="1" x14ac:dyDescent="0.2">
      <c r="A126" s="463" t="s">
        <v>922</v>
      </c>
      <c r="B126" s="562">
        <v>3110</v>
      </c>
      <c r="C126" s="551">
        <v>502379</v>
      </c>
      <c r="D126" s="466">
        <v>0</v>
      </c>
      <c r="E126" s="468"/>
      <c r="F126" s="466">
        <v>0</v>
      </c>
      <c r="G126" s="468"/>
      <c r="H126" s="468"/>
      <c r="I126" s="468"/>
      <c r="J126" s="468"/>
      <c r="K126" s="468"/>
    </row>
    <row r="127" spans="1:11" ht="12.75" customHeight="1" x14ac:dyDescent="0.2">
      <c r="A127" s="463" t="s">
        <v>107</v>
      </c>
      <c r="B127" s="562">
        <v>3120</v>
      </c>
      <c r="C127" s="466">
        <v>276643</v>
      </c>
      <c r="D127" s="561"/>
      <c r="E127" s="468"/>
      <c r="F127" s="466">
        <v>0</v>
      </c>
      <c r="G127" s="468"/>
      <c r="H127" s="468"/>
      <c r="I127" s="468"/>
      <c r="J127" s="468"/>
      <c r="K127" s="468"/>
    </row>
    <row r="128" spans="1:11" ht="12.75" customHeight="1" x14ac:dyDescent="0.2">
      <c r="A128" s="463" t="s">
        <v>1522</v>
      </c>
      <c r="B128" s="562">
        <v>3130</v>
      </c>
      <c r="C128" s="466">
        <v>16860</v>
      </c>
      <c r="D128" s="561"/>
      <c r="E128" s="468"/>
      <c r="F128" s="466">
        <v>0</v>
      </c>
      <c r="G128" s="468"/>
      <c r="H128" s="468"/>
      <c r="I128" s="468"/>
      <c r="J128" s="468"/>
      <c r="K128" s="468"/>
    </row>
    <row r="129" spans="1:11" ht="12.75" customHeight="1" x14ac:dyDescent="0.2">
      <c r="A129" s="463" t="s">
        <v>139</v>
      </c>
      <c r="B129" s="562">
        <v>3145</v>
      </c>
      <c r="C129" s="466">
        <v>12957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1092</v>
      </c>
      <c r="B131" s="1741"/>
      <c r="C131" s="1728">
        <f>SUM(C124:C130)</f>
        <v>1967474</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292010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624</v>
      </c>
      <c r="B140" s="1741"/>
      <c r="C140" s="1728">
        <f>SUM(C133:C139)</f>
        <v>292010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93452</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9" t="s">
        <v>414</v>
      </c>
      <c r="B144" s="1741"/>
      <c r="C144" s="1709">
        <f>SUM(C142:C143)</f>
        <v>93452</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0</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88429</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3772</v>
      </c>
      <c r="G151" s="467">
        <v>0</v>
      </c>
      <c r="H151" s="468"/>
      <c r="I151" s="468"/>
      <c r="J151" s="468"/>
      <c r="K151" s="468"/>
    </row>
    <row r="152" spans="1:11" ht="12.75" customHeight="1" x14ac:dyDescent="0.2">
      <c r="A152" s="463" t="s">
        <v>1117</v>
      </c>
      <c r="B152" s="562">
        <v>3510</v>
      </c>
      <c r="C152" s="551">
        <v>0</v>
      </c>
      <c r="D152" s="466">
        <v>0</v>
      </c>
      <c r="E152" s="561"/>
      <c r="F152" s="466">
        <v>1708908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0</v>
      </c>
      <c r="D154" s="1728">
        <f>SUM(D151:D153)</f>
        <v>0</v>
      </c>
      <c r="E154" s="561"/>
      <c r="F154" s="1728">
        <f>SUM(F151:F153)</f>
        <v>1712680</v>
      </c>
      <c r="G154" s="1728">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8753</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61880</v>
      </c>
      <c r="D171" s="580">
        <v>0</v>
      </c>
      <c r="E171" s="580">
        <v>0</v>
      </c>
      <c r="F171" s="580">
        <v>0</v>
      </c>
      <c r="G171" s="581">
        <v>0</v>
      </c>
      <c r="H171" s="582">
        <v>0</v>
      </c>
      <c r="I171" s="581">
        <v>0</v>
      </c>
      <c r="J171" s="581">
        <v>0</v>
      </c>
      <c r="K171" s="582">
        <v>0</v>
      </c>
    </row>
    <row r="172" spans="1:11" ht="12.75" customHeight="1" thickTop="1" thickBot="1" x14ac:dyDescent="0.25">
      <c r="A172" s="2167" t="s">
        <v>418</v>
      </c>
      <c r="B172" s="2168"/>
      <c r="C172" s="1743">
        <f t="shared" ref="C172:K172" si="6">SUM(C131,C140,C144,C145:C149,C154,C155:C170,C171)</f>
        <v>2511998</v>
      </c>
      <c r="D172" s="1743">
        <f t="shared" si="6"/>
        <v>0</v>
      </c>
      <c r="E172" s="1743">
        <f t="shared" si="6"/>
        <v>0</v>
      </c>
      <c r="F172" s="1743">
        <f t="shared" si="6"/>
        <v>1712680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8107820</v>
      </c>
      <c r="D173" s="1736">
        <f>SUM(D121,D172)</f>
        <v>0</v>
      </c>
      <c r="E173" s="1736">
        <f>SUM(E121,E172)</f>
        <v>0</v>
      </c>
      <c r="F173" s="1736">
        <f t="shared" ref="F173:K173" si="7">SUM(F121,F172)</f>
        <v>1712680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73" t="s">
        <v>1764</v>
      </c>
      <c r="B178" s="217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5" t="s">
        <v>818</v>
      </c>
      <c r="B184" s="217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1" t="s">
        <v>1904</v>
      </c>
      <c r="B185" s="2172"/>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23751</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569</v>
      </c>
      <c r="B201" s="1730"/>
      <c r="C201" s="1709">
        <f>SUM(C193:C200)</f>
        <v>23751</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838720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9" t="s">
        <v>420</v>
      </c>
      <c r="B211" s="1730"/>
      <c r="C211" s="1728">
        <f>SUM(C203:C210)</f>
        <v>838720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15409</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944</v>
      </c>
      <c r="B216" s="1730"/>
      <c r="C216" s="1728">
        <f>SUM(C213:C215)</f>
        <v>15409</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1343361</v>
      </c>
      <c r="D220" s="466">
        <v>0</v>
      </c>
      <c r="E220" s="468"/>
      <c r="F220" s="466">
        <v>0</v>
      </c>
      <c r="G220" s="466">
        <v>0</v>
      </c>
      <c r="H220" s="468"/>
      <c r="I220" s="468"/>
      <c r="J220" s="468"/>
      <c r="K220" s="468"/>
    </row>
    <row r="221" spans="1:11" ht="12.75" customHeight="1" x14ac:dyDescent="0.2">
      <c r="A221" s="463" t="s">
        <v>1114</v>
      </c>
      <c r="B221" s="470">
        <v>4625</v>
      </c>
      <c r="C221" s="551">
        <v>138756</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467</v>
      </c>
      <c r="B224" s="1730"/>
      <c r="C224" s="1728">
        <f>SUM(C218:C223)</f>
        <v>1482117</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141885</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1145</v>
      </c>
      <c r="B228" s="1745"/>
      <c r="C228" s="1728">
        <f>SUM(C226:C227)</f>
        <v>141885</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v>0</v>
      </c>
      <c r="D260" s="469"/>
      <c r="E260" s="468"/>
      <c r="F260" s="468"/>
      <c r="G260" s="468"/>
      <c r="H260" s="468"/>
      <c r="I260" s="468"/>
      <c r="J260" s="468"/>
      <c r="K260" s="468"/>
    </row>
    <row r="261" spans="1:11" ht="12.75" customHeight="1" thickTop="1" thickBot="1" x14ac:dyDescent="0.25">
      <c r="A261" s="1524"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13855</v>
      </c>
      <c r="D263" s="468"/>
      <c r="E263" s="468"/>
      <c r="F263" s="578">
        <v>0</v>
      </c>
      <c r="G263" s="573">
        <v>0</v>
      </c>
      <c r="H263" s="468"/>
      <c r="I263" s="468"/>
      <c r="J263" s="468"/>
      <c r="K263" s="468"/>
    </row>
    <row r="264" spans="1:11" ht="12.75" customHeight="1" thickTop="1" thickBot="1" x14ac:dyDescent="0.25">
      <c r="A264" s="463" t="s">
        <v>1532</v>
      </c>
      <c r="B264" s="470">
        <v>4909</v>
      </c>
      <c r="C264" s="576">
        <v>23338</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108451</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88911</v>
      </c>
      <c r="D270" s="576">
        <v>0</v>
      </c>
      <c r="E270" s="468"/>
      <c r="F270" s="576">
        <v>0</v>
      </c>
      <c r="G270" s="576">
        <v>0</v>
      </c>
      <c r="H270" s="468"/>
      <c r="I270" s="468"/>
      <c r="J270" s="468"/>
      <c r="K270" s="468"/>
    </row>
    <row r="271" spans="1:11" ht="12.75" customHeight="1" thickTop="1" thickBot="1" x14ac:dyDescent="0.25">
      <c r="A271" s="463" t="s">
        <v>395</v>
      </c>
      <c r="B271" s="470">
        <v>4992</v>
      </c>
      <c r="C271" s="575">
        <v>373246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517469</v>
      </c>
      <c r="D272" s="576">
        <v>0</v>
      </c>
      <c r="E272" s="468"/>
      <c r="F272" s="576">
        <v>0</v>
      </c>
      <c r="G272" s="576">
        <v>0</v>
      </c>
      <c r="H272" s="530">
        <v>0</v>
      </c>
      <c r="I272" s="468"/>
      <c r="J272" s="468"/>
      <c r="K272" s="530">
        <v>0</v>
      </c>
    </row>
    <row r="273" spans="1:11" ht="14.25" thickTop="1" thickBot="1" x14ac:dyDescent="0.25">
      <c r="A273" s="1729" t="s">
        <v>1765</v>
      </c>
      <c r="B273" s="1748"/>
      <c r="C273" s="1736">
        <f t="shared" ref="C273:H273" si="10">SUM(C191,C201,C211,C216,C224,C228,C229,C259:C272)</f>
        <v>3627152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3627152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109634862</v>
      </c>
      <c r="D275" s="1736">
        <f t="shared" si="12"/>
        <v>18016536</v>
      </c>
      <c r="E275" s="1736">
        <f t="shared" si="12"/>
        <v>1591343</v>
      </c>
      <c r="F275" s="1736">
        <f t="shared" si="12"/>
        <v>2566439</v>
      </c>
      <c r="G275" s="1736">
        <f t="shared" si="12"/>
        <v>3876896</v>
      </c>
      <c r="H275" s="1736">
        <f t="shared" si="12"/>
        <v>421660</v>
      </c>
      <c r="I275" s="1736">
        <f t="shared" si="12"/>
        <v>8768</v>
      </c>
      <c r="J275" s="1736">
        <f t="shared" si="12"/>
        <v>1150245</v>
      </c>
      <c r="K275" s="1723">
        <f t="shared" si="12"/>
        <v>1123775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46" sqref="J46"/>
      <selection pane="bottomLeft" activeCell="J46" sqref="J4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40553645</v>
      </c>
      <c r="D5" s="466">
        <v>5328479</v>
      </c>
      <c r="E5" s="466">
        <v>975168</v>
      </c>
      <c r="F5" s="466">
        <v>3025507</v>
      </c>
      <c r="G5" s="466">
        <v>12878</v>
      </c>
      <c r="H5" s="466">
        <v>368722</v>
      </c>
      <c r="I5" s="467">
        <v>0</v>
      </c>
      <c r="J5" s="467">
        <v>0</v>
      </c>
      <c r="K5" s="1692">
        <f>SUM(C5:J5)</f>
        <v>50264399</v>
      </c>
      <c r="L5" s="466">
        <v>51241835</v>
      </c>
    </row>
    <row r="6" spans="1:14" x14ac:dyDescent="0.2">
      <c r="A6" s="1525" t="s">
        <v>1508</v>
      </c>
      <c r="B6" s="615" t="s">
        <v>1506</v>
      </c>
      <c r="C6" s="477"/>
      <c r="D6" s="477"/>
      <c r="E6" s="466">
        <v>0</v>
      </c>
      <c r="F6" s="477"/>
      <c r="G6" s="477"/>
      <c r="H6" s="477"/>
      <c r="I6" s="477"/>
      <c r="J6" s="477"/>
      <c r="K6" s="1692">
        <f>SUM(C6,E6)</f>
        <v>0</v>
      </c>
      <c r="L6" s="466">
        <v>0</v>
      </c>
    </row>
    <row r="7" spans="1:14" x14ac:dyDescent="0.2">
      <c r="A7" s="1525" t="s">
        <v>165</v>
      </c>
      <c r="B7" s="615" t="s">
        <v>1024</v>
      </c>
      <c r="C7" s="467">
        <v>0</v>
      </c>
      <c r="D7" s="467">
        <v>0</v>
      </c>
      <c r="E7" s="467">
        <v>0</v>
      </c>
      <c r="F7" s="467">
        <v>0</v>
      </c>
      <c r="G7" s="467">
        <v>0</v>
      </c>
      <c r="H7" s="467">
        <v>0</v>
      </c>
      <c r="I7" s="467">
        <v>0</v>
      </c>
      <c r="J7" s="467">
        <v>0</v>
      </c>
      <c r="K7" s="1692">
        <f t="shared" ref="K7:K32" si="0">SUM(C7:J7)</f>
        <v>0</v>
      </c>
      <c r="L7" s="466">
        <v>0</v>
      </c>
    </row>
    <row r="8" spans="1:14" x14ac:dyDescent="0.2">
      <c r="A8" s="1525" t="s">
        <v>166</v>
      </c>
      <c r="B8" s="615">
        <v>1200</v>
      </c>
      <c r="C8" s="466">
        <v>9884586</v>
      </c>
      <c r="D8" s="466">
        <v>1681793</v>
      </c>
      <c r="E8" s="466">
        <v>19585</v>
      </c>
      <c r="F8" s="466">
        <v>81996</v>
      </c>
      <c r="G8" s="466">
        <v>0</v>
      </c>
      <c r="H8" s="466">
        <v>0</v>
      </c>
      <c r="I8" s="467">
        <v>6461</v>
      </c>
      <c r="J8" s="467">
        <v>0</v>
      </c>
      <c r="K8" s="1692">
        <f t="shared" si="0"/>
        <v>11674421</v>
      </c>
      <c r="L8" s="466">
        <v>12664592</v>
      </c>
    </row>
    <row r="9" spans="1:14" x14ac:dyDescent="0.2">
      <c r="A9" s="1525" t="s">
        <v>745</v>
      </c>
      <c r="B9" s="615" t="s">
        <v>1025</v>
      </c>
      <c r="C9" s="467">
        <v>0</v>
      </c>
      <c r="D9" s="467">
        <v>0</v>
      </c>
      <c r="E9" s="467">
        <v>0</v>
      </c>
      <c r="F9" s="467">
        <v>0</v>
      </c>
      <c r="G9" s="467">
        <v>0</v>
      </c>
      <c r="H9" s="467">
        <v>0</v>
      </c>
      <c r="I9" s="467">
        <v>0</v>
      </c>
      <c r="J9" s="467">
        <v>0</v>
      </c>
      <c r="K9" s="1692">
        <f t="shared" si="0"/>
        <v>0</v>
      </c>
      <c r="L9" s="466">
        <v>0</v>
      </c>
    </row>
    <row r="10" spans="1:14" x14ac:dyDescent="0.2">
      <c r="A10" s="1525" t="s">
        <v>746</v>
      </c>
      <c r="B10" s="615">
        <v>1250</v>
      </c>
      <c r="C10" s="466">
        <v>471107</v>
      </c>
      <c r="D10" s="466">
        <v>135342</v>
      </c>
      <c r="E10" s="466">
        <v>60686</v>
      </c>
      <c r="F10" s="466">
        <v>17484</v>
      </c>
      <c r="G10" s="466">
        <v>0</v>
      </c>
      <c r="H10" s="466">
        <v>0</v>
      </c>
      <c r="I10" s="467">
        <v>0</v>
      </c>
      <c r="J10" s="467">
        <v>0</v>
      </c>
      <c r="K10" s="1692">
        <f t="shared" si="0"/>
        <v>684619</v>
      </c>
      <c r="L10" s="466">
        <v>580486</v>
      </c>
    </row>
    <row r="11" spans="1:14" x14ac:dyDescent="0.2">
      <c r="A11" s="1525" t="s">
        <v>1192</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1019</v>
      </c>
      <c r="B12" s="615">
        <v>1300</v>
      </c>
      <c r="C12" s="466">
        <v>0</v>
      </c>
      <c r="D12" s="466">
        <v>0</v>
      </c>
      <c r="E12" s="466">
        <v>0</v>
      </c>
      <c r="F12" s="466">
        <v>0</v>
      </c>
      <c r="G12" s="466">
        <v>0</v>
      </c>
      <c r="H12" s="466">
        <v>0</v>
      </c>
      <c r="I12" s="467">
        <v>0</v>
      </c>
      <c r="J12" s="467">
        <v>0</v>
      </c>
      <c r="K12" s="1692">
        <f t="shared" si="0"/>
        <v>0</v>
      </c>
      <c r="L12" s="466">
        <v>0</v>
      </c>
    </row>
    <row r="13" spans="1:14" x14ac:dyDescent="0.2">
      <c r="A13" s="1525" t="s">
        <v>747</v>
      </c>
      <c r="B13" s="615">
        <v>1400</v>
      </c>
      <c r="C13" s="466">
        <v>4550712</v>
      </c>
      <c r="D13" s="466">
        <v>588133</v>
      </c>
      <c r="E13" s="466">
        <v>68353</v>
      </c>
      <c r="F13" s="466">
        <v>250258</v>
      </c>
      <c r="G13" s="466">
        <v>56046</v>
      </c>
      <c r="H13" s="466">
        <v>19605</v>
      </c>
      <c r="I13" s="467">
        <v>50424</v>
      </c>
      <c r="J13" s="467">
        <v>0</v>
      </c>
      <c r="K13" s="1692">
        <f t="shared" si="0"/>
        <v>5583531</v>
      </c>
      <c r="L13" s="466">
        <v>5848948</v>
      </c>
    </row>
    <row r="14" spans="1:14" x14ac:dyDescent="0.2">
      <c r="A14" s="1525" t="s">
        <v>1020</v>
      </c>
      <c r="B14" s="615">
        <v>1500</v>
      </c>
      <c r="C14" s="466">
        <v>2657820</v>
      </c>
      <c r="D14" s="466">
        <v>67441</v>
      </c>
      <c r="E14" s="466">
        <v>478841</v>
      </c>
      <c r="F14" s="466">
        <v>357209</v>
      </c>
      <c r="G14" s="466">
        <v>0</v>
      </c>
      <c r="H14" s="466">
        <v>49189</v>
      </c>
      <c r="I14" s="467">
        <v>0</v>
      </c>
      <c r="J14" s="467">
        <v>0</v>
      </c>
      <c r="K14" s="1692">
        <f t="shared" si="0"/>
        <v>3610500</v>
      </c>
      <c r="L14" s="466">
        <v>3415282</v>
      </c>
    </row>
    <row r="15" spans="1:14" x14ac:dyDescent="0.2">
      <c r="A15" s="1525" t="s">
        <v>1021</v>
      </c>
      <c r="B15" s="615">
        <v>1600</v>
      </c>
      <c r="C15" s="466">
        <v>832773</v>
      </c>
      <c r="D15" s="466">
        <v>10918</v>
      </c>
      <c r="E15" s="466">
        <v>30096</v>
      </c>
      <c r="F15" s="466">
        <v>51161</v>
      </c>
      <c r="G15" s="466">
        <v>0</v>
      </c>
      <c r="H15" s="466">
        <v>0</v>
      </c>
      <c r="I15" s="467">
        <v>0</v>
      </c>
      <c r="J15" s="467">
        <v>0</v>
      </c>
      <c r="K15" s="1692">
        <f t="shared" si="0"/>
        <v>924948</v>
      </c>
      <c r="L15" s="466">
        <v>660040</v>
      </c>
    </row>
    <row r="16" spans="1:14" x14ac:dyDescent="0.2">
      <c r="A16" s="1525" t="s">
        <v>1044</v>
      </c>
      <c r="B16" s="615" t="s">
        <v>444</v>
      </c>
      <c r="C16" s="466">
        <v>0</v>
      </c>
      <c r="D16" s="466">
        <v>0</v>
      </c>
      <c r="E16" s="466">
        <v>0</v>
      </c>
      <c r="F16" s="466">
        <v>301</v>
      </c>
      <c r="G16" s="466">
        <v>0</v>
      </c>
      <c r="H16" s="466">
        <v>26</v>
      </c>
      <c r="I16" s="467">
        <v>0</v>
      </c>
      <c r="J16" s="467">
        <v>0</v>
      </c>
      <c r="K16" s="1692">
        <f t="shared" si="0"/>
        <v>327</v>
      </c>
      <c r="L16" s="466">
        <v>1990</v>
      </c>
    </row>
    <row r="17" spans="1:12" x14ac:dyDescent="0.2">
      <c r="A17" s="1525" t="s">
        <v>748</v>
      </c>
      <c r="B17" s="615" t="s">
        <v>164</v>
      </c>
      <c r="C17" s="467">
        <v>409913</v>
      </c>
      <c r="D17" s="467">
        <v>57764</v>
      </c>
      <c r="E17" s="467">
        <v>0</v>
      </c>
      <c r="F17" s="467">
        <v>2626</v>
      </c>
      <c r="G17" s="467">
        <v>0</v>
      </c>
      <c r="H17" s="467">
        <v>0</v>
      </c>
      <c r="I17" s="467">
        <v>0</v>
      </c>
      <c r="J17" s="467">
        <v>0</v>
      </c>
      <c r="K17" s="1692">
        <f t="shared" si="0"/>
        <v>470303</v>
      </c>
      <c r="L17" s="466">
        <v>482563</v>
      </c>
    </row>
    <row r="18" spans="1:12" x14ac:dyDescent="0.2">
      <c r="A18" s="1525" t="s">
        <v>1148</v>
      </c>
      <c r="B18" s="615">
        <v>1800</v>
      </c>
      <c r="C18" s="466">
        <v>1297562</v>
      </c>
      <c r="D18" s="466">
        <v>194788</v>
      </c>
      <c r="E18" s="466">
        <v>0</v>
      </c>
      <c r="F18" s="466">
        <v>6142</v>
      </c>
      <c r="G18" s="466">
        <v>0</v>
      </c>
      <c r="H18" s="466">
        <v>0</v>
      </c>
      <c r="I18" s="467">
        <v>0</v>
      </c>
      <c r="J18" s="467">
        <v>0</v>
      </c>
      <c r="K18" s="1692">
        <f t="shared" si="0"/>
        <v>1498492</v>
      </c>
      <c r="L18" s="466">
        <v>1676316</v>
      </c>
    </row>
    <row r="19" spans="1:12" x14ac:dyDescent="0.2">
      <c r="A19" s="1525" t="s">
        <v>136</v>
      </c>
      <c r="B19" s="615">
        <v>1900</v>
      </c>
      <c r="C19" s="466">
        <v>0</v>
      </c>
      <c r="D19" s="466">
        <v>0</v>
      </c>
      <c r="E19" s="466">
        <v>0</v>
      </c>
      <c r="F19" s="466">
        <v>0</v>
      </c>
      <c r="G19" s="466">
        <v>0</v>
      </c>
      <c r="H19" s="466">
        <v>0</v>
      </c>
      <c r="I19" s="467">
        <v>0</v>
      </c>
      <c r="J19" s="467">
        <v>0</v>
      </c>
      <c r="K19" s="1692">
        <f t="shared" si="0"/>
        <v>0</v>
      </c>
      <c r="L19" s="466">
        <v>0</v>
      </c>
    </row>
    <row r="20" spans="1:12" x14ac:dyDescent="0.2">
      <c r="A20" s="1526" t="s">
        <v>762</v>
      </c>
      <c r="B20" s="603" t="s">
        <v>749</v>
      </c>
      <c r="C20" s="477"/>
      <c r="D20" s="477"/>
      <c r="E20" s="477"/>
      <c r="F20" s="477"/>
      <c r="G20" s="477"/>
      <c r="H20" s="474">
        <v>0</v>
      </c>
      <c r="I20" s="617"/>
      <c r="J20" s="475"/>
      <c r="K20" s="1692">
        <f t="shared" si="0"/>
        <v>0</v>
      </c>
      <c r="L20" s="471">
        <v>0</v>
      </c>
    </row>
    <row r="21" spans="1:12" x14ac:dyDescent="0.2">
      <c r="A21" s="1526" t="s">
        <v>763</v>
      </c>
      <c r="B21" s="603" t="s">
        <v>750</v>
      </c>
      <c r="C21" s="477"/>
      <c r="D21" s="477"/>
      <c r="E21" s="477"/>
      <c r="F21" s="477"/>
      <c r="G21" s="477"/>
      <c r="H21" s="474">
        <v>0</v>
      </c>
      <c r="I21" s="617"/>
      <c r="J21" s="477"/>
      <c r="K21" s="1692">
        <f t="shared" si="0"/>
        <v>0</v>
      </c>
      <c r="L21" s="471">
        <v>0</v>
      </c>
    </row>
    <row r="22" spans="1:12" x14ac:dyDescent="0.2">
      <c r="A22" s="1526" t="s">
        <v>764</v>
      </c>
      <c r="B22" s="603" t="s">
        <v>751</v>
      </c>
      <c r="C22" s="477"/>
      <c r="D22" s="477"/>
      <c r="E22" s="477"/>
      <c r="F22" s="477"/>
      <c r="G22" s="477"/>
      <c r="H22" s="474">
        <v>2548543</v>
      </c>
      <c r="I22" s="617"/>
      <c r="J22" s="477"/>
      <c r="K22" s="1692">
        <f t="shared" si="0"/>
        <v>2548543</v>
      </c>
      <c r="L22" s="471">
        <v>3254813</v>
      </c>
    </row>
    <row r="23" spans="1:12" x14ac:dyDescent="0.2">
      <c r="A23" s="1526" t="s">
        <v>765</v>
      </c>
      <c r="B23" s="603" t="s">
        <v>752</v>
      </c>
      <c r="C23" s="477"/>
      <c r="D23" s="477"/>
      <c r="E23" s="477"/>
      <c r="F23" s="477"/>
      <c r="G23" s="477"/>
      <c r="H23" s="474">
        <v>0</v>
      </c>
      <c r="I23" s="617"/>
      <c r="J23" s="477"/>
      <c r="K23" s="1692">
        <f t="shared" si="0"/>
        <v>0</v>
      </c>
      <c r="L23" s="471">
        <v>0</v>
      </c>
    </row>
    <row r="24" spans="1:12" ht="12.75" customHeight="1" x14ac:dyDescent="0.2">
      <c r="A24" s="1526" t="s">
        <v>766</v>
      </c>
      <c r="B24" s="603" t="s">
        <v>753</v>
      </c>
      <c r="C24" s="477"/>
      <c r="D24" s="477"/>
      <c r="E24" s="477"/>
      <c r="F24" s="477"/>
      <c r="G24" s="477"/>
      <c r="H24" s="474">
        <v>0</v>
      </c>
      <c r="I24" s="617"/>
      <c r="J24" s="477"/>
      <c r="K24" s="1692">
        <f t="shared" si="0"/>
        <v>0</v>
      </c>
      <c r="L24" s="471">
        <v>0</v>
      </c>
    </row>
    <row r="25" spans="1:12" ht="12.75" customHeight="1" x14ac:dyDescent="0.2">
      <c r="A25" s="1526" t="s">
        <v>835</v>
      </c>
      <c r="B25" s="603" t="s">
        <v>754</v>
      </c>
      <c r="C25" s="477"/>
      <c r="D25" s="477"/>
      <c r="E25" s="477"/>
      <c r="F25" s="477"/>
      <c r="G25" s="477"/>
      <c r="H25" s="474">
        <v>0</v>
      </c>
      <c r="I25" s="617"/>
      <c r="J25" s="477"/>
      <c r="K25" s="1692">
        <f t="shared" si="0"/>
        <v>0</v>
      </c>
      <c r="L25" s="471">
        <v>0</v>
      </c>
    </row>
    <row r="26" spans="1:12" x14ac:dyDescent="0.2">
      <c r="A26" s="1526" t="s">
        <v>643</v>
      </c>
      <c r="B26" s="603" t="s">
        <v>755</v>
      </c>
      <c r="C26" s="477"/>
      <c r="D26" s="477"/>
      <c r="E26" s="477"/>
      <c r="F26" s="477"/>
      <c r="G26" s="477"/>
      <c r="H26" s="474">
        <v>0</v>
      </c>
      <c r="I26" s="617"/>
      <c r="J26" s="477"/>
      <c r="K26" s="1692">
        <f t="shared" si="0"/>
        <v>0</v>
      </c>
      <c r="L26" s="471">
        <v>0</v>
      </c>
    </row>
    <row r="27" spans="1:12" x14ac:dyDescent="0.2">
      <c r="A27" s="1526" t="s">
        <v>644</v>
      </c>
      <c r="B27" s="603" t="s">
        <v>756</v>
      </c>
      <c r="C27" s="477"/>
      <c r="D27" s="477"/>
      <c r="E27" s="477"/>
      <c r="F27" s="477"/>
      <c r="G27" s="477"/>
      <c r="H27" s="474">
        <v>0</v>
      </c>
      <c r="I27" s="617"/>
      <c r="J27" s="477"/>
      <c r="K27" s="1692">
        <f t="shared" si="0"/>
        <v>0</v>
      </c>
      <c r="L27" s="471">
        <v>0</v>
      </c>
    </row>
    <row r="28" spans="1:12" x14ac:dyDescent="0.2">
      <c r="A28" s="1526" t="s">
        <v>152</v>
      </c>
      <c r="B28" s="603" t="s">
        <v>757</v>
      </c>
      <c r="C28" s="477"/>
      <c r="D28" s="477"/>
      <c r="E28" s="477"/>
      <c r="F28" s="477"/>
      <c r="G28" s="477"/>
      <c r="H28" s="474">
        <v>0</v>
      </c>
      <c r="I28" s="617"/>
      <c r="J28" s="477"/>
      <c r="K28" s="1692">
        <f t="shared" si="0"/>
        <v>0</v>
      </c>
      <c r="L28" s="471">
        <v>0</v>
      </c>
    </row>
    <row r="29" spans="1:12" x14ac:dyDescent="0.2">
      <c r="A29" s="1526" t="s">
        <v>153</v>
      </c>
      <c r="B29" s="603" t="s">
        <v>758</v>
      </c>
      <c r="C29" s="477"/>
      <c r="D29" s="477"/>
      <c r="E29" s="477"/>
      <c r="F29" s="477"/>
      <c r="G29" s="477"/>
      <c r="H29" s="474">
        <v>0</v>
      </c>
      <c r="I29" s="617"/>
      <c r="J29" s="477"/>
      <c r="K29" s="1692">
        <f t="shared" si="0"/>
        <v>0</v>
      </c>
      <c r="L29" s="471">
        <v>0</v>
      </c>
    </row>
    <row r="30" spans="1:12" x14ac:dyDescent="0.2">
      <c r="A30" s="1526" t="s">
        <v>154</v>
      </c>
      <c r="B30" s="603" t="s">
        <v>759</v>
      </c>
      <c r="C30" s="477"/>
      <c r="D30" s="477"/>
      <c r="E30" s="477"/>
      <c r="F30" s="477"/>
      <c r="G30" s="477"/>
      <c r="H30" s="474">
        <v>0</v>
      </c>
      <c r="I30" s="617"/>
      <c r="J30" s="477"/>
      <c r="K30" s="1692">
        <f t="shared" si="0"/>
        <v>0</v>
      </c>
      <c r="L30" s="471">
        <v>0</v>
      </c>
    </row>
    <row r="31" spans="1:12" x14ac:dyDescent="0.2">
      <c r="A31" s="1526" t="s">
        <v>155</v>
      </c>
      <c r="B31" s="603" t="s">
        <v>760</v>
      </c>
      <c r="C31" s="477"/>
      <c r="D31" s="477"/>
      <c r="E31" s="477"/>
      <c r="F31" s="477"/>
      <c r="G31" s="477"/>
      <c r="H31" s="474">
        <v>0</v>
      </c>
      <c r="I31" s="617"/>
      <c r="J31" s="477"/>
      <c r="K31" s="1692">
        <f t="shared" si="0"/>
        <v>0</v>
      </c>
      <c r="L31" s="471">
        <v>0</v>
      </c>
    </row>
    <row r="32" spans="1:12" x14ac:dyDescent="0.2">
      <c r="A32" s="1527" t="s">
        <v>1191</v>
      </c>
      <c r="B32" s="615" t="s">
        <v>761</v>
      </c>
      <c r="C32" s="477"/>
      <c r="D32" s="477"/>
      <c r="E32" s="477"/>
      <c r="F32" s="477"/>
      <c r="G32" s="477"/>
      <c r="H32" s="474">
        <v>0</v>
      </c>
      <c r="I32" s="617"/>
      <c r="J32" s="480"/>
      <c r="K32" s="1692">
        <f t="shared" si="0"/>
        <v>0</v>
      </c>
      <c r="L32" s="471">
        <v>0</v>
      </c>
    </row>
    <row r="33" spans="1:14" ht="12.75" customHeight="1" thickBot="1" x14ac:dyDescent="0.25">
      <c r="A33" s="1689" t="s">
        <v>1767</v>
      </c>
      <c r="B33" s="1690" t="s">
        <v>591</v>
      </c>
      <c r="C33" s="1691">
        <f>SUM(C5:C32)</f>
        <v>60658118</v>
      </c>
      <c r="D33" s="1691">
        <f t="shared" ref="D33:L33" si="1">SUM(D5:D32)</f>
        <v>8064658</v>
      </c>
      <c r="E33" s="1691">
        <f t="shared" si="1"/>
        <v>1632729</v>
      </c>
      <c r="F33" s="1691">
        <f t="shared" si="1"/>
        <v>3792684</v>
      </c>
      <c r="G33" s="1691">
        <f t="shared" si="1"/>
        <v>68924</v>
      </c>
      <c r="H33" s="1691">
        <f t="shared" si="1"/>
        <v>2986085</v>
      </c>
      <c r="I33" s="1691">
        <f t="shared" si="1"/>
        <v>56885</v>
      </c>
      <c r="J33" s="1691">
        <f t="shared" si="1"/>
        <v>0</v>
      </c>
      <c r="K33" s="1691">
        <f t="shared" si="1"/>
        <v>77260083</v>
      </c>
      <c r="L33" s="1691">
        <f t="shared" si="1"/>
        <v>79826865</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618171</v>
      </c>
      <c r="D36" s="481">
        <v>136352</v>
      </c>
      <c r="E36" s="481">
        <v>0</v>
      </c>
      <c r="F36" s="481">
        <v>0</v>
      </c>
      <c r="G36" s="481">
        <v>0</v>
      </c>
      <c r="H36" s="481">
        <v>0</v>
      </c>
      <c r="I36" s="467">
        <v>0</v>
      </c>
      <c r="J36" s="467">
        <v>0</v>
      </c>
      <c r="K36" s="1692">
        <f t="shared" ref="K36:K41" si="2">SUM(C36:J36)</f>
        <v>754523</v>
      </c>
      <c r="L36" s="466">
        <v>854266</v>
      </c>
    </row>
    <row r="37" spans="1:14" x14ac:dyDescent="0.2">
      <c r="A37" s="1525" t="s">
        <v>1151</v>
      </c>
      <c r="B37" s="615">
        <v>2120</v>
      </c>
      <c r="C37" s="466">
        <v>5371764</v>
      </c>
      <c r="D37" s="466">
        <v>924734</v>
      </c>
      <c r="E37" s="466">
        <v>50924</v>
      </c>
      <c r="F37" s="466">
        <v>15553</v>
      </c>
      <c r="G37" s="466">
        <v>0</v>
      </c>
      <c r="H37" s="466">
        <v>2956</v>
      </c>
      <c r="I37" s="467">
        <v>0</v>
      </c>
      <c r="J37" s="467">
        <v>0</v>
      </c>
      <c r="K37" s="1692">
        <f t="shared" si="2"/>
        <v>6365931</v>
      </c>
      <c r="L37" s="466">
        <v>6450901</v>
      </c>
    </row>
    <row r="38" spans="1:14" x14ac:dyDescent="0.2">
      <c r="A38" s="1525" t="s">
        <v>207</v>
      </c>
      <c r="B38" s="615">
        <v>2130</v>
      </c>
      <c r="C38" s="466">
        <v>569973</v>
      </c>
      <c r="D38" s="466">
        <v>84825</v>
      </c>
      <c r="E38" s="466">
        <v>4655</v>
      </c>
      <c r="F38" s="466">
        <v>13429</v>
      </c>
      <c r="G38" s="466">
        <v>6340</v>
      </c>
      <c r="H38" s="466">
        <v>0</v>
      </c>
      <c r="I38" s="467">
        <v>0</v>
      </c>
      <c r="J38" s="467">
        <v>0</v>
      </c>
      <c r="K38" s="1692">
        <f t="shared" si="2"/>
        <v>679222</v>
      </c>
      <c r="L38" s="466">
        <v>714410</v>
      </c>
    </row>
    <row r="39" spans="1:14" x14ac:dyDescent="0.2">
      <c r="A39" s="1525" t="s">
        <v>208</v>
      </c>
      <c r="B39" s="615">
        <v>2140</v>
      </c>
      <c r="C39" s="466">
        <v>872529</v>
      </c>
      <c r="D39" s="466">
        <v>103317</v>
      </c>
      <c r="E39" s="466">
        <v>0</v>
      </c>
      <c r="F39" s="466">
        <v>4592</v>
      </c>
      <c r="G39" s="466">
        <v>0</v>
      </c>
      <c r="H39" s="466">
        <v>0</v>
      </c>
      <c r="I39" s="467">
        <v>0</v>
      </c>
      <c r="J39" s="467">
        <v>0</v>
      </c>
      <c r="K39" s="1692">
        <f t="shared" si="2"/>
        <v>980438</v>
      </c>
      <c r="L39" s="466">
        <v>1117167</v>
      </c>
    </row>
    <row r="40" spans="1:14" x14ac:dyDescent="0.2">
      <c r="A40" s="1525" t="s">
        <v>209</v>
      </c>
      <c r="B40" s="615">
        <v>2150</v>
      </c>
      <c r="C40" s="466">
        <v>0</v>
      </c>
      <c r="D40" s="466">
        <v>0</v>
      </c>
      <c r="E40" s="466">
        <v>529</v>
      </c>
      <c r="F40" s="466">
        <v>0</v>
      </c>
      <c r="G40" s="466">
        <v>0</v>
      </c>
      <c r="H40" s="466">
        <v>0</v>
      </c>
      <c r="I40" s="467">
        <v>0</v>
      </c>
      <c r="J40" s="467">
        <v>0</v>
      </c>
      <c r="K40" s="1692">
        <f t="shared" si="2"/>
        <v>529</v>
      </c>
      <c r="L40" s="466">
        <v>3000</v>
      </c>
    </row>
    <row r="41" spans="1:14" x14ac:dyDescent="0.2">
      <c r="A41" s="1525" t="s">
        <v>1768</v>
      </c>
      <c r="B41" s="615">
        <v>2190</v>
      </c>
      <c r="C41" s="466">
        <v>157220</v>
      </c>
      <c r="D41" s="466">
        <v>42865</v>
      </c>
      <c r="E41" s="466">
        <v>0</v>
      </c>
      <c r="F41" s="466">
        <v>0</v>
      </c>
      <c r="G41" s="466">
        <v>0</v>
      </c>
      <c r="H41" s="466">
        <v>0</v>
      </c>
      <c r="I41" s="467">
        <v>0</v>
      </c>
      <c r="J41" s="467">
        <v>0</v>
      </c>
      <c r="K41" s="1692">
        <f t="shared" si="2"/>
        <v>200085</v>
      </c>
      <c r="L41" s="466">
        <v>205150</v>
      </c>
    </row>
    <row r="42" spans="1:14" ht="12.75" customHeight="1" thickBot="1" x14ac:dyDescent="0.25">
      <c r="A42" s="1689" t="s">
        <v>581</v>
      </c>
      <c r="B42" s="1690" t="s">
        <v>740</v>
      </c>
      <c r="C42" s="1691">
        <f>SUM(C36:C41)</f>
        <v>7589657</v>
      </c>
      <c r="D42" s="1691">
        <f t="shared" ref="D42:L42" si="3">SUM(D36:D41)</f>
        <v>1292093</v>
      </c>
      <c r="E42" s="1691">
        <f t="shared" si="3"/>
        <v>56108</v>
      </c>
      <c r="F42" s="1691">
        <f t="shared" si="3"/>
        <v>33574</v>
      </c>
      <c r="G42" s="1691">
        <f t="shared" si="3"/>
        <v>6340</v>
      </c>
      <c r="H42" s="1691">
        <f t="shared" si="3"/>
        <v>2956</v>
      </c>
      <c r="I42" s="1691">
        <f t="shared" si="3"/>
        <v>0</v>
      </c>
      <c r="J42" s="1691">
        <f t="shared" si="3"/>
        <v>0</v>
      </c>
      <c r="K42" s="1691">
        <f t="shared" si="3"/>
        <v>8980728</v>
      </c>
      <c r="L42" s="1691">
        <f t="shared" si="3"/>
        <v>9344894</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400504</v>
      </c>
      <c r="D44" s="481">
        <v>101724</v>
      </c>
      <c r="E44" s="481">
        <v>161702</v>
      </c>
      <c r="F44" s="481">
        <v>19579</v>
      </c>
      <c r="G44" s="481">
        <v>0</v>
      </c>
      <c r="H44" s="481">
        <v>28358</v>
      </c>
      <c r="I44" s="467">
        <v>0</v>
      </c>
      <c r="J44" s="467">
        <v>0</v>
      </c>
      <c r="K44" s="1693">
        <f>SUM(C44:J44)</f>
        <v>711867</v>
      </c>
      <c r="L44" s="481">
        <v>718212</v>
      </c>
    </row>
    <row r="45" spans="1:14" x14ac:dyDescent="0.2">
      <c r="A45" s="1525" t="s">
        <v>869</v>
      </c>
      <c r="B45" s="615">
        <v>2220</v>
      </c>
      <c r="C45" s="466">
        <v>2105443</v>
      </c>
      <c r="D45" s="466">
        <v>317527</v>
      </c>
      <c r="E45" s="466">
        <v>85152</v>
      </c>
      <c r="F45" s="466">
        <v>249440</v>
      </c>
      <c r="G45" s="466">
        <v>149139</v>
      </c>
      <c r="H45" s="466">
        <v>227</v>
      </c>
      <c r="I45" s="467">
        <v>0</v>
      </c>
      <c r="J45" s="467">
        <v>0</v>
      </c>
      <c r="K45" s="1693">
        <f>SUM(C45:J45)</f>
        <v>2906928</v>
      </c>
      <c r="L45" s="466">
        <v>3196450</v>
      </c>
    </row>
    <row r="46" spans="1:14" x14ac:dyDescent="0.2">
      <c r="A46" s="1525" t="s">
        <v>870</v>
      </c>
      <c r="B46" s="615">
        <v>2230</v>
      </c>
      <c r="C46" s="466">
        <v>138346</v>
      </c>
      <c r="D46" s="466">
        <v>13818</v>
      </c>
      <c r="E46" s="466">
        <v>243917</v>
      </c>
      <c r="F46" s="466">
        <v>45640</v>
      </c>
      <c r="G46" s="466">
        <v>0</v>
      </c>
      <c r="H46" s="466">
        <v>799</v>
      </c>
      <c r="I46" s="467">
        <v>0</v>
      </c>
      <c r="J46" s="467">
        <v>0</v>
      </c>
      <c r="K46" s="1693">
        <f>SUM(C46:J46)</f>
        <v>442520</v>
      </c>
      <c r="L46" s="466">
        <v>426126</v>
      </c>
    </row>
    <row r="47" spans="1:14" ht="12.75" customHeight="1" thickBot="1" x14ac:dyDescent="0.25">
      <c r="A47" s="1689" t="s">
        <v>582</v>
      </c>
      <c r="B47" s="1690" t="s">
        <v>32</v>
      </c>
      <c r="C47" s="1691">
        <f>SUM(C44:C46)</f>
        <v>2644293</v>
      </c>
      <c r="D47" s="1691">
        <f t="shared" ref="D47:K47" si="4">SUM(D44:D46)</f>
        <v>433069</v>
      </c>
      <c r="E47" s="1691">
        <f t="shared" si="4"/>
        <v>490771</v>
      </c>
      <c r="F47" s="1691">
        <f t="shared" si="4"/>
        <v>314659</v>
      </c>
      <c r="G47" s="1691">
        <f t="shared" si="4"/>
        <v>149139</v>
      </c>
      <c r="H47" s="1691">
        <f t="shared" si="4"/>
        <v>29384</v>
      </c>
      <c r="I47" s="1691">
        <f t="shared" si="4"/>
        <v>0</v>
      </c>
      <c r="J47" s="1691">
        <f t="shared" si="4"/>
        <v>0</v>
      </c>
      <c r="K47" s="1691">
        <f t="shared" si="4"/>
        <v>4061315</v>
      </c>
      <c r="L47" s="1691">
        <f>SUM(L44:L46)</f>
        <v>4340788</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0</v>
      </c>
      <c r="D49" s="481">
        <v>14180</v>
      </c>
      <c r="E49" s="481">
        <v>248033</v>
      </c>
      <c r="F49" s="481">
        <v>379</v>
      </c>
      <c r="G49" s="481">
        <v>0</v>
      </c>
      <c r="H49" s="481">
        <v>34643</v>
      </c>
      <c r="I49" s="467">
        <v>0</v>
      </c>
      <c r="J49" s="467">
        <v>0</v>
      </c>
      <c r="K49" s="1693">
        <f>SUM(C49:J49)</f>
        <v>297235</v>
      </c>
      <c r="L49" s="481">
        <v>308600</v>
      </c>
    </row>
    <row r="50" spans="1:14" x14ac:dyDescent="0.2">
      <c r="A50" s="1525" t="s">
        <v>872</v>
      </c>
      <c r="B50" s="615">
        <v>2320</v>
      </c>
      <c r="C50" s="466">
        <v>839051</v>
      </c>
      <c r="D50" s="466">
        <v>222126</v>
      </c>
      <c r="E50" s="466">
        <v>10567</v>
      </c>
      <c r="F50" s="466">
        <v>1378</v>
      </c>
      <c r="G50" s="466">
        <v>0</v>
      </c>
      <c r="H50" s="466">
        <v>15645</v>
      </c>
      <c r="I50" s="467">
        <v>0</v>
      </c>
      <c r="J50" s="467">
        <v>0</v>
      </c>
      <c r="K50" s="1693">
        <f>SUM(C50:J50)</f>
        <v>1088767</v>
      </c>
      <c r="L50" s="466">
        <v>1121413</v>
      </c>
    </row>
    <row r="51" spans="1:14" x14ac:dyDescent="0.2">
      <c r="A51" s="1525" t="s">
        <v>44</v>
      </c>
      <c r="B51" s="615">
        <v>2330</v>
      </c>
      <c r="C51" s="466">
        <v>442776</v>
      </c>
      <c r="D51" s="466">
        <v>98184</v>
      </c>
      <c r="E51" s="466">
        <v>42733</v>
      </c>
      <c r="F51" s="466">
        <v>1619</v>
      </c>
      <c r="G51" s="466">
        <v>0</v>
      </c>
      <c r="H51" s="466">
        <v>500</v>
      </c>
      <c r="I51" s="467">
        <v>0</v>
      </c>
      <c r="J51" s="467">
        <v>0</v>
      </c>
      <c r="K51" s="1693">
        <f>SUM(C51:J51)</f>
        <v>585812</v>
      </c>
      <c r="L51" s="466">
        <v>631906</v>
      </c>
    </row>
    <row r="52" spans="1:14" ht="22.5" x14ac:dyDescent="0.2">
      <c r="A52" s="1526" t="s">
        <v>316</v>
      </c>
      <c r="B52" s="628" t="s">
        <v>384</v>
      </c>
      <c r="C52" s="474">
        <v>0</v>
      </c>
      <c r="D52" s="474">
        <v>0</v>
      </c>
      <c r="E52" s="474">
        <v>0</v>
      </c>
      <c r="F52" s="474">
        <v>0</v>
      </c>
      <c r="G52" s="474">
        <v>0</v>
      </c>
      <c r="H52" s="474">
        <v>0</v>
      </c>
      <c r="I52" s="474">
        <v>0</v>
      </c>
      <c r="J52" s="474">
        <v>0</v>
      </c>
      <c r="K52" s="1693">
        <f>SUM(C52:J52)</f>
        <v>0</v>
      </c>
      <c r="L52" s="474">
        <v>0</v>
      </c>
    </row>
    <row r="53" spans="1:14" ht="12.75" customHeight="1" thickBot="1" x14ac:dyDescent="0.25">
      <c r="A53" s="1689" t="s">
        <v>741</v>
      </c>
      <c r="B53" s="1690" t="s">
        <v>33</v>
      </c>
      <c r="C53" s="1691">
        <f>SUM(C49:C52)</f>
        <v>1281827</v>
      </c>
      <c r="D53" s="1691">
        <f t="shared" ref="D53:L53" si="5">SUM(D49:D52)</f>
        <v>334490</v>
      </c>
      <c r="E53" s="1691">
        <f t="shared" si="5"/>
        <v>301333</v>
      </c>
      <c r="F53" s="1691">
        <f t="shared" si="5"/>
        <v>3376</v>
      </c>
      <c r="G53" s="1691">
        <f t="shared" si="5"/>
        <v>0</v>
      </c>
      <c r="H53" s="1691">
        <f t="shared" si="5"/>
        <v>50788</v>
      </c>
      <c r="I53" s="1691">
        <f t="shared" si="5"/>
        <v>0</v>
      </c>
      <c r="J53" s="1691">
        <f t="shared" si="5"/>
        <v>0</v>
      </c>
      <c r="K53" s="1691">
        <f t="shared" si="5"/>
        <v>1971814</v>
      </c>
      <c r="L53" s="1691">
        <f t="shared" si="5"/>
        <v>2061919</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2657074</v>
      </c>
      <c r="D55" s="481">
        <v>580301</v>
      </c>
      <c r="E55" s="481">
        <v>112670</v>
      </c>
      <c r="F55" s="481">
        <v>22966</v>
      </c>
      <c r="G55" s="481">
        <v>0</v>
      </c>
      <c r="H55" s="481">
        <v>147186</v>
      </c>
      <c r="I55" s="467">
        <v>0</v>
      </c>
      <c r="J55" s="467">
        <v>0</v>
      </c>
      <c r="K55" s="1693">
        <f>SUM(C55:J55)</f>
        <v>3520197</v>
      </c>
      <c r="L55" s="481">
        <v>3603415</v>
      </c>
    </row>
    <row r="56" spans="1:14" ht="12.75" customHeight="1" x14ac:dyDescent="0.2">
      <c r="A56" s="1529" t="s">
        <v>394</v>
      </c>
      <c r="B56" s="629">
        <v>2490</v>
      </c>
      <c r="C56" s="466">
        <v>2568584</v>
      </c>
      <c r="D56" s="466">
        <v>644394</v>
      </c>
      <c r="E56" s="466">
        <v>0</v>
      </c>
      <c r="F56" s="466">
        <v>0</v>
      </c>
      <c r="G56" s="466">
        <v>0</v>
      </c>
      <c r="H56" s="466">
        <v>0</v>
      </c>
      <c r="I56" s="467">
        <v>0</v>
      </c>
      <c r="J56" s="467">
        <v>0</v>
      </c>
      <c r="K56" s="1693">
        <f>SUM(C56:J56)</f>
        <v>3212978</v>
      </c>
      <c r="L56" s="466">
        <v>3318066</v>
      </c>
    </row>
    <row r="57" spans="1:14" s="343" customFormat="1" ht="12.75" customHeight="1" thickBot="1" x14ac:dyDescent="0.25">
      <c r="A57" s="1689" t="s">
        <v>281</v>
      </c>
      <c r="B57" s="1694" t="s">
        <v>34</v>
      </c>
      <c r="C57" s="1695">
        <f>SUM(C55:C56)</f>
        <v>5225658</v>
      </c>
      <c r="D57" s="1695">
        <f t="shared" ref="D57:K57" si="6">SUM(D55:D56)</f>
        <v>1224695</v>
      </c>
      <c r="E57" s="1695">
        <f t="shared" si="6"/>
        <v>112670</v>
      </c>
      <c r="F57" s="1695">
        <f t="shared" si="6"/>
        <v>22966</v>
      </c>
      <c r="G57" s="1695">
        <f t="shared" si="6"/>
        <v>0</v>
      </c>
      <c r="H57" s="1695">
        <f t="shared" si="6"/>
        <v>147186</v>
      </c>
      <c r="I57" s="1695">
        <f t="shared" si="6"/>
        <v>0</v>
      </c>
      <c r="J57" s="1695">
        <f t="shared" si="6"/>
        <v>0</v>
      </c>
      <c r="K57" s="1695">
        <f t="shared" si="6"/>
        <v>6733175</v>
      </c>
      <c r="L57" s="1691">
        <f>SUM(L55:L56)</f>
        <v>6921481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263672</v>
      </c>
      <c r="D59" s="481">
        <v>89953</v>
      </c>
      <c r="E59" s="481">
        <v>18210</v>
      </c>
      <c r="F59" s="481">
        <v>944</v>
      </c>
      <c r="G59" s="481">
        <v>0</v>
      </c>
      <c r="H59" s="481">
        <v>340</v>
      </c>
      <c r="I59" s="467">
        <v>0</v>
      </c>
      <c r="J59" s="467">
        <v>0</v>
      </c>
      <c r="K59" s="1693">
        <f t="shared" ref="K59:K64" si="7">SUM(C59:J59)</f>
        <v>373119</v>
      </c>
      <c r="L59" s="481">
        <v>371453</v>
      </c>
      <c r="M59" s="610"/>
      <c r="N59" s="610"/>
    </row>
    <row r="60" spans="1:14" s="343" customFormat="1" x14ac:dyDescent="0.2">
      <c r="A60" s="1525" t="s">
        <v>483</v>
      </c>
      <c r="B60" s="615">
        <v>2520</v>
      </c>
      <c r="C60" s="466">
        <v>485183</v>
      </c>
      <c r="D60" s="466">
        <v>107099</v>
      </c>
      <c r="E60" s="466">
        <v>6757</v>
      </c>
      <c r="F60" s="466">
        <v>412</v>
      </c>
      <c r="G60" s="466">
        <v>0</v>
      </c>
      <c r="H60" s="466">
        <v>0</v>
      </c>
      <c r="I60" s="467">
        <v>0</v>
      </c>
      <c r="J60" s="467">
        <v>0</v>
      </c>
      <c r="K60" s="1693">
        <f t="shared" si="7"/>
        <v>599451</v>
      </c>
      <c r="L60" s="466">
        <v>612980</v>
      </c>
      <c r="M60" s="610"/>
      <c r="N60" s="610"/>
    </row>
    <row r="61" spans="1:14" s="343" customFormat="1" x14ac:dyDescent="0.2">
      <c r="A61" s="1525" t="s">
        <v>206</v>
      </c>
      <c r="B61" s="615">
        <v>2540</v>
      </c>
      <c r="C61" s="466">
        <v>-6149</v>
      </c>
      <c r="D61" s="466">
        <v>0</v>
      </c>
      <c r="E61" s="466">
        <v>0</v>
      </c>
      <c r="F61" s="466">
        <v>0</v>
      </c>
      <c r="G61" s="466">
        <v>0</v>
      </c>
      <c r="H61" s="466">
        <v>0</v>
      </c>
      <c r="I61" s="467">
        <v>0</v>
      </c>
      <c r="J61" s="467">
        <v>0</v>
      </c>
      <c r="K61" s="1693">
        <f t="shared" si="7"/>
        <v>-6149</v>
      </c>
      <c r="L61" s="466">
        <v>0</v>
      </c>
      <c r="M61" s="610"/>
      <c r="N61" s="610"/>
    </row>
    <row r="62" spans="1:14" s="343" customFormat="1" x14ac:dyDescent="0.2">
      <c r="A62" s="1525" t="s">
        <v>1010</v>
      </c>
      <c r="B62" s="615">
        <v>2550</v>
      </c>
      <c r="C62" s="466">
        <v>0</v>
      </c>
      <c r="D62" s="466">
        <v>0</v>
      </c>
      <c r="E62" s="466">
        <v>3133</v>
      </c>
      <c r="F62" s="466">
        <v>0</v>
      </c>
      <c r="G62" s="466">
        <v>0</v>
      </c>
      <c r="H62" s="466">
        <v>0</v>
      </c>
      <c r="I62" s="467">
        <v>0</v>
      </c>
      <c r="J62" s="467">
        <v>0</v>
      </c>
      <c r="K62" s="1693">
        <f t="shared" si="7"/>
        <v>3133</v>
      </c>
      <c r="L62" s="466">
        <v>7000</v>
      </c>
      <c r="M62" s="610"/>
      <c r="N62" s="610"/>
    </row>
    <row r="63" spans="1:14" s="610" customFormat="1" x14ac:dyDescent="0.2">
      <c r="A63" s="1525" t="s">
        <v>102</v>
      </c>
      <c r="B63" s="615">
        <v>2560</v>
      </c>
      <c r="C63" s="466">
        <v>0</v>
      </c>
      <c r="D63" s="466">
        <v>0</v>
      </c>
      <c r="E63" s="466">
        <v>0</v>
      </c>
      <c r="F63" s="466">
        <v>16194</v>
      </c>
      <c r="G63" s="466">
        <v>0</v>
      </c>
      <c r="H63" s="466">
        <v>0</v>
      </c>
      <c r="I63" s="467">
        <v>0</v>
      </c>
      <c r="J63" s="467">
        <v>0</v>
      </c>
      <c r="K63" s="1693">
        <f t="shared" si="7"/>
        <v>16194</v>
      </c>
      <c r="L63" s="466">
        <v>16500</v>
      </c>
    </row>
    <row r="64" spans="1:14" s="610" customFormat="1" x14ac:dyDescent="0.2">
      <c r="A64" s="1530" t="s">
        <v>103</v>
      </c>
      <c r="B64" s="631">
        <v>2570</v>
      </c>
      <c r="C64" s="481">
        <v>195650</v>
      </c>
      <c r="D64" s="481">
        <v>64328</v>
      </c>
      <c r="E64" s="481">
        <v>46419</v>
      </c>
      <c r="F64" s="481">
        <v>694647</v>
      </c>
      <c r="G64" s="481">
        <v>0</v>
      </c>
      <c r="H64" s="481">
        <v>0</v>
      </c>
      <c r="I64" s="467">
        <v>0</v>
      </c>
      <c r="J64" s="467">
        <v>0</v>
      </c>
      <c r="K64" s="1693">
        <f t="shared" si="7"/>
        <v>1001044</v>
      </c>
      <c r="L64" s="481">
        <v>1169848</v>
      </c>
    </row>
    <row r="65" spans="1:14" s="343" customFormat="1" ht="12.75" customHeight="1" thickBot="1" x14ac:dyDescent="0.25">
      <c r="A65" s="1689" t="s">
        <v>743</v>
      </c>
      <c r="B65" s="1690" t="s">
        <v>35</v>
      </c>
      <c r="C65" s="1691">
        <f>SUM(C59:C64)</f>
        <v>938356</v>
      </c>
      <c r="D65" s="1691">
        <f t="shared" ref="D65:L65" si="8">SUM(D59:D64)</f>
        <v>261380</v>
      </c>
      <c r="E65" s="1691">
        <f t="shared" si="8"/>
        <v>74519</v>
      </c>
      <c r="F65" s="1691">
        <f t="shared" si="8"/>
        <v>712197</v>
      </c>
      <c r="G65" s="1691">
        <f t="shared" si="8"/>
        <v>0</v>
      </c>
      <c r="H65" s="1691">
        <f t="shared" si="8"/>
        <v>340</v>
      </c>
      <c r="I65" s="1691">
        <f t="shared" si="8"/>
        <v>0</v>
      </c>
      <c r="J65" s="1691">
        <f t="shared" si="8"/>
        <v>0</v>
      </c>
      <c r="K65" s="1691">
        <f t="shared" si="8"/>
        <v>1986792</v>
      </c>
      <c r="L65" s="1691">
        <f t="shared" si="8"/>
        <v>2177781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v>0</v>
      </c>
      <c r="D67" s="466">
        <v>0</v>
      </c>
      <c r="E67" s="466">
        <v>0</v>
      </c>
      <c r="F67" s="466">
        <v>0</v>
      </c>
      <c r="G67" s="466">
        <v>0</v>
      </c>
      <c r="H67" s="466">
        <v>0</v>
      </c>
      <c r="I67" s="467">
        <v>0</v>
      </c>
      <c r="J67" s="467">
        <v>0</v>
      </c>
      <c r="K67" s="1693">
        <f>SUM(C67:J67)</f>
        <v>0</v>
      </c>
      <c r="L67" s="481">
        <v>0</v>
      </c>
      <c r="M67" s="610"/>
      <c r="N67" s="610"/>
    </row>
    <row r="68" spans="1:14" s="343" customFormat="1" x14ac:dyDescent="0.2">
      <c r="A68" s="1525" t="s">
        <v>628</v>
      </c>
      <c r="B68" s="615">
        <v>2620</v>
      </c>
      <c r="C68" s="466">
        <v>0</v>
      </c>
      <c r="D68" s="466">
        <v>0</v>
      </c>
      <c r="E68" s="466">
        <v>0</v>
      </c>
      <c r="F68" s="466">
        <v>0</v>
      </c>
      <c r="G68" s="466">
        <v>0</v>
      </c>
      <c r="H68" s="466">
        <v>0</v>
      </c>
      <c r="I68" s="467">
        <v>0</v>
      </c>
      <c r="J68" s="467">
        <v>0</v>
      </c>
      <c r="K68" s="1693">
        <f>SUM(C68:J68)</f>
        <v>0</v>
      </c>
      <c r="L68" s="466">
        <v>0</v>
      </c>
      <c r="M68" s="610"/>
      <c r="N68" s="610"/>
    </row>
    <row r="69" spans="1:14" s="343" customFormat="1" x14ac:dyDescent="0.2">
      <c r="A69" s="1525" t="s">
        <v>1121</v>
      </c>
      <c r="B69" s="615">
        <v>2630</v>
      </c>
      <c r="C69" s="466">
        <v>113022</v>
      </c>
      <c r="D69" s="466">
        <v>19421</v>
      </c>
      <c r="E69" s="466">
        <v>20818</v>
      </c>
      <c r="F69" s="466">
        <v>0</v>
      </c>
      <c r="G69" s="466">
        <v>0</v>
      </c>
      <c r="H69" s="466">
        <v>500</v>
      </c>
      <c r="I69" s="467">
        <v>0</v>
      </c>
      <c r="J69" s="467">
        <v>0</v>
      </c>
      <c r="K69" s="1693">
        <f>SUM(C69:J69)</f>
        <v>153761</v>
      </c>
      <c r="L69" s="466">
        <v>167444</v>
      </c>
      <c r="M69" s="610"/>
      <c r="N69" s="610"/>
    </row>
    <row r="70" spans="1:14" s="343" customFormat="1" x14ac:dyDescent="0.2">
      <c r="A70" s="1525" t="s">
        <v>423</v>
      </c>
      <c r="B70" s="615">
        <v>2640</v>
      </c>
      <c r="C70" s="466">
        <v>150232</v>
      </c>
      <c r="D70" s="466">
        <v>39655</v>
      </c>
      <c r="E70" s="466">
        <v>69292</v>
      </c>
      <c r="F70" s="466">
        <v>15272</v>
      </c>
      <c r="G70" s="466">
        <v>0</v>
      </c>
      <c r="H70" s="466">
        <v>2690</v>
      </c>
      <c r="I70" s="467">
        <v>0</v>
      </c>
      <c r="J70" s="467">
        <v>0</v>
      </c>
      <c r="K70" s="1693">
        <f>SUM(C70:J70)</f>
        <v>277141</v>
      </c>
      <c r="L70" s="466">
        <v>266071</v>
      </c>
      <c r="M70" s="610"/>
      <c r="N70" s="610"/>
    </row>
    <row r="71" spans="1:14" s="343" customFormat="1" x14ac:dyDescent="0.2">
      <c r="A71" s="1525" t="s">
        <v>424</v>
      </c>
      <c r="B71" s="615">
        <v>2660</v>
      </c>
      <c r="C71" s="466">
        <v>0</v>
      </c>
      <c r="D71" s="466">
        <v>0</v>
      </c>
      <c r="E71" s="466">
        <v>0</v>
      </c>
      <c r="F71" s="466">
        <v>0</v>
      </c>
      <c r="G71" s="466">
        <v>0</v>
      </c>
      <c r="H71" s="466">
        <v>0</v>
      </c>
      <c r="I71" s="467">
        <v>0</v>
      </c>
      <c r="J71" s="467">
        <v>0</v>
      </c>
      <c r="K71" s="1693">
        <f>SUM(C71:J71)</f>
        <v>0</v>
      </c>
      <c r="L71" s="466">
        <v>0</v>
      </c>
      <c r="M71" s="610"/>
      <c r="N71" s="610"/>
    </row>
    <row r="72" spans="1:14" s="343" customFormat="1" ht="12.75" customHeight="1" thickBot="1" x14ac:dyDescent="0.25">
      <c r="A72" s="1689" t="s">
        <v>37</v>
      </c>
      <c r="B72" s="1696" t="s">
        <v>36</v>
      </c>
      <c r="C72" s="1691">
        <f>SUM(C67:C71)</f>
        <v>263254</v>
      </c>
      <c r="D72" s="1691">
        <f t="shared" ref="D72:K72" si="9">SUM(D67:D71)</f>
        <v>59076</v>
      </c>
      <c r="E72" s="1691">
        <f t="shared" si="9"/>
        <v>90110</v>
      </c>
      <c r="F72" s="1691">
        <f t="shared" si="9"/>
        <v>15272</v>
      </c>
      <c r="G72" s="1691">
        <f t="shared" si="9"/>
        <v>0</v>
      </c>
      <c r="H72" s="1691">
        <f t="shared" si="9"/>
        <v>3190</v>
      </c>
      <c r="I72" s="1691">
        <f t="shared" si="9"/>
        <v>0</v>
      </c>
      <c r="J72" s="1691">
        <f t="shared" si="9"/>
        <v>0</v>
      </c>
      <c r="K72" s="1691">
        <f t="shared" si="9"/>
        <v>430902</v>
      </c>
      <c r="L72" s="1691">
        <f>SUM(L67:L71)</f>
        <v>433515</v>
      </c>
      <c r="M72" s="610"/>
      <c r="N72" s="610"/>
    </row>
    <row r="73" spans="1:14" s="343" customFormat="1" ht="14.25" thickTop="1" thickBot="1" x14ac:dyDescent="0.25">
      <c r="A73" s="1531" t="s">
        <v>1037</v>
      </c>
      <c r="B73" s="633" t="s">
        <v>595</v>
      </c>
      <c r="C73" s="573">
        <v>0</v>
      </c>
      <c r="D73" s="573">
        <v>0</v>
      </c>
      <c r="E73" s="573">
        <v>252</v>
      </c>
      <c r="F73" s="573">
        <v>125</v>
      </c>
      <c r="G73" s="573">
        <v>0</v>
      </c>
      <c r="H73" s="573">
        <v>0</v>
      </c>
      <c r="I73" s="531">
        <v>0</v>
      </c>
      <c r="J73" s="531">
        <v>0</v>
      </c>
      <c r="K73" s="1691">
        <f>SUM(C73:J73)</f>
        <v>377</v>
      </c>
      <c r="L73" s="576">
        <v>5000</v>
      </c>
      <c r="M73" s="610"/>
      <c r="N73" s="610"/>
    </row>
    <row r="74" spans="1:14" ht="12.75" customHeight="1" thickTop="1" thickBot="1" x14ac:dyDescent="0.25">
      <c r="A74" s="1689" t="s">
        <v>865</v>
      </c>
      <c r="B74" s="1697">
        <v>2000</v>
      </c>
      <c r="C74" s="1698">
        <f>SUM(C42,C47,C53,C57,C65,C72,C73)</f>
        <v>17943045</v>
      </c>
      <c r="D74" s="1698">
        <f t="shared" ref="D74:K74" si="10">SUM(D42,D47,D53,D57,D65,D72,D73)</f>
        <v>3604803</v>
      </c>
      <c r="E74" s="1698">
        <f t="shared" si="10"/>
        <v>1125763</v>
      </c>
      <c r="F74" s="1698">
        <f t="shared" si="10"/>
        <v>1102169</v>
      </c>
      <c r="G74" s="1698">
        <f t="shared" si="10"/>
        <v>155479</v>
      </c>
      <c r="H74" s="1698">
        <f t="shared" si="10"/>
        <v>233844</v>
      </c>
      <c r="I74" s="1698">
        <f t="shared" si="10"/>
        <v>0</v>
      </c>
      <c r="J74" s="1698">
        <f t="shared" si="10"/>
        <v>0</v>
      </c>
      <c r="K74" s="1698">
        <f t="shared" si="10"/>
        <v>24165103</v>
      </c>
      <c r="L74" s="1698">
        <f>SUM(L42,L47,L53,L57,L65,L72,L73)</f>
        <v>25285378</v>
      </c>
    </row>
    <row r="75" spans="1:14" s="259" customFormat="1" ht="15.75" customHeight="1" thickTop="1" thickBot="1" x14ac:dyDescent="0.25">
      <c r="A75" s="1631" t="s">
        <v>49</v>
      </c>
      <c r="B75" s="1632" t="s">
        <v>596</v>
      </c>
      <c r="C75" s="573">
        <v>414</v>
      </c>
      <c r="D75" s="573">
        <v>11</v>
      </c>
      <c r="E75" s="573">
        <v>379807</v>
      </c>
      <c r="F75" s="573">
        <v>5858</v>
      </c>
      <c r="G75" s="573">
        <v>0</v>
      </c>
      <c r="H75" s="573">
        <v>0</v>
      </c>
      <c r="I75" s="531">
        <v>0</v>
      </c>
      <c r="J75" s="531">
        <v>0</v>
      </c>
      <c r="K75" s="1691">
        <f>SUM(C75:J75)</f>
        <v>386090</v>
      </c>
      <c r="L75" s="576">
        <v>484236</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635">
        <v>203204</v>
      </c>
      <c r="I78" s="477"/>
      <c r="J78" s="477"/>
      <c r="K78" s="1692">
        <f t="shared" ref="K78:K83" si="11">SUM(C78:J78)</f>
        <v>203204</v>
      </c>
      <c r="L78" s="481">
        <v>172000</v>
      </c>
    </row>
    <row r="79" spans="1:14" x14ac:dyDescent="0.2">
      <c r="A79" s="1525" t="s">
        <v>322</v>
      </c>
      <c r="B79" s="615">
        <v>4120</v>
      </c>
      <c r="C79" s="617"/>
      <c r="D79" s="617"/>
      <c r="E79" s="466">
        <v>0</v>
      </c>
      <c r="F79" s="617"/>
      <c r="G79" s="617"/>
      <c r="H79" s="466">
        <v>0</v>
      </c>
      <c r="I79" s="477"/>
      <c r="J79" s="477"/>
      <c r="K79" s="1692">
        <f t="shared" si="11"/>
        <v>0</v>
      </c>
      <c r="L79" s="466">
        <v>0</v>
      </c>
    </row>
    <row r="80" spans="1:14" x14ac:dyDescent="0.2">
      <c r="A80" s="1525" t="s">
        <v>323</v>
      </c>
      <c r="B80" s="615">
        <v>4130</v>
      </c>
      <c r="C80" s="617"/>
      <c r="D80" s="617"/>
      <c r="E80" s="466">
        <v>0</v>
      </c>
      <c r="F80" s="617"/>
      <c r="G80" s="617"/>
      <c r="H80" s="466">
        <v>0</v>
      </c>
      <c r="I80" s="477"/>
      <c r="J80" s="477"/>
      <c r="K80" s="1692">
        <f t="shared" si="11"/>
        <v>0</v>
      </c>
      <c r="L80" s="466">
        <v>0</v>
      </c>
    </row>
    <row r="81" spans="1:12" x14ac:dyDescent="0.2">
      <c r="A81" s="1525" t="s">
        <v>721</v>
      </c>
      <c r="B81" s="615">
        <v>4140</v>
      </c>
      <c r="C81" s="617"/>
      <c r="D81" s="617"/>
      <c r="E81" s="466">
        <v>0</v>
      </c>
      <c r="F81" s="617"/>
      <c r="G81" s="617"/>
      <c r="H81" s="466">
        <v>0</v>
      </c>
      <c r="I81" s="477"/>
      <c r="J81" s="477"/>
      <c r="K81" s="1692">
        <f t="shared" si="11"/>
        <v>0</v>
      </c>
      <c r="L81" s="466">
        <v>0</v>
      </c>
    </row>
    <row r="82" spans="1:12" x14ac:dyDescent="0.2">
      <c r="A82" s="1525" t="s">
        <v>88</v>
      </c>
      <c r="B82" s="615">
        <v>4170</v>
      </c>
      <c r="C82" s="617"/>
      <c r="D82" s="617"/>
      <c r="E82" s="466">
        <v>0</v>
      </c>
      <c r="F82" s="617"/>
      <c r="G82" s="617"/>
      <c r="H82" s="466">
        <v>0</v>
      </c>
      <c r="I82" s="477"/>
      <c r="J82" s="477"/>
      <c r="K82" s="1692">
        <f t="shared" si="11"/>
        <v>0</v>
      </c>
      <c r="L82" s="466">
        <v>0</v>
      </c>
    </row>
    <row r="83" spans="1:12" x14ac:dyDescent="0.2">
      <c r="A83" s="1529" t="s">
        <v>722</v>
      </c>
      <c r="B83" s="629">
        <v>4190</v>
      </c>
      <c r="C83" s="617"/>
      <c r="D83" s="617"/>
      <c r="E83" s="466">
        <v>0</v>
      </c>
      <c r="F83" s="617"/>
      <c r="G83" s="617"/>
      <c r="H83" s="466">
        <v>0</v>
      </c>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203204</v>
      </c>
      <c r="I84" s="477"/>
      <c r="J84" s="477"/>
      <c r="K84" s="1691">
        <f>SUM(K78:K83)</f>
        <v>203204</v>
      </c>
      <c r="L84" s="1691">
        <f>SUM(L78:L83)</f>
        <v>172000</v>
      </c>
    </row>
    <row r="85" spans="1:12" ht="12.75" customHeight="1" thickTop="1" thickBot="1" x14ac:dyDescent="0.25">
      <c r="A85" s="1532" t="s">
        <v>273</v>
      </c>
      <c r="B85" s="636">
        <v>4210</v>
      </c>
      <c r="C85" s="617"/>
      <c r="D85" s="617"/>
      <c r="E85" s="637"/>
      <c r="F85" s="617"/>
      <c r="G85" s="617"/>
      <c r="H85" s="535">
        <v>2000</v>
      </c>
      <c r="I85" s="477"/>
      <c r="J85" s="477"/>
      <c r="K85" s="1698">
        <f>H85</f>
        <v>2000</v>
      </c>
      <c r="L85" s="530">
        <v>6500</v>
      </c>
    </row>
    <row r="86" spans="1:12" ht="12.75" customHeight="1" thickTop="1" thickBot="1" x14ac:dyDescent="0.25">
      <c r="A86" s="1533" t="s">
        <v>723</v>
      </c>
      <c r="B86" s="638">
        <v>4220</v>
      </c>
      <c r="C86" s="617"/>
      <c r="D86" s="617"/>
      <c r="E86" s="639"/>
      <c r="F86" s="617"/>
      <c r="G86" s="617"/>
      <c r="H86" s="467">
        <v>1568561</v>
      </c>
      <c r="I86" s="477"/>
      <c r="J86" s="477"/>
      <c r="K86" s="1698">
        <f t="shared" ref="K86:K98" si="12">H86</f>
        <v>1568561</v>
      </c>
      <c r="L86" s="530">
        <v>1837192</v>
      </c>
    </row>
    <row r="87" spans="1:12" ht="14.25" thickTop="1" thickBot="1" x14ac:dyDescent="0.25">
      <c r="A87" s="1534" t="s">
        <v>724</v>
      </c>
      <c r="B87" s="640">
        <v>4230</v>
      </c>
      <c r="C87" s="617"/>
      <c r="D87" s="617"/>
      <c r="E87" s="639"/>
      <c r="F87" s="617"/>
      <c r="G87" s="617"/>
      <c r="H87" s="467">
        <v>0</v>
      </c>
      <c r="I87" s="477"/>
      <c r="J87" s="477"/>
      <c r="K87" s="1698">
        <f t="shared" si="12"/>
        <v>0</v>
      </c>
      <c r="L87" s="530">
        <v>0</v>
      </c>
    </row>
    <row r="88" spans="1:12" ht="12.75" customHeight="1" thickTop="1" thickBot="1" x14ac:dyDescent="0.25">
      <c r="A88" s="1534" t="s">
        <v>789</v>
      </c>
      <c r="B88" s="640">
        <v>4240</v>
      </c>
      <c r="C88" s="617"/>
      <c r="D88" s="617"/>
      <c r="E88" s="639"/>
      <c r="F88" s="617"/>
      <c r="G88" s="617"/>
      <c r="H88" s="467">
        <v>0</v>
      </c>
      <c r="I88" s="477"/>
      <c r="J88" s="477"/>
      <c r="K88" s="1698">
        <f t="shared" si="12"/>
        <v>0</v>
      </c>
      <c r="L88" s="530">
        <v>0</v>
      </c>
    </row>
    <row r="89" spans="1:12" ht="12.75" customHeight="1" thickTop="1" thickBot="1" x14ac:dyDescent="0.25">
      <c r="A89" s="1534" t="s">
        <v>725</v>
      </c>
      <c r="B89" s="640">
        <v>4270</v>
      </c>
      <c r="C89" s="617"/>
      <c r="D89" s="617"/>
      <c r="E89" s="639"/>
      <c r="F89" s="617"/>
      <c r="G89" s="617"/>
      <c r="H89" s="467">
        <v>0</v>
      </c>
      <c r="I89" s="477"/>
      <c r="J89" s="477"/>
      <c r="K89" s="1698">
        <f t="shared" si="12"/>
        <v>0</v>
      </c>
      <c r="L89" s="530">
        <v>0</v>
      </c>
    </row>
    <row r="90" spans="1:12" ht="12.75" customHeight="1" thickTop="1" thickBot="1" x14ac:dyDescent="0.25">
      <c r="A90" s="1534" t="s">
        <v>710</v>
      </c>
      <c r="B90" s="640">
        <v>4280</v>
      </c>
      <c r="C90" s="617"/>
      <c r="D90" s="617"/>
      <c r="E90" s="639"/>
      <c r="F90" s="617"/>
      <c r="G90" s="617"/>
      <c r="H90" s="467">
        <v>0</v>
      </c>
      <c r="I90" s="477"/>
      <c r="J90" s="477"/>
      <c r="K90" s="1698">
        <f t="shared" si="12"/>
        <v>0</v>
      </c>
      <c r="L90" s="530">
        <v>0</v>
      </c>
    </row>
    <row r="91" spans="1:12" ht="12.75" customHeight="1" thickTop="1" thickBot="1" x14ac:dyDescent="0.25">
      <c r="A91" s="1534" t="s">
        <v>711</v>
      </c>
      <c r="B91" s="640">
        <v>4290</v>
      </c>
      <c r="C91" s="617"/>
      <c r="D91" s="617"/>
      <c r="E91" s="639"/>
      <c r="F91" s="617"/>
      <c r="G91" s="617"/>
      <c r="H91" s="467">
        <v>0</v>
      </c>
      <c r="I91" s="477"/>
      <c r="J91" s="477"/>
      <c r="K91" s="1698">
        <f t="shared" si="12"/>
        <v>0</v>
      </c>
      <c r="L91" s="530">
        <v>0</v>
      </c>
    </row>
    <row r="92" spans="1:12" ht="14.25" thickTop="1" thickBot="1" x14ac:dyDescent="0.25">
      <c r="A92" s="1701" t="s">
        <v>1641</v>
      </c>
      <c r="B92" s="1699">
        <v>4200</v>
      </c>
      <c r="C92" s="617"/>
      <c r="D92" s="617"/>
      <c r="E92" s="639"/>
      <c r="F92" s="617"/>
      <c r="G92" s="617"/>
      <c r="H92" s="1691">
        <f>SUM(H85:H91)</f>
        <v>1570561</v>
      </c>
      <c r="I92" s="477"/>
      <c r="J92" s="477"/>
      <c r="K92" s="1698">
        <f t="shared" si="12"/>
        <v>1570561</v>
      </c>
      <c r="L92" s="1691">
        <f>SUM(L85:L91)</f>
        <v>1843692</v>
      </c>
    </row>
    <row r="93" spans="1:12" ht="14.25" thickTop="1" thickBot="1" x14ac:dyDescent="0.25">
      <c r="A93" s="1533" t="s">
        <v>712</v>
      </c>
      <c r="B93" s="641">
        <v>4310</v>
      </c>
      <c r="C93" s="617"/>
      <c r="D93" s="617"/>
      <c r="E93" s="639"/>
      <c r="F93" s="617"/>
      <c r="G93" s="617"/>
      <c r="H93" s="642">
        <v>0</v>
      </c>
      <c r="I93" s="477"/>
      <c r="J93" s="477"/>
      <c r="K93" s="1698">
        <f t="shared" si="12"/>
        <v>0</v>
      </c>
      <c r="L93" s="532">
        <v>0</v>
      </c>
    </row>
    <row r="94" spans="1:12" ht="12.75" customHeight="1" thickTop="1" thickBot="1" x14ac:dyDescent="0.25">
      <c r="A94" s="1534" t="s">
        <v>713</v>
      </c>
      <c r="B94" s="640">
        <v>4320</v>
      </c>
      <c r="C94" s="617"/>
      <c r="D94" s="617"/>
      <c r="E94" s="639"/>
      <c r="F94" s="617"/>
      <c r="G94" s="617"/>
      <c r="H94" s="467">
        <v>0</v>
      </c>
      <c r="I94" s="477"/>
      <c r="J94" s="477"/>
      <c r="K94" s="1698">
        <f t="shared" si="12"/>
        <v>0</v>
      </c>
      <c r="L94" s="530">
        <v>0</v>
      </c>
    </row>
    <row r="95" spans="1:12" ht="15" customHeight="1" thickTop="1" thickBot="1" x14ac:dyDescent="0.25">
      <c r="A95" s="1534" t="s">
        <v>1568</v>
      </c>
      <c r="B95" s="640">
        <v>4330</v>
      </c>
      <c r="C95" s="617"/>
      <c r="D95" s="617"/>
      <c r="E95" s="639"/>
      <c r="F95" s="617"/>
      <c r="G95" s="617"/>
      <c r="H95" s="467">
        <v>0</v>
      </c>
      <c r="I95" s="477"/>
      <c r="J95" s="477"/>
      <c r="K95" s="1698">
        <f t="shared" si="12"/>
        <v>0</v>
      </c>
      <c r="L95" s="530">
        <v>0</v>
      </c>
    </row>
    <row r="96" spans="1:12" ht="14.25" thickTop="1" thickBot="1" x14ac:dyDescent="0.25">
      <c r="A96" s="1534" t="s">
        <v>714</v>
      </c>
      <c r="B96" s="640">
        <v>4340</v>
      </c>
      <c r="C96" s="617"/>
      <c r="D96" s="617"/>
      <c r="E96" s="639"/>
      <c r="F96" s="617"/>
      <c r="G96" s="617"/>
      <c r="H96" s="467">
        <v>0</v>
      </c>
      <c r="I96" s="477"/>
      <c r="J96" s="477"/>
      <c r="K96" s="1698">
        <f t="shared" si="12"/>
        <v>0</v>
      </c>
      <c r="L96" s="530">
        <v>0</v>
      </c>
    </row>
    <row r="97" spans="1:14" ht="12.75" customHeight="1" thickTop="1" thickBot="1" x14ac:dyDescent="0.25">
      <c r="A97" s="1534" t="s">
        <v>787</v>
      </c>
      <c r="B97" s="640">
        <v>4370</v>
      </c>
      <c r="C97" s="617"/>
      <c r="D97" s="617"/>
      <c r="E97" s="639"/>
      <c r="F97" s="617"/>
      <c r="G97" s="617"/>
      <c r="H97" s="467">
        <v>0</v>
      </c>
      <c r="I97" s="477"/>
      <c r="J97" s="477"/>
      <c r="K97" s="1698">
        <f t="shared" si="12"/>
        <v>0</v>
      </c>
      <c r="L97" s="530">
        <v>0</v>
      </c>
    </row>
    <row r="98" spans="1:14" ht="14.25" thickTop="1" thickBot="1" x14ac:dyDescent="0.25">
      <c r="A98" s="1534" t="s">
        <v>788</v>
      </c>
      <c r="B98" s="640">
        <v>4380</v>
      </c>
      <c r="C98" s="617"/>
      <c r="D98" s="617"/>
      <c r="E98" s="643"/>
      <c r="F98" s="617"/>
      <c r="G98" s="617"/>
      <c r="H98" s="467">
        <v>0</v>
      </c>
      <c r="I98" s="477"/>
      <c r="J98" s="477"/>
      <c r="K98" s="1698">
        <f t="shared" si="12"/>
        <v>0</v>
      </c>
      <c r="L98" s="530">
        <v>0</v>
      </c>
    </row>
    <row r="99" spans="1:14" ht="14.25" thickTop="1" thickBot="1" x14ac:dyDescent="0.25">
      <c r="A99" s="1534" t="s">
        <v>385</v>
      </c>
      <c r="B99" s="640">
        <v>4390</v>
      </c>
      <c r="C99" s="617"/>
      <c r="D99" s="617"/>
      <c r="E99" s="532">
        <v>0</v>
      </c>
      <c r="F99" s="617"/>
      <c r="G99" s="617"/>
      <c r="H99" s="467">
        <v>0</v>
      </c>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v>0</v>
      </c>
      <c r="F101" s="617"/>
      <c r="G101" s="617"/>
      <c r="H101" s="531">
        <v>0</v>
      </c>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1773765</v>
      </c>
      <c r="I102" s="477"/>
      <c r="J102" s="477"/>
      <c r="K102" s="1698">
        <f>SUM(K84,K92,K100,K101)</f>
        <v>1773765</v>
      </c>
      <c r="L102" s="1698">
        <f>SUM(L84,L92,L100,L101)</f>
        <v>2015692</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500000</v>
      </c>
      <c r="M113" s="614"/>
      <c r="N113" s="614"/>
    </row>
    <row r="114" spans="1:14" ht="12.75" customHeight="1" thickTop="1" thickBot="1" x14ac:dyDescent="0.25">
      <c r="A114" s="1689" t="s">
        <v>50</v>
      </c>
      <c r="B114" s="1703"/>
      <c r="C114" s="1691">
        <f>SUM(C33,C74,C75,C102,C112,C113)</f>
        <v>78601577</v>
      </c>
      <c r="D114" s="1691">
        <f t="shared" ref="D114:K114" si="13">SUM(D33,D74,D75,D102,D112,D113)</f>
        <v>11669472</v>
      </c>
      <c r="E114" s="1691">
        <f t="shared" si="13"/>
        <v>3138299</v>
      </c>
      <c r="F114" s="1691">
        <f t="shared" si="13"/>
        <v>4900711</v>
      </c>
      <c r="G114" s="1691">
        <f t="shared" si="13"/>
        <v>224403</v>
      </c>
      <c r="H114" s="1691">
        <f>SUM(H33,H74,H75,H102,H112,H113)</f>
        <v>4993694</v>
      </c>
      <c r="I114" s="1691">
        <f t="shared" si="13"/>
        <v>56885</v>
      </c>
      <c r="J114" s="1691">
        <f t="shared" si="13"/>
        <v>0</v>
      </c>
      <c r="K114" s="1691">
        <f t="shared" si="13"/>
        <v>103585041</v>
      </c>
      <c r="L114" s="1691">
        <f>SUM(L33,L74,L75,L102,L112,L113)</f>
        <v>108112171</v>
      </c>
    </row>
    <row r="115" spans="1:14" ht="13.5" thickTop="1" x14ac:dyDescent="0.2">
      <c r="A115" s="2179" t="s">
        <v>1053</v>
      </c>
      <c r="B115" s="2180"/>
      <c r="C115" s="619"/>
      <c r="D115" s="619"/>
      <c r="E115" s="619"/>
      <c r="F115" s="619"/>
      <c r="G115" s="619"/>
      <c r="H115" s="619"/>
      <c r="I115" s="619"/>
      <c r="J115" s="619"/>
      <c r="K115" s="1705">
        <f>'Revenues 9-14'!C275-'Expenditures 15-22'!K114</f>
        <v>6049821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0</v>
      </c>
      <c r="F122" s="466">
        <v>0</v>
      </c>
      <c r="G122" s="466">
        <v>0</v>
      </c>
      <c r="H122" s="466">
        <v>0</v>
      </c>
      <c r="I122" s="467">
        <v>0</v>
      </c>
      <c r="J122" s="467">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91">
        <f>SUM(C123:J123)</f>
        <v>0</v>
      </c>
      <c r="L123" s="466">
        <v>0</v>
      </c>
    </row>
    <row r="124" spans="1:14" ht="14.25" thickTop="1" thickBot="1" x14ac:dyDescent="0.25">
      <c r="A124" s="1525" t="s">
        <v>206</v>
      </c>
      <c r="B124" s="615">
        <v>2540</v>
      </c>
      <c r="C124" s="466">
        <v>6419520</v>
      </c>
      <c r="D124" s="466">
        <v>1432746</v>
      </c>
      <c r="E124" s="466">
        <v>2994699</v>
      </c>
      <c r="F124" s="466">
        <v>2175980</v>
      </c>
      <c r="G124" s="466">
        <v>2759957</v>
      </c>
      <c r="H124" s="466">
        <v>3854</v>
      </c>
      <c r="I124" s="467">
        <v>0</v>
      </c>
      <c r="J124" s="467">
        <v>0</v>
      </c>
      <c r="K124" s="1691">
        <f>SUM(C124:J124)</f>
        <v>15786756</v>
      </c>
      <c r="L124" s="466">
        <v>17687589</v>
      </c>
    </row>
    <row r="125" spans="1:14" ht="14.25" thickTop="1" thickBot="1" x14ac:dyDescent="0.25">
      <c r="A125" s="1525" t="s">
        <v>1010</v>
      </c>
      <c r="B125" s="615">
        <v>2550</v>
      </c>
      <c r="C125" s="466">
        <v>0</v>
      </c>
      <c r="D125" s="466">
        <v>0</v>
      </c>
      <c r="E125" s="466">
        <v>0</v>
      </c>
      <c r="F125" s="466">
        <v>0</v>
      </c>
      <c r="G125" s="466">
        <v>0</v>
      </c>
      <c r="H125" s="466">
        <v>0</v>
      </c>
      <c r="I125" s="467">
        <v>0</v>
      </c>
      <c r="J125" s="467">
        <v>0</v>
      </c>
      <c r="K125" s="1691">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91">
        <f>SUM(C126:J126)</f>
        <v>0</v>
      </c>
      <c r="L126" s="466">
        <v>0</v>
      </c>
    </row>
    <row r="127" spans="1:14" ht="12.75" customHeight="1" thickTop="1" thickBot="1" x14ac:dyDescent="0.25">
      <c r="A127" s="1689" t="s">
        <v>743</v>
      </c>
      <c r="B127" s="1690" t="s">
        <v>35</v>
      </c>
      <c r="C127" s="1691">
        <f>SUM(C122:C126)</f>
        <v>6419520</v>
      </c>
      <c r="D127" s="1691">
        <f t="shared" ref="D127:L127" si="14">SUM(D122:D126)</f>
        <v>1432746</v>
      </c>
      <c r="E127" s="1691">
        <f t="shared" si="14"/>
        <v>2994699</v>
      </c>
      <c r="F127" s="1691">
        <f t="shared" si="14"/>
        <v>2175980</v>
      </c>
      <c r="G127" s="1691">
        <f t="shared" si="14"/>
        <v>2759957</v>
      </c>
      <c r="H127" s="1691">
        <f t="shared" si="14"/>
        <v>3854</v>
      </c>
      <c r="I127" s="1691">
        <f t="shared" si="14"/>
        <v>0</v>
      </c>
      <c r="J127" s="1691">
        <f t="shared" si="14"/>
        <v>0</v>
      </c>
      <c r="K127" s="1691">
        <f t="shared" si="14"/>
        <v>15786756</v>
      </c>
      <c r="L127" s="1691">
        <f t="shared" si="14"/>
        <v>17687589</v>
      </c>
    </row>
    <row r="128" spans="1:14" ht="12.75" customHeight="1" thickTop="1" x14ac:dyDescent="0.2">
      <c r="A128" s="1532" t="s">
        <v>1037</v>
      </c>
      <c r="B128" s="656" t="s">
        <v>595</v>
      </c>
      <c r="C128" s="657">
        <v>0</v>
      </c>
      <c r="D128" s="657">
        <v>0</v>
      </c>
      <c r="E128" s="657">
        <v>0</v>
      </c>
      <c r="F128" s="657">
        <v>0</v>
      </c>
      <c r="G128" s="657">
        <v>0</v>
      </c>
      <c r="H128" s="657">
        <v>0</v>
      </c>
      <c r="I128" s="535">
        <v>0</v>
      </c>
      <c r="J128" s="535">
        <v>0</v>
      </c>
      <c r="K128" s="1706">
        <f>SUM(C128:J128)</f>
        <v>0</v>
      </c>
      <c r="L128" s="657">
        <v>0</v>
      </c>
    </row>
    <row r="129" spans="1:14" ht="12.75" customHeight="1" thickBot="1" x14ac:dyDescent="0.25">
      <c r="A129" s="1707" t="s">
        <v>865</v>
      </c>
      <c r="B129" s="1708" t="s">
        <v>590</v>
      </c>
      <c r="C129" s="1698">
        <f>SUM(C120,C127,C128)</f>
        <v>6419520</v>
      </c>
      <c r="D129" s="1698">
        <f t="shared" ref="D129:L129" si="15">SUM(D120,D127,D128)</f>
        <v>1432746</v>
      </c>
      <c r="E129" s="1698">
        <f t="shared" si="15"/>
        <v>2994699</v>
      </c>
      <c r="F129" s="1698">
        <f t="shared" si="15"/>
        <v>2175980</v>
      </c>
      <c r="G129" s="1698">
        <f t="shared" si="15"/>
        <v>2759957</v>
      </c>
      <c r="H129" s="1698">
        <f t="shared" si="15"/>
        <v>3854</v>
      </c>
      <c r="I129" s="1698">
        <f t="shared" si="15"/>
        <v>0</v>
      </c>
      <c r="J129" s="1698">
        <f t="shared" si="15"/>
        <v>0</v>
      </c>
      <c r="K129" s="1698">
        <f t="shared" si="15"/>
        <v>15786756</v>
      </c>
      <c r="L129" s="1698">
        <f t="shared" si="15"/>
        <v>17687589</v>
      </c>
    </row>
    <row r="130" spans="1:14" ht="15.75" customHeight="1" thickTop="1" thickBot="1" x14ac:dyDescent="0.25">
      <c r="A130" s="1631" t="s">
        <v>1096</v>
      </c>
      <c r="B130" s="1632" t="s">
        <v>596</v>
      </c>
      <c r="C130" s="576">
        <v>0</v>
      </c>
      <c r="D130" s="576">
        <v>0</v>
      </c>
      <c r="E130" s="576">
        <v>0</v>
      </c>
      <c r="F130" s="576">
        <v>0</v>
      </c>
      <c r="G130" s="576">
        <v>0</v>
      </c>
      <c r="H130" s="576">
        <v>0</v>
      </c>
      <c r="I130" s="531">
        <v>0</v>
      </c>
      <c r="J130" s="531">
        <v>0</v>
      </c>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1955</v>
      </c>
      <c r="C133" s="468"/>
      <c r="D133" s="468"/>
      <c r="E133" s="642">
        <v>0</v>
      </c>
      <c r="F133" s="468"/>
      <c r="G133" s="468"/>
      <c r="H133" s="642">
        <v>0</v>
      </c>
      <c r="I133" s="468"/>
      <c r="J133" s="468"/>
      <c r="K133" s="1843">
        <f>SUM(E133,H133)</f>
        <v>0</v>
      </c>
      <c r="L133" s="642">
        <v>0</v>
      </c>
      <c r="M133" s="206"/>
      <c r="N133" s="206"/>
    </row>
    <row r="134" spans="1:14" x14ac:dyDescent="0.2">
      <c r="A134" s="1525" t="s">
        <v>322</v>
      </c>
      <c r="B134" s="615">
        <v>4120</v>
      </c>
      <c r="C134" s="617"/>
      <c r="D134" s="617"/>
      <c r="E134" s="478">
        <v>0</v>
      </c>
      <c r="F134" s="617"/>
      <c r="G134" s="617"/>
      <c r="H134" s="481">
        <v>0</v>
      </c>
      <c r="I134" s="477"/>
      <c r="J134" s="617"/>
      <c r="K134" s="1693">
        <f>SUM(E134,H134)</f>
        <v>0</v>
      </c>
      <c r="L134" s="481">
        <v>0</v>
      </c>
    </row>
    <row r="135" spans="1:14" x14ac:dyDescent="0.2">
      <c r="A135" s="1525" t="s">
        <v>721</v>
      </c>
      <c r="B135" s="615">
        <v>4140</v>
      </c>
      <c r="C135" s="617"/>
      <c r="D135" s="617"/>
      <c r="E135" s="467">
        <v>0</v>
      </c>
      <c r="F135" s="617"/>
      <c r="G135" s="617"/>
      <c r="H135" s="466">
        <v>0</v>
      </c>
      <c r="I135" s="477"/>
      <c r="J135" s="617"/>
      <c r="K135" s="1693">
        <f>SUM(E135,H135)</f>
        <v>0</v>
      </c>
      <c r="L135" s="466">
        <v>0</v>
      </c>
    </row>
    <row r="136" spans="1:14" x14ac:dyDescent="0.2">
      <c r="A136" s="1529" t="s">
        <v>722</v>
      </c>
      <c r="B136" s="629">
        <v>4190</v>
      </c>
      <c r="C136" s="617"/>
      <c r="D136" s="617"/>
      <c r="E136" s="467">
        <v>0</v>
      </c>
      <c r="F136" s="617"/>
      <c r="G136" s="617"/>
      <c r="H136" s="466">
        <v>0</v>
      </c>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v>0</v>
      </c>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1232</v>
      </c>
      <c r="B144" s="629" t="s">
        <v>638</v>
      </c>
      <c r="C144" s="617"/>
      <c r="D144" s="617"/>
      <c r="E144" s="617"/>
      <c r="F144" s="617"/>
      <c r="G144" s="617"/>
      <c r="H144" s="466">
        <v>0</v>
      </c>
      <c r="I144" s="468"/>
      <c r="J144" s="617"/>
      <c r="K144" s="1693">
        <f>SUM(H144)</f>
        <v>0</v>
      </c>
      <c r="L144" s="466">
        <v>0</v>
      </c>
    </row>
    <row r="145" spans="1:14" x14ac:dyDescent="0.2">
      <c r="A145" s="1525" t="s">
        <v>91</v>
      </c>
      <c r="B145" s="615" t="s">
        <v>610</v>
      </c>
      <c r="C145" s="617"/>
      <c r="D145" s="617"/>
      <c r="E145" s="617"/>
      <c r="F145" s="617"/>
      <c r="G145" s="617"/>
      <c r="H145" s="466">
        <v>0</v>
      </c>
      <c r="I145" s="468"/>
      <c r="J145" s="617"/>
      <c r="K145" s="1693">
        <f>SUM(H145)</f>
        <v>0</v>
      </c>
      <c r="L145" s="466">
        <v>0</v>
      </c>
    </row>
    <row r="146" spans="1:14" ht="12.75" customHeight="1" x14ac:dyDescent="0.2">
      <c r="A146" s="1525" t="s">
        <v>640</v>
      </c>
      <c r="B146" s="615" t="s">
        <v>639</v>
      </c>
      <c r="C146" s="617"/>
      <c r="D146" s="617"/>
      <c r="E146" s="617"/>
      <c r="F146" s="617"/>
      <c r="G146" s="617"/>
      <c r="H146" s="466">
        <v>0</v>
      </c>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v>0</v>
      </c>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50000</v>
      </c>
    </row>
    <row r="151" spans="1:14" ht="12.75" customHeight="1" thickTop="1" thickBot="1" x14ac:dyDescent="0.25">
      <c r="A151" s="2196" t="s">
        <v>641</v>
      </c>
      <c r="B151" s="2176"/>
      <c r="C151" s="1691">
        <f>SUM(C129,C130,C139,C149,C150)</f>
        <v>6419520</v>
      </c>
      <c r="D151" s="1691">
        <f t="shared" ref="D151:K151" si="16">SUM(D129,D130,D139,D149,D150)</f>
        <v>1432746</v>
      </c>
      <c r="E151" s="1691">
        <f t="shared" si="16"/>
        <v>2994699</v>
      </c>
      <c r="F151" s="1691">
        <f t="shared" si="16"/>
        <v>2175980</v>
      </c>
      <c r="G151" s="1691">
        <f t="shared" si="16"/>
        <v>2759957</v>
      </c>
      <c r="H151" s="1691">
        <f t="shared" si="16"/>
        <v>3854</v>
      </c>
      <c r="I151" s="1691">
        <f t="shared" si="16"/>
        <v>0</v>
      </c>
      <c r="J151" s="1691">
        <f t="shared" si="16"/>
        <v>0</v>
      </c>
      <c r="K151" s="1691">
        <f t="shared" si="16"/>
        <v>15786756</v>
      </c>
      <c r="L151" s="1691">
        <f>SUM(L129,L130,L139,L149,L150)</f>
        <v>17737589</v>
      </c>
    </row>
    <row r="152" spans="1:14" ht="12.75" customHeight="1" thickTop="1" x14ac:dyDescent="0.2">
      <c r="A152" s="2199" t="s">
        <v>1240</v>
      </c>
      <c r="B152" s="2200"/>
      <c r="C152" s="619"/>
      <c r="D152" s="619"/>
      <c r="E152" s="619"/>
      <c r="F152" s="619"/>
      <c r="G152" s="619"/>
      <c r="H152" s="619"/>
      <c r="I152" s="619"/>
      <c r="J152" s="617"/>
      <c r="K152" s="1705">
        <f>'Revenues 9-14'!D275-'Expenditures 15-22'!K151</f>
        <v>2229780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1955</v>
      </c>
      <c r="C157" s="617"/>
      <c r="D157" s="617"/>
      <c r="E157" s="617"/>
      <c r="F157" s="617"/>
      <c r="G157" s="617"/>
      <c r="H157" s="642">
        <v>0</v>
      </c>
      <c r="I157" s="617"/>
      <c r="J157" s="617"/>
      <c r="K157" s="1692">
        <f>H157</f>
        <v>0</v>
      </c>
      <c r="L157" s="467">
        <v>0</v>
      </c>
      <c r="M157" s="620"/>
      <c r="N157" s="620"/>
    </row>
    <row r="158" spans="1:14" s="621" customFormat="1" ht="12" x14ac:dyDescent="0.2">
      <c r="A158" s="1848" t="s">
        <v>322</v>
      </c>
      <c r="B158" s="1849" t="s">
        <v>1957</v>
      </c>
      <c r="C158" s="617"/>
      <c r="D158" s="617"/>
      <c r="E158" s="617"/>
      <c r="F158" s="617"/>
      <c r="G158" s="617"/>
      <c r="H158" s="467">
        <v>0</v>
      </c>
      <c r="I158" s="617"/>
      <c r="J158" s="617"/>
      <c r="K158" s="1692">
        <f>H158</f>
        <v>0</v>
      </c>
      <c r="L158" s="467">
        <v>0</v>
      </c>
      <c r="M158" s="620"/>
      <c r="N158" s="620"/>
    </row>
    <row r="159" spans="1:14" s="621" customFormat="1" ht="12" x14ac:dyDescent="0.2">
      <c r="A159" s="1848" t="s">
        <v>1958</v>
      </c>
      <c r="B159" s="1849" t="s">
        <v>579</v>
      </c>
      <c r="C159" s="617"/>
      <c r="D159" s="617"/>
      <c r="E159" s="617"/>
      <c r="F159" s="617"/>
      <c r="G159" s="617"/>
      <c r="H159" s="467">
        <v>0</v>
      </c>
      <c r="I159" s="617"/>
      <c r="J159" s="617"/>
      <c r="K159" s="1692">
        <f>H159</f>
        <v>0</v>
      </c>
      <c r="L159" s="467">
        <v>0</v>
      </c>
      <c r="M159" s="620"/>
      <c r="N159" s="620"/>
    </row>
    <row r="160" spans="1:14" s="621" customFormat="1" ht="15.75" customHeight="1" thickBot="1" x14ac:dyDescent="0.25">
      <c r="A160" s="1850" t="s">
        <v>1959</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1232</v>
      </c>
      <c r="B165" s="615" t="s">
        <v>638</v>
      </c>
      <c r="C165" s="617"/>
      <c r="D165" s="617"/>
      <c r="E165" s="617"/>
      <c r="F165" s="617"/>
      <c r="G165" s="617"/>
      <c r="H165" s="466">
        <v>0</v>
      </c>
      <c r="I165" s="617"/>
      <c r="J165" s="617"/>
      <c r="K165" s="1692">
        <f>SUM(C165:J165)</f>
        <v>0</v>
      </c>
      <c r="L165" s="466">
        <v>0</v>
      </c>
    </row>
    <row r="166" spans="1:14" x14ac:dyDescent="0.2">
      <c r="A166" s="1525" t="s">
        <v>91</v>
      </c>
      <c r="B166" s="629" t="s">
        <v>610</v>
      </c>
      <c r="C166" s="617"/>
      <c r="D166" s="617"/>
      <c r="E166" s="617"/>
      <c r="F166" s="617"/>
      <c r="G166" s="617"/>
      <c r="H166" s="466">
        <v>0</v>
      </c>
      <c r="I166" s="617"/>
      <c r="J166" s="617"/>
      <c r="K166" s="1692">
        <f>SUM(C166:J166)</f>
        <v>0</v>
      </c>
      <c r="L166" s="466">
        <v>0</v>
      </c>
    </row>
    <row r="167" spans="1:14" ht="12.75" customHeight="1" x14ac:dyDescent="0.2">
      <c r="A167" s="1525" t="s">
        <v>640</v>
      </c>
      <c r="B167" s="615" t="s">
        <v>639</v>
      </c>
      <c r="C167" s="617"/>
      <c r="D167" s="617"/>
      <c r="E167" s="617"/>
      <c r="F167" s="617"/>
      <c r="G167" s="617"/>
      <c r="H167" s="466">
        <v>0</v>
      </c>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497999</v>
      </c>
      <c r="I169" s="617"/>
      <c r="J169" s="617"/>
      <c r="K169" s="1692">
        <f>SUM(C169:H169)</f>
        <v>497999</v>
      </c>
      <c r="L169" s="657">
        <v>498113</v>
      </c>
    </row>
    <row r="170" spans="1:14" ht="33.75" customHeight="1" x14ac:dyDescent="0.2">
      <c r="A170" s="670" t="s">
        <v>1769</v>
      </c>
      <c r="B170" s="672" t="s">
        <v>31</v>
      </c>
      <c r="C170" s="617"/>
      <c r="D170" s="617"/>
      <c r="E170" s="617"/>
      <c r="F170" s="617"/>
      <c r="G170" s="617"/>
      <c r="H170" s="569">
        <v>1060000</v>
      </c>
      <c r="I170" s="617"/>
      <c r="J170" s="617"/>
      <c r="K170" s="1692">
        <f>SUM(C170:J170)</f>
        <v>1060000</v>
      </c>
      <c r="L170" s="569">
        <v>1060000</v>
      </c>
    </row>
    <row r="171" spans="1:14" ht="15.75" customHeight="1" x14ac:dyDescent="0.2">
      <c r="A171" s="622" t="s">
        <v>790</v>
      </c>
      <c r="B171" s="673" t="s">
        <v>86</v>
      </c>
      <c r="C171" s="617"/>
      <c r="D171" s="617"/>
      <c r="E171" s="466">
        <v>900</v>
      </c>
      <c r="F171" s="617"/>
      <c r="G171" s="617"/>
      <c r="H171" s="569">
        <v>0</v>
      </c>
      <c r="I171" s="477"/>
      <c r="J171" s="617"/>
      <c r="K171" s="1692">
        <f>SUM(C171:J171)</f>
        <v>900</v>
      </c>
      <c r="L171" s="569">
        <v>5000</v>
      </c>
    </row>
    <row r="172" spans="1:14" ht="12.75" customHeight="1" thickBot="1" x14ac:dyDescent="0.25">
      <c r="A172" s="1689" t="s">
        <v>659</v>
      </c>
      <c r="B172" s="1690" t="s">
        <v>513</v>
      </c>
      <c r="C172" s="617"/>
      <c r="D172" s="617"/>
      <c r="E172" s="1698">
        <f>SUM(E168,E169,E170,E171)</f>
        <v>900</v>
      </c>
      <c r="F172" s="617"/>
      <c r="G172" s="617"/>
      <c r="H172" s="1698">
        <f>SUM(H168,H169,H170,H171)</f>
        <v>1557999</v>
      </c>
      <c r="I172" s="639"/>
      <c r="J172" s="617"/>
      <c r="K172" s="1698">
        <f>SUM(K168,K169,K170,K171)</f>
        <v>1558899</v>
      </c>
      <c r="L172" s="1698">
        <f>SUM(L168,L169,L170,L171)</f>
        <v>1563113</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900</v>
      </c>
      <c r="F174" s="617"/>
      <c r="G174" s="617"/>
      <c r="H174" s="1698">
        <f>SUM(H160,H172,H173)</f>
        <v>1557999</v>
      </c>
      <c r="I174" s="639"/>
      <c r="J174" s="617"/>
      <c r="K174" s="1698">
        <f>SUM(K160,K172,K173)</f>
        <v>1558899</v>
      </c>
      <c r="L174" s="1698">
        <f>SUM(L160,L172,L173)</f>
        <v>1563113</v>
      </c>
    </row>
    <row r="175" spans="1:14" ht="13.5" thickTop="1" x14ac:dyDescent="0.2">
      <c r="A175" s="2179" t="s">
        <v>1053</v>
      </c>
      <c r="B175" s="2180"/>
      <c r="C175" s="617"/>
      <c r="D175" s="617"/>
      <c r="E175" s="617"/>
      <c r="F175" s="617"/>
      <c r="G175" s="617"/>
      <c r="H175" s="619"/>
      <c r="I175" s="617"/>
      <c r="J175" s="617"/>
      <c r="K175" s="1705">
        <f>'Revenues 9-14'!E275-'Expenditures 15-22'!K174</f>
        <v>32444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0</v>
      </c>
      <c r="D182" s="466">
        <v>0</v>
      </c>
      <c r="E182" s="466">
        <v>2461986</v>
      </c>
      <c r="F182" s="466">
        <v>24996</v>
      </c>
      <c r="G182" s="466">
        <v>0</v>
      </c>
      <c r="H182" s="466">
        <v>0</v>
      </c>
      <c r="I182" s="467">
        <v>0</v>
      </c>
      <c r="J182" s="467">
        <v>0</v>
      </c>
      <c r="K182" s="1692">
        <f>SUM(C182:J182)</f>
        <v>2486982</v>
      </c>
      <c r="L182" s="466">
        <v>2417650</v>
      </c>
    </row>
    <row r="183" spans="1:14" ht="12.75" customHeight="1" thickBot="1" x14ac:dyDescent="0.25">
      <c r="A183" s="1530" t="s">
        <v>1037</v>
      </c>
      <c r="B183" s="678">
        <v>2900</v>
      </c>
      <c r="C183" s="573">
        <v>0</v>
      </c>
      <c r="D183" s="573">
        <v>0</v>
      </c>
      <c r="E183" s="573">
        <v>0</v>
      </c>
      <c r="F183" s="573">
        <v>0</v>
      </c>
      <c r="G183" s="573">
        <v>0</v>
      </c>
      <c r="H183" s="573">
        <v>0</v>
      </c>
      <c r="I183" s="532">
        <v>0</v>
      </c>
      <c r="J183" s="532">
        <v>0</v>
      </c>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2461986</v>
      </c>
      <c r="F184" s="1698">
        <f t="shared" si="17"/>
        <v>24996</v>
      </c>
      <c r="G184" s="1698">
        <f t="shared" si="17"/>
        <v>0</v>
      </c>
      <c r="H184" s="1698">
        <f t="shared" si="17"/>
        <v>0</v>
      </c>
      <c r="I184" s="1698">
        <f t="shared" si="17"/>
        <v>0</v>
      </c>
      <c r="J184" s="1698">
        <f t="shared" si="17"/>
        <v>0</v>
      </c>
      <c r="K184" s="1698">
        <f>SUM(K180,K182,K183)</f>
        <v>2486982</v>
      </c>
      <c r="L184" s="1698">
        <f>SUM(L180, L182:L183)</f>
        <v>2417650</v>
      </c>
    </row>
    <row r="185" spans="1:14" ht="15.75" customHeight="1" thickTop="1" thickBot="1" x14ac:dyDescent="0.25">
      <c r="A185" s="1643" t="s">
        <v>996</v>
      </c>
      <c r="B185" s="1632">
        <v>3000</v>
      </c>
      <c r="C185" s="576">
        <v>0</v>
      </c>
      <c r="D185" s="576">
        <v>0</v>
      </c>
      <c r="E185" s="576">
        <v>0</v>
      </c>
      <c r="F185" s="576">
        <v>0</v>
      </c>
      <c r="G185" s="576">
        <v>0</v>
      </c>
      <c r="H185" s="576">
        <v>0</v>
      </c>
      <c r="I185" s="531">
        <v>0</v>
      </c>
      <c r="J185" s="531">
        <v>0</v>
      </c>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0</v>
      </c>
      <c r="F188" s="617"/>
      <c r="G188" s="617"/>
      <c r="H188" s="466">
        <v>0</v>
      </c>
      <c r="I188" s="477"/>
      <c r="J188" s="617"/>
      <c r="K188" s="1692">
        <f t="shared" ref="K188:K193" si="18">SUM(E188,H188)</f>
        <v>0</v>
      </c>
      <c r="L188" s="466">
        <v>0</v>
      </c>
    </row>
    <row r="189" spans="1:14" x14ac:dyDescent="0.2">
      <c r="A189" s="1525" t="s">
        <v>322</v>
      </c>
      <c r="B189" s="615">
        <v>4120</v>
      </c>
      <c r="C189" s="617"/>
      <c r="D189" s="617"/>
      <c r="E189" s="466">
        <v>0</v>
      </c>
      <c r="F189" s="617"/>
      <c r="G189" s="617"/>
      <c r="H189" s="466">
        <v>0</v>
      </c>
      <c r="I189" s="477"/>
      <c r="J189" s="617"/>
      <c r="K189" s="1692">
        <f t="shared" si="18"/>
        <v>0</v>
      </c>
      <c r="L189" s="466">
        <v>0</v>
      </c>
    </row>
    <row r="190" spans="1:14" x14ac:dyDescent="0.2">
      <c r="A190" s="1525" t="s">
        <v>323</v>
      </c>
      <c r="B190" s="629">
        <v>4130</v>
      </c>
      <c r="C190" s="617"/>
      <c r="D190" s="617"/>
      <c r="E190" s="466">
        <v>0</v>
      </c>
      <c r="F190" s="617"/>
      <c r="G190" s="617"/>
      <c r="H190" s="466">
        <v>0</v>
      </c>
      <c r="I190" s="477"/>
      <c r="J190" s="617"/>
      <c r="K190" s="1692">
        <f t="shared" si="18"/>
        <v>0</v>
      </c>
      <c r="L190" s="466">
        <v>0</v>
      </c>
    </row>
    <row r="191" spans="1:14" x14ac:dyDescent="0.2">
      <c r="A191" s="1525" t="s">
        <v>721</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722</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v>0</v>
      </c>
      <c r="F195" s="617"/>
      <c r="G195" s="617"/>
      <c r="H195" s="657">
        <v>0</v>
      </c>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1232</v>
      </c>
      <c r="B201" s="629" t="s">
        <v>638</v>
      </c>
      <c r="C201" s="617"/>
      <c r="D201" s="617"/>
      <c r="E201" s="617"/>
      <c r="F201" s="617"/>
      <c r="G201" s="617"/>
      <c r="H201" s="466">
        <v>0</v>
      </c>
      <c r="I201" s="617"/>
      <c r="J201" s="617"/>
      <c r="K201" s="1692">
        <f>SUM(H201)</f>
        <v>0</v>
      </c>
      <c r="L201" s="466">
        <v>0</v>
      </c>
    </row>
    <row r="202" spans="1:14" x14ac:dyDescent="0.2">
      <c r="A202" s="1525" t="s">
        <v>91</v>
      </c>
      <c r="B202" s="615" t="s">
        <v>610</v>
      </c>
      <c r="C202" s="617"/>
      <c r="D202" s="617"/>
      <c r="E202" s="617"/>
      <c r="F202" s="617"/>
      <c r="G202" s="617"/>
      <c r="H202" s="466">
        <v>0</v>
      </c>
      <c r="I202" s="617"/>
      <c r="J202" s="617"/>
      <c r="K202" s="1692">
        <f>SUM(H202)</f>
        <v>0</v>
      </c>
      <c r="L202" s="466">
        <v>0</v>
      </c>
    </row>
    <row r="203" spans="1:14" x14ac:dyDescent="0.2">
      <c r="A203" s="1537" t="s">
        <v>640</v>
      </c>
      <c r="B203" s="615" t="s">
        <v>639</v>
      </c>
      <c r="C203" s="617"/>
      <c r="D203" s="617"/>
      <c r="E203" s="617"/>
      <c r="F203" s="617"/>
      <c r="G203" s="617"/>
      <c r="H203" s="471">
        <v>0</v>
      </c>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0</v>
      </c>
      <c r="I205" s="617"/>
      <c r="J205" s="617"/>
      <c r="K205" s="1706">
        <f>SUM(H205)</f>
        <v>0</v>
      </c>
      <c r="L205" s="535">
        <v>0</v>
      </c>
    </row>
    <row r="206" spans="1:14" ht="30" customHeight="1" x14ac:dyDescent="0.2">
      <c r="A206" s="682" t="s">
        <v>1770</v>
      </c>
      <c r="B206" s="673" t="s">
        <v>31</v>
      </c>
      <c r="C206" s="617"/>
      <c r="D206" s="617"/>
      <c r="E206" s="617"/>
      <c r="F206" s="617"/>
      <c r="G206" s="617"/>
      <c r="H206" s="466">
        <v>0</v>
      </c>
      <c r="I206" s="617"/>
      <c r="J206" s="617"/>
      <c r="K206" s="1692">
        <f>SUM(H206)</f>
        <v>0</v>
      </c>
      <c r="L206" s="466">
        <v>0</v>
      </c>
    </row>
    <row r="207" spans="1:14" ht="15.75" customHeight="1" x14ac:dyDescent="0.2">
      <c r="A207" s="622" t="s">
        <v>790</v>
      </c>
      <c r="B207" s="673" t="s">
        <v>86</v>
      </c>
      <c r="C207" s="617"/>
      <c r="D207" s="617"/>
      <c r="E207" s="617"/>
      <c r="F207" s="617"/>
      <c r="G207" s="617"/>
      <c r="H207" s="467">
        <v>0</v>
      </c>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10000</v>
      </c>
    </row>
    <row r="210" spans="1:14" ht="12.75" customHeight="1" thickTop="1" thickBot="1" x14ac:dyDescent="0.25">
      <c r="A210" s="1713" t="s">
        <v>295</v>
      </c>
      <c r="B210" s="1714"/>
      <c r="C210" s="1691">
        <f>SUM(C184,C185)</f>
        <v>0</v>
      </c>
      <c r="D210" s="1691">
        <f>SUM(D184,D185)</f>
        <v>0</v>
      </c>
      <c r="E210" s="1691">
        <f>SUM(E184,E185,E196)</f>
        <v>2461986</v>
      </c>
      <c r="F210" s="1691">
        <f>SUM(F184,F185)</f>
        <v>24996</v>
      </c>
      <c r="G210" s="1691">
        <f>SUM(G184,G185)</f>
        <v>0</v>
      </c>
      <c r="H210" s="1691">
        <f>SUM(H184,H185,H196,H208,H209)</f>
        <v>0</v>
      </c>
      <c r="I210" s="1691">
        <f>SUM(I184,I185)</f>
        <v>0</v>
      </c>
      <c r="J210" s="1691">
        <f>SUM(J184,J185)</f>
        <v>0</v>
      </c>
      <c r="K210" s="1692">
        <f>SUM(K184,K185,K196,K208,K209)</f>
        <v>2486982</v>
      </c>
      <c r="L210" s="1691">
        <f>SUM(L184,L185,L196,L208,L209)</f>
        <v>2427650</v>
      </c>
    </row>
    <row r="211" spans="1:14" ht="13.5" thickTop="1" x14ac:dyDescent="0.2">
      <c r="A211" s="2179" t="s">
        <v>1053</v>
      </c>
      <c r="B211" s="2180"/>
      <c r="C211" s="619"/>
      <c r="D211" s="619"/>
      <c r="E211" s="619"/>
      <c r="F211" s="619"/>
      <c r="G211" s="619"/>
      <c r="H211" s="619"/>
      <c r="I211" s="617"/>
      <c r="J211" s="617"/>
      <c r="K211" s="1705">
        <f>'Revenues 9-14'!F275-'Expenditures 15-22'!K210</f>
        <v>79457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859222</v>
      </c>
      <c r="E215" s="617"/>
      <c r="F215" s="617"/>
      <c r="G215" s="617"/>
      <c r="H215" s="617"/>
      <c r="I215" s="617"/>
      <c r="J215" s="617"/>
      <c r="K215" s="1692">
        <f>D215</f>
        <v>859222</v>
      </c>
      <c r="L215" s="466">
        <v>863140</v>
      </c>
    </row>
    <row r="216" spans="1:14" x14ac:dyDescent="0.2">
      <c r="A216" s="1525" t="s">
        <v>165</v>
      </c>
      <c r="B216" s="615" t="s">
        <v>1024</v>
      </c>
      <c r="C216" s="617"/>
      <c r="D216" s="467">
        <v>0</v>
      </c>
      <c r="E216" s="617"/>
      <c r="F216" s="617"/>
      <c r="G216" s="617"/>
      <c r="H216" s="617"/>
      <c r="I216" s="617"/>
      <c r="J216" s="617"/>
      <c r="K216" s="1692">
        <f t="shared" ref="K216:K228" si="19">D216</f>
        <v>0</v>
      </c>
      <c r="L216" s="466">
        <v>0</v>
      </c>
    </row>
    <row r="217" spans="1:14" x14ac:dyDescent="0.2">
      <c r="A217" s="1525" t="s">
        <v>166</v>
      </c>
      <c r="B217" s="615">
        <v>1200</v>
      </c>
      <c r="C217" s="617"/>
      <c r="D217" s="466">
        <v>446432</v>
      </c>
      <c r="E217" s="617"/>
      <c r="F217" s="617"/>
      <c r="G217" s="617"/>
      <c r="H217" s="617"/>
      <c r="I217" s="617"/>
      <c r="J217" s="617"/>
      <c r="K217" s="1692">
        <f t="shared" si="19"/>
        <v>446432</v>
      </c>
      <c r="L217" s="466">
        <v>539395</v>
      </c>
    </row>
    <row r="218" spans="1:14" x14ac:dyDescent="0.2">
      <c r="A218" s="1525" t="s">
        <v>296</v>
      </c>
      <c r="B218" s="615" t="s">
        <v>1025</v>
      </c>
      <c r="C218" s="617"/>
      <c r="D218" s="467">
        <v>0</v>
      </c>
      <c r="E218" s="617"/>
      <c r="F218" s="617"/>
      <c r="G218" s="617"/>
      <c r="H218" s="617"/>
      <c r="I218" s="617"/>
      <c r="J218" s="617"/>
      <c r="K218" s="1692">
        <f t="shared" si="19"/>
        <v>0</v>
      </c>
      <c r="L218" s="466">
        <v>0</v>
      </c>
    </row>
    <row r="219" spans="1:14" x14ac:dyDescent="0.2">
      <c r="A219" s="1525" t="s">
        <v>297</v>
      </c>
      <c r="B219" s="615">
        <v>1250</v>
      </c>
      <c r="C219" s="617"/>
      <c r="D219" s="466">
        <v>62422</v>
      </c>
      <c r="E219" s="617"/>
      <c r="F219" s="617"/>
      <c r="G219" s="617"/>
      <c r="H219" s="617"/>
      <c r="I219" s="617"/>
      <c r="J219" s="617"/>
      <c r="K219" s="1692">
        <f t="shared" si="19"/>
        <v>62422</v>
      </c>
      <c r="L219" s="466">
        <v>42020</v>
      </c>
    </row>
    <row r="220" spans="1:14" x14ac:dyDescent="0.2">
      <c r="A220" s="1525" t="s">
        <v>298</v>
      </c>
      <c r="B220" s="615" t="s">
        <v>163</v>
      </c>
      <c r="C220" s="617"/>
      <c r="D220" s="467">
        <v>0</v>
      </c>
      <c r="E220" s="617"/>
      <c r="F220" s="617"/>
      <c r="G220" s="617"/>
      <c r="H220" s="617"/>
      <c r="I220" s="617"/>
      <c r="J220" s="617"/>
      <c r="K220" s="1692">
        <f t="shared" si="19"/>
        <v>0</v>
      </c>
      <c r="L220" s="466">
        <v>0</v>
      </c>
    </row>
    <row r="221" spans="1:14" x14ac:dyDescent="0.2">
      <c r="A221" s="1525" t="s">
        <v>1019</v>
      </c>
      <c r="B221" s="615">
        <v>1300</v>
      </c>
      <c r="C221" s="617"/>
      <c r="D221" s="466">
        <v>0</v>
      </c>
      <c r="E221" s="617"/>
      <c r="F221" s="617"/>
      <c r="G221" s="617"/>
      <c r="H221" s="617"/>
      <c r="I221" s="617"/>
      <c r="J221" s="617"/>
      <c r="K221" s="1692">
        <f t="shared" si="19"/>
        <v>0</v>
      </c>
      <c r="L221" s="466">
        <v>0</v>
      </c>
    </row>
    <row r="222" spans="1:14" x14ac:dyDescent="0.2">
      <c r="A222" s="1525" t="s">
        <v>747</v>
      </c>
      <c r="B222" s="615">
        <v>1400</v>
      </c>
      <c r="C222" s="617"/>
      <c r="D222" s="466">
        <v>94516</v>
      </c>
      <c r="E222" s="617"/>
      <c r="F222" s="617"/>
      <c r="G222" s="617"/>
      <c r="H222" s="617"/>
      <c r="I222" s="617"/>
      <c r="J222" s="617"/>
      <c r="K222" s="1692">
        <f t="shared" si="19"/>
        <v>94516</v>
      </c>
      <c r="L222" s="466">
        <v>92790</v>
      </c>
    </row>
    <row r="223" spans="1:14" x14ac:dyDescent="0.2">
      <c r="A223" s="1525" t="s">
        <v>1020</v>
      </c>
      <c r="B223" s="615">
        <v>1500</v>
      </c>
      <c r="C223" s="617"/>
      <c r="D223" s="466">
        <v>160595</v>
      </c>
      <c r="E223" s="617"/>
      <c r="F223" s="617"/>
      <c r="G223" s="617"/>
      <c r="H223" s="617"/>
      <c r="I223" s="617"/>
      <c r="J223" s="617"/>
      <c r="K223" s="1692">
        <f t="shared" si="19"/>
        <v>160595</v>
      </c>
      <c r="L223" s="466">
        <v>153260</v>
      </c>
    </row>
    <row r="224" spans="1:14" x14ac:dyDescent="0.2">
      <c r="A224" s="1525" t="s">
        <v>1021</v>
      </c>
      <c r="B224" s="615">
        <v>1600</v>
      </c>
      <c r="C224" s="617"/>
      <c r="D224" s="466">
        <v>35994</v>
      </c>
      <c r="E224" s="617"/>
      <c r="F224" s="617"/>
      <c r="G224" s="617"/>
      <c r="H224" s="617"/>
      <c r="I224" s="617"/>
      <c r="J224" s="617"/>
      <c r="K224" s="1692">
        <f t="shared" si="19"/>
        <v>35994</v>
      </c>
      <c r="L224" s="466">
        <v>34340</v>
      </c>
    </row>
    <row r="225" spans="1:12" x14ac:dyDescent="0.2">
      <c r="A225" s="1525" t="s">
        <v>1044</v>
      </c>
      <c r="B225" s="615">
        <v>1650</v>
      </c>
      <c r="C225" s="617"/>
      <c r="D225" s="466">
        <v>0</v>
      </c>
      <c r="E225" s="617"/>
      <c r="F225" s="617"/>
      <c r="G225" s="617"/>
      <c r="H225" s="617"/>
      <c r="I225" s="617"/>
      <c r="J225" s="617"/>
      <c r="K225" s="1692">
        <f t="shared" si="19"/>
        <v>0</v>
      </c>
      <c r="L225" s="466">
        <v>0</v>
      </c>
    </row>
    <row r="226" spans="1:12" x14ac:dyDescent="0.2">
      <c r="A226" s="1525" t="s">
        <v>748</v>
      </c>
      <c r="B226" s="615" t="s">
        <v>164</v>
      </c>
      <c r="C226" s="617"/>
      <c r="D226" s="467">
        <v>5756</v>
      </c>
      <c r="E226" s="617"/>
      <c r="F226" s="617"/>
      <c r="G226" s="617"/>
      <c r="H226" s="617"/>
      <c r="I226" s="617"/>
      <c r="J226" s="617"/>
      <c r="K226" s="1692">
        <f t="shared" si="19"/>
        <v>5756</v>
      </c>
      <c r="L226" s="466">
        <v>7980</v>
      </c>
    </row>
    <row r="227" spans="1:12" x14ac:dyDescent="0.2">
      <c r="A227" s="1525" t="s">
        <v>1148</v>
      </c>
      <c r="B227" s="615">
        <v>1800</v>
      </c>
      <c r="C227" s="617"/>
      <c r="D227" s="466">
        <v>34455</v>
      </c>
      <c r="E227" s="617"/>
      <c r="F227" s="617"/>
      <c r="G227" s="617"/>
      <c r="H227" s="617"/>
      <c r="I227" s="617"/>
      <c r="J227" s="617"/>
      <c r="K227" s="1692">
        <f t="shared" si="19"/>
        <v>34455</v>
      </c>
      <c r="L227" s="466">
        <v>37290</v>
      </c>
    </row>
    <row r="228" spans="1:12" x14ac:dyDescent="0.2">
      <c r="A228" s="1525" t="s">
        <v>1149</v>
      </c>
      <c r="B228" s="615">
        <v>1900</v>
      </c>
      <c r="C228" s="617"/>
      <c r="D228" s="466">
        <v>0</v>
      </c>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1699392</v>
      </c>
      <c r="E229" s="617"/>
      <c r="F229" s="617"/>
      <c r="G229" s="617"/>
      <c r="H229" s="617"/>
      <c r="I229" s="617"/>
      <c r="J229" s="617"/>
      <c r="K229" s="1691">
        <f>SUM(K215:K228)</f>
        <v>1699392</v>
      </c>
      <c r="L229" s="1691">
        <f>SUM(L215:L228)</f>
        <v>1770215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36112</v>
      </c>
      <c r="E232" s="617"/>
      <c r="F232" s="617"/>
      <c r="G232" s="617"/>
      <c r="H232" s="617"/>
      <c r="I232" s="617"/>
      <c r="J232" s="617"/>
      <c r="K232" s="1692">
        <f t="shared" ref="K232:K237" si="20">D232</f>
        <v>36112</v>
      </c>
      <c r="L232" s="466">
        <v>37290</v>
      </c>
    </row>
    <row r="233" spans="1:12" x14ac:dyDescent="0.2">
      <c r="A233" s="1525" t="s">
        <v>1151</v>
      </c>
      <c r="B233" s="615">
        <v>2120</v>
      </c>
      <c r="C233" s="617"/>
      <c r="D233" s="466">
        <v>151213</v>
      </c>
      <c r="E233" s="617"/>
      <c r="F233" s="617"/>
      <c r="G233" s="617"/>
      <c r="H233" s="617"/>
      <c r="I233" s="617"/>
      <c r="J233" s="617"/>
      <c r="K233" s="1692">
        <f t="shared" si="20"/>
        <v>151213</v>
      </c>
      <c r="L233" s="466">
        <v>148000</v>
      </c>
    </row>
    <row r="234" spans="1:12" x14ac:dyDescent="0.2">
      <c r="A234" s="1525" t="s">
        <v>207</v>
      </c>
      <c r="B234" s="615">
        <v>2130</v>
      </c>
      <c r="C234" s="617"/>
      <c r="D234" s="466">
        <v>44574</v>
      </c>
      <c r="E234" s="617"/>
      <c r="F234" s="617"/>
      <c r="G234" s="617"/>
      <c r="H234" s="617"/>
      <c r="I234" s="617"/>
      <c r="J234" s="617"/>
      <c r="K234" s="1692">
        <f t="shared" si="20"/>
        <v>44574</v>
      </c>
      <c r="L234" s="466">
        <v>44490</v>
      </c>
    </row>
    <row r="235" spans="1:12" x14ac:dyDescent="0.2">
      <c r="A235" s="1525" t="s">
        <v>208</v>
      </c>
      <c r="B235" s="615">
        <v>2140</v>
      </c>
      <c r="C235" s="617"/>
      <c r="D235" s="466">
        <v>15317</v>
      </c>
      <c r="E235" s="617"/>
      <c r="F235" s="617"/>
      <c r="G235" s="617"/>
      <c r="H235" s="617"/>
      <c r="I235" s="617"/>
      <c r="J235" s="617"/>
      <c r="K235" s="1692">
        <f t="shared" si="20"/>
        <v>15317</v>
      </c>
      <c r="L235" s="466">
        <v>18280</v>
      </c>
    </row>
    <row r="236" spans="1:12" x14ac:dyDescent="0.2">
      <c r="A236" s="1525" t="s">
        <v>209</v>
      </c>
      <c r="B236" s="615">
        <v>2150</v>
      </c>
      <c r="C236" s="617"/>
      <c r="D236" s="466">
        <v>0</v>
      </c>
      <c r="E236" s="617"/>
      <c r="F236" s="617"/>
      <c r="G236" s="617"/>
      <c r="H236" s="617"/>
      <c r="I236" s="617"/>
      <c r="J236" s="617"/>
      <c r="K236" s="1692">
        <f t="shared" si="20"/>
        <v>0</v>
      </c>
      <c r="L236" s="466">
        <v>0</v>
      </c>
    </row>
    <row r="237" spans="1:12" x14ac:dyDescent="0.2">
      <c r="A237" s="1525" t="s">
        <v>167</v>
      </c>
      <c r="B237" s="615">
        <v>2190</v>
      </c>
      <c r="C237" s="617"/>
      <c r="D237" s="466">
        <v>23350</v>
      </c>
      <c r="E237" s="617"/>
      <c r="F237" s="617"/>
      <c r="G237" s="617"/>
      <c r="H237" s="617"/>
      <c r="I237" s="617"/>
      <c r="J237" s="617"/>
      <c r="K237" s="1692">
        <f t="shared" si="20"/>
        <v>23350</v>
      </c>
      <c r="L237" s="466">
        <v>23670</v>
      </c>
    </row>
    <row r="238" spans="1:12" ht="12.75" customHeight="1" thickBot="1" x14ac:dyDescent="0.25">
      <c r="A238" s="1689" t="s">
        <v>581</v>
      </c>
      <c r="B238" s="1696" t="s">
        <v>740</v>
      </c>
      <c r="C238" s="617"/>
      <c r="D238" s="1691">
        <f>SUM(D232:D237)</f>
        <v>270566</v>
      </c>
      <c r="E238" s="617"/>
      <c r="F238" s="617"/>
      <c r="G238" s="617"/>
      <c r="H238" s="617"/>
      <c r="I238" s="617"/>
      <c r="J238" s="617"/>
      <c r="K238" s="1691">
        <f>SUM(K232:K237)</f>
        <v>270566</v>
      </c>
      <c r="L238" s="1691">
        <f>SUM(L232:L237)</f>
        <v>271730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3374</v>
      </c>
      <c r="E240" s="617"/>
      <c r="F240" s="617"/>
      <c r="G240" s="617"/>
      <c r="H240" s="617"/>
      <c r="I240" s="617"/>
      <c r="J240" s="617"/>
      <c r="K240" s="1693">
        <f>D240</f>
        <v>3374</v>
      </c>
      <c r="L240" s="481">
        <v>3640</v>
      </c>
    </row>
    <row r="241" spans="1:12" x14ac:dyDescent="0.2">
      <c r="A241" s="1525" t="s">
        <v>869</v>
      </c>
      <c r="B241" s="615">
        <v>2220</v>
      </c>
      <c r="C241" s="617"/>
      <c r="D241" s="466">
        <v>297253</v>
      </c>
      <c r="E241" s="617"/>
      <c r="F241" s="617"/>
      <c r="G241" s="617"/>
      <c r="H241" s="617"/>
      <c r="I241" s="617"/>
      <c r="J241" s="617"/>
      <c r="K241" s="1693">
        <f>D241</f>
        <v>297253</v>
      </c>
      <c r="L241" s="466">
        <v>277970</v>
      </c>
    </row>
    <row r="242" spans="1:12" x14ac:dyDescent="0.2">
      <c r="A242" s="1525" t="s">
        <v>870</v>
      </c>
      <c r="B242" s="615">
        <v>2230</v>
      </c>
      <c r="C242" s="617"/>
      <c r="D242" s="466">
        <v>28297</v>
      </c>
      <c r="E242" s="617"/>
      <c r="F242" s="617"/>
      <c r="G242" s="617"/>
      <c r="H242" s="617"/>
      <c r="I242" s="617"/>
      <c r="J242" s="617"/>
      <c r="K242" s="1693">
        <f>D242</f>
        <v>28297</v>
      </c>
      <c r="L242" s="466">
        <v>24650</v>
      </c>
    </row>
    <row r="243" spans="1:12" ht="12.75" customHeight="1" thickBot="1" x14ac:dyDescent="0.25">
      <c r="A243" s="1715" t="s">
        <v>582</v>
      </c>
      <c r="B243" s="1716">
        <v>2200</v>
      </c>
      <c r="C243" s="617"/>
      <c r="D243" s="1691">
        <f>SUM(D240:D242)</f>
        <v>328924</v>
      </c>
      <c r="E243" s="617"/>
      <c r="F243" s="617"/>
      <c r="G243" s="617"/>
      <c r="H243" s="617"/>
      <c r="I243" s="617"/>
      <c r="J243" s="617"/>
      <c r="K243" s="1691">
        <f>SUM(K240:K242)</f>
        <v>328924</v>
      </c>
      <c r="L243" s="1691">
        <f>SUM(L240:L242)</f>
        <v>306260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0</v>
      </c>
      <c r="E245" s="617"/>
      <c r="F245" s="617"/>
      <c r="G245" s="617"/>
      <c r="H245" s="617"/>
      <c r="I245" s="617"/>
      <c r="J245" s="617"/>
      <c r="K245" s="1693">
        <f>D245</f>
        <v>0</v>
      </c>
      <c r="L245" s="481">
        <v>0</v>
      </c>
    </row>
    <row r="246" spans="1:12" x14ac:dyDescent="0.2">
      <c r="A246" s="1525" t="s">
        <v>872</v>
      </c>
      <c r="B246" s="615">
        <v>2320</v>
      </c>
      <c r="C246" s="617"/>
      <c r="D246" s="466">
        <v>50077</v>
      </c>
      <c r="E246" s="617"/>
      <c r="F246" s="617"/>
      <c r="G246" s="617"/>
      <c r="H246" s="617"/>
      <c r="I246" s="617"/>
      <c r="J246" s="617"/>
      <c r="K246" s="1693">
        <f t="shared" ref="K246:K256" si="21">D246</f>
        <v>50077</v>
      </c>
      <c r="L246" s="466">
        <v>52560</v>
      </c>
    </row>
    <row r="247" spans="1:12" x14ac:dyDescent="0.2">
      <c r="A247" s="1525" t="s">
        <v>873</v>
      </c>
      <c r="B247" s="615">
        <v>2330</v>
      </c>
      <c r="C247" s="617"/>
      <c r="D247" s="466">
        <v>23851</v>
      </c>
      <c r="E247" s="617"/>
      <c r="F247" s="617"/>
      <c r="G247" s="617"/>
      <c r="H247" s="617"/>
      <c r="I247" s="617"/>
      <c r="J247" s="617"/>
      <c r="K247" s="1693">
        <f t="shared" si="21"/>
        <v>23851</v>
      </c>
      <c r="L247" s="466">
        <v>22760</v>
      </c>
    </row>
    <row r="248" spans="1:12" x14ac:dyDescent="0.2">
      <c r="A248" s="1526" t="s">
        <v>317</v>
      </c>
      <c r="B248" s="603" t="s">
        <v>299</v>
      </c>
      <c r="C248" s="617"/>
      <c r="D248" s="474">
        <v>0</v>
      </c>
      <c r="E248" s="617"/>
      <c r="F248" s="617"/>
      <c r="G248" s="617"/>
      <c r="H248" s="617"/>
      <c r="I248" s="617"/>
      <c r="J248" s="617"/>
      <c r="K248" s="1693">
        <f t="shared" si="21"/>
        <v>0</v>
      </c>
      <c r="L248" s="466">
        <v>0</v>
      </c>
    </row>
    <row r="249" spans="1:12" x14ac:dyDescent="0.2">
      <c r="A249" s="1527" t="s">
        <v>1906</v>
      </c>
      <c r="B249" s="684" t="s">
        <v>300</v>
      </c>
      <c r="C249" s="617"/>
      <c r="D249" s="474">
        <v>0</v>
      </c>
      <c r="E249" s="617"/>
      <c r="F249" s="617"/>
      <c r="G249" s="617"/>
      <c r="H249" s="617"/>
      <c r="I249" s="617"/>
      <c r="J249" s="617"/>
      <c r="K249" s="1693">
        <f t="shared" si="21"/>
        <v>0</v>
      </c>
      <c r="L249" s="466">
        <v>0</v>
      </c>
    </row>
    <row r="250" spans="1:12" x14ac:dyDescent="0.2">
      <c r="A250" s="1526" t="s">
        <v>1907</v>
      </c>
      <c r="B250" s="603" t="s">
        <v>301</v>
      </c>
      <c r="C250" s="617"/>
      <c r="D250" s="474">
        <v>0</v>
      </c>
      <c r="E250" s="617"/>
      <c r="F250" s="617"/>
      <c r="G250" s="617"/>
      <c r="H250" s="617"/>
      <c r="I250" s="617"/>
      <c r="J250" s="617"/>
      <c r="K250" s="1693">
        <f t="shared" si="21"/>
        <v>0</v>
      </c>
      <c r="L250" s="466">
        <v>0</v>
      </c>
    </row>
    <row r="251" spans="1:12" x14ac:dyDescent="0.2">
      <c r="A251" s="1526" t="s">
        <v>256</v>
      </c>
      <c r="B251" s="603" t="s">
        <v>302</v>
      </c>
      <c r="C251" s="617"/>
      <c r="D251" s="474">
        <v>0</v>
      </c>
      <c r="E251" s="617"/>
      <c r="F251" s="617"/>
      <c r="G251" s="617"/>
      <c r="H251" s="617"/>
      <c r="I251" s="617"/>
      <c r="J251" s="617"/>
      <c r="K251" s="1693">
        <f t="shared" si="21"/>
        <v>0</v>
      </c>
      <c r="L251" s="466">
        <v>0</v>
      </c>
    </row>
    <row r="252" spans="1:12" x14ac:dyDescent="0.2">
      <c r="A252" s="1526" t="s">
        <v>726</v>
      </c>
      <c r="B252" s="603" t="s">
        <v>303</v>
      </c>
      <c r="C252" s="617"/>
      <c r="D252" s="474">
        <v>0</v>
      </c>
      <c r="E252" s="617"/>
      <c r="F252" s="617"/>
      <c r="G252" s="617"/>
      <c r="H252" s="617"/>
      <c r="I252" s="617"/>
      <c r="J252" s="617"/>
      <c r="K252" s="1693">
        <f t="shared" si="21"/>
        <v>0</v>
      </c>
      <c r="L252" s="466">
        <v>0</v>
      </c>
    </row>
    <row r="253" spans="1:12" x14ac:dyDescent="0.2">
      <c r="A253" s="1526" t="s">
        <v>257</v>
      </c>
      <c r="B253" s="603" t="s">
        <v>304</v>
      </c>
      <c r="C253" s="617"/>
      <c r="D253" s="474">
        <v>0</v>
      </c>
      <c r="E253" s="617"/>
      <c r="F253" s="617"/>
      <c r="G253" s="617"/>
      <c r="H253" s="617"/>
      <c r="I253" s="617"/>
      <c r="J253" s="617"/>
      <c r="K253" s="1693">
        <f t="shared" si="21"/>
        <v>0</v>
      </c>
      <c r="L253" s="466">
        <v>0</v>
      </c>
    </row>
    <row r="254" spans="1:12" ht="22.5" x14ac:dyDescent="0.2">
      <c r="A254" s="1526" t="s">
        <v>1087</v>
      </c>
      <c r="B254" s="684" t="s">
        <v>305</v>
      </c>
      <c r="C254" s="617"/>
      <c r="D254" s="474">
        <v>0</v>
      </c>
      <c r="E254" s="617"/>
      <c r="F254" s="617"/>
      <c r="G254" s="617"/>
      <c r="H254" s="617"/>
      <c r="I254" s="617"/>
      <c r="J254" s="617"/>
      <c r="K254" s="1693">
        <f t="shared" si="21"/>
        <v>0</v>
      </c>
      <c r="L254" s="466">
        <v>0</v>
      </c>
    </row>
    <row r="255" spans="1:12" x14ac:dyDescent="0.2">
      <c r="A255" s="1526" t="s">
        <v>1088</v>
      </c>
      <c r="B255" s="603" t="s">
        <v>306</v>
      </c>
      <c r="C255" s="617"/>
      <c r="D255" s="474">
        <v>0</v>
      </c>
      <c r="E255" s="617"/>
      <c r="F255" s="617"/>
      <c r="G255" s="617"/>
      <c r="H255" s="617"/>
      <c r="I255" s="617"/>
      <c r="J255" s="617"/>
      <c r="K255" s="1693">
        <f t="shared" si="21"/>
        <v>0</v>
      </c>
      <c r="L255" s="466">
        <v>0</v>
      </c>
    </row>
    <row r="256" spans="1:12" x14ac:dyDescent="0.2">
      <c r="A256" s="1526" t="s">
        <v>1028</v>
      </c>
      <c r="B256" s="615" t="s">
        <v>307</v>
      </c>
      <c r="C256" s="617"/>
      <c r="D256" s="474">
        <v>0</v>
      </c>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73928</v>
      </c>
      <c r="E257" s="617"/>
      <c r="F257" s="617"/>
      <c r="G257" s="617"/>
      <c r="H257" s="617"/>
      <c r="I257" s="617"/>
      <c r="J257" s="617"/>
      <c r="K257" s="1691">
        <f>SUM(K245:K256)</f>
        <v>73928</v>
      </c>
      <c r="L257" s="1691">
        <f>SUM(L245:L256)</f>
        <v>75320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160676</v>
      </c>
      <c r="E259" s="617"/>
      <c r="F259" s="617"/>
      <c r="G259" s="617"/>
      <c r="H259" s="617"/>
      <c r="I259" s="617"/>
      <c r="J259" s="617"/>
      <c r="K259" s="1693">
        <f>D259</f>
        <v>160676</v>
      </c>
      <c r="L259" s="481">
        <v>152770</v>
      </c>
    </row>
    <row r="260" spans="1:14" s="598" customFormat="1" x14ac:dyDescent="0.2">
      <c r="A260" s="1543" t="s">
        <v>1905</v>
      </c>
      <c r="B260" s="629">
        <v>2490</v>
      </c>
      <c r="C260" s="617"/>
      <c r="D260" s="466">
        <v>42886</v>
      </c>
      <c r="E260" s="617"/>
      <c r="F260" s="617"/>
      <c r="G260" s="617"/>
      <c r="H260" s="617"/>
      <c r="I260" s="617"/>
      <c r="J260" s="617"/>
      <c r="K260" s="1693">
        <f>D260</f>
        <v>42886</v>
      </c>
      <c r="L260" s="466">
        <v>31770</v>
      </c>
      <c r="M260" s="210"/>
      <c r="N260" s="210"/>
    </row>
    <row r="261" spans="1:14" ht="12.75" customHeight="1" thickBot="1" x14ac:dyDescent="0.25">
      <c r="A261" s="1713" t="s">
        <v>281</v>
      </c>
      <c r="B261" s="1718" t="s">
        <v>34</v>
      </c>
      <c r="C261" s="617"/>
      <c r="D261" s="1691">
        <f>SUM(D259:D260)</f>
        <v>203562</v>
      </c>
      <c r="E261" s="617"/>
      <c r="F261" s="617"/>
      <c r="G261" s="617"/>
      <c r="H261" s="617"/>
      <c r="I261" s="617"/>
      <c r="J261" s="617"/>
      <c r="K261" s="1691">
        <f>SUM(K259:K260)</f>
        <v>203562</v>
      </c>
      <c r="L261" s="1691">
        <f>SUM(L259:L260)</f>
        <v>184540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15538</v>
      </c>
      <c r="E263" s="617"/>
      <c r="F263" s="617"/>
      <c r="G263" s="617"/>
      <c r="H263" s="617"/>
      <c r="I263" s="617"/>
      <c r="J263" s="617"/>
      <c r="K263" s="1693">
        <f>D263</f>
        <v>15538</v>
      </c>
      <c r="L263" s="481">
        <v>14990</v>
      </c>
    </row>
    <row r="264" spans="1:14" x14ac:dyDescent="0.2">
      <c r="A264" s="1525" t="s">
        <v>483</v>
      </c>
      <c r="B264" s="686">
        <v>2520</v>
      </c>
      <c r="C264" s="617"/>
      <c r="D264" s="466">
        <v>74194</v>
      </c>
      <c r="E264" s="617"/>
      <c r="F264" s="617"/>
      <c r="G264" s="617"/>
      <c r="H264" s="617"/>
      <c r="I264" s="617"/>
      <c r="J264" s="617"/>
      <c r="K264" s="1693">
        <f t="shared" ref="K264:K269" si="22">D264</f>
        <v>74194</v>
      </c>
      <c r="L264" s="466">
        <v>71720</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988118</v>
      </c>
      <c r="E266" s="617"/>
      <c r="F266" s="617"/>
      <c r="G266" s="617"/>
      <c r="H266" s="617"/>
      <c r="I266" s="617"/>
      <c r="J266" s="617"/>
      <c r="K266" s="1693">
        <f t="shared" si="22"/>
        <v>988118</v>
      </c>
      <c r="L266" s="466">
        <v>1037260</v>
      </c>
    </row>
    <row r="267" spans="1:14" x14ac:dyDescent="0.2">
      <c r="A267" s="1525" t="s">
        <v>1010</v>
      </c>
      <c r="B267" s="615">
        <v>2550</v>
      </c>
      <c r="C267" s="617"/>
      <c r="D267" s="466">
        <v>0</v>
      </c>
      <c r="E267" s="617"/>
      <c r="F267" s="617"/>
      <c r="G267" s="617"/>
      <c r="H267" s="617"/>
      <c r="I267" s="617"/>
      <c r="J267" s="617"/>
      <c r="K267" s="1693">
        <f t="shared" si="22"/>
        <v>0</v>
      </c>
      <c r="L267" s="466">
        <v>0</v>
      </c>
    </row>
    <row r="268" spans="1:14" x14ac:dyDescent="0.2">
      <c r="A268" s="1525" t="s">
        <v>102</v>
      </c>
      <c r="B268" s="615">
        <v>2560</v>
      </c>
      <c r="C268" s="617"/>
      <c r="D268" s="466">
        <v>0</v>
      </c>
      <c r="E268" s="617"/>
      <c r="F268" s="617"/>
      <c r="G268" s="617"/>
      <c r="H268" s="617"/>
      <c r="I268" s="617"/>
      <c r="J268" s="617"/>
      <c r="K268" s="1693">
        <f t="shared" si="22"/>
        <v>0</v>
      </c>
      <c r="L268" s="466">
        <v>0</v>
      </c>
    </row>
    <row r="269" spans="1:14" x14ac:dyDescent="0.2">
      <c r="A269" s="1525" t="s">
        <v>103</v>
      </c>
      <c r="B269" s="615">
        <v>2570</v>
      </c>
      <c r="C269" s="617"/>
      <c r="D269" s="466">
        <v>26977</v>
      </c>
      <c r="E269" s="617"/>
      <c r="F269" s="617"/>
      <c r="G269" s="617"/>
      <c r="H269" s="617"/>
      <c r="I269" s="617"/>
      <c r="J269" s="617"/>
      <c r="K269" s="1693">
        <f t="shared" si="22"/>
        <v>26977</v>
      </c>
      <c r="L269" s="466">
        <v>29430</v>
      </c>
    </row>
    <row r="270" spans="1:14" ht="12.75" customHeight="1" thickBot="1" x14ac:dyDescent="0.25">
      <c r="A270" s="1689" t="s">
        <v>743</v>
      </c>
      <c r="B270" s="1696" t="s">
        <v>35</v>
      </c>
      <c r="C270" s="617"/>
      <c r="D270" s="1691">
        <f>SUM(D263:D269)</f>
        <v>1104827</v>
      </c>
      <c r="E270" s="617"/>
      <c r="F270" s="617"/>
      <c r="G270" s="617"/>
      <c r="H270" s="617"/>
      <c r="I270" s="617"/>
      <c r="J270" s="617"/>
      <c r="K270" s="1691">
        <f>SUM(K263:K269)</f>
        <v>1104827</v>
      </c>
      <c r="L270" s="1691">
        <f>SUM(L263:L269)</f>
        <v>1153400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93">
        <f>D272</f>
        <v>0</v>
      </c>
      <c r="L272" s="481">
        <v>0</v>
      </c>
    </row>
    <row r="273" spans="1:12" x14ac:dyDescent="0.2">
      <c r="A273" s="1525" t="s">
        <v>628</v>
      </c>
      <c r="B273" s="629">
        <v>2620</v>
      </c>
      <c r="C273" s="617"/>
      <c r="D273" s="466">
        <v>0</v>
      </c>
      <c r="E273" s="617"/>
      <c r="F273" s="617"/>
      <c r="G273" s="617"/>
      <c r="H273" s="617"/>
      <c r="I273" s="617"/>
      <c r="J273" s="617"/>
      <c r="K273" s="1693">
        <f>D273</f>
        <v>0</v>
      </c>
      <c r="L273" s="466">
        <v>0</v>
      </c>
    </row>
    <row r="274" spans="1:12" ht="12" customHeight="1" x14ac:dyDescent="0.2">
      <c r="A274" s="1525" t="s">
        <v>1121</v>
      </c>
      <c r="B274" s="615">
        <v>2630</v>
      </c>
      <c r="C274" s="617"/>
      <c r="D274" s="466">
        <v>22531</v>
      </c>
      <c r="E274" s="617"/>
      <c r="F274" s="617"/>
      <c r="G274" s="617"/>
      <c r="H274" s="617"/>
      <c r="I274" s="617"/>
      <c r="J274" s="617"/>
      <c r="K274" s="1693">
        <f>D274</f>
        <v>22531</v>
      </c>
      <c r="L274" s="466">
        <v>18060</v>
      </c>
    </row>
    <row r="275" spans="1:12" x14ac:dyDescent="0.2">
      <c r="A275" s="1525" t="s">
        <v>423</v>
      </c>
      <c r="B275" s="615">
        <v>2640</v>
      </c>
      <c r="C275" s="617"/>
      <c r="D275" s="466">
        <v>4150</v>
      </c>
      <c r="E275" s="617"/>
      <c r="F275" s="617"/>
      <c r="G275" s="617"/>
      <c r="H275" s="617"/>
      <c r="I275" s="617"/>
      <c r="J275" s="617"/>
      <c r="K275" s="1693">
        <f>D275</f>
        <v>4150</v>
      </c>
      <c r="L275" s="466">
        <v>0</v>
      </c>
    </row>
    <row r="276" spans="1:12" x14ac:dyDescent="0.2">
      <c r="A276" s="1525" t="s">
        <v>424</v>
      </c>
      <c r="B276" s="615">
        <v>2660</v>
      </c>
      <c r="C276" s="617"/>
      <c r="D276" s="466">
        <v>0</v>
      </c>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26681</v>
      </c>
      <c r="E277" s="617"/>
      <c r="F277" s="617"/>
      <c r="G277" s="617"/>
      <c r="H277" s="617"/>
      <c r="I277" s="617"/>
      <c r="J277" s="617"/>
      <c r="K277" s="1691">
        <f>SUM(K272:K276)</f>
        <v>26681</v>
      </c>
      <c r="L277" s="1691">
        <f>SUM(L272:L276)</f>
        <v>18060</v>
      </c>
    </row>
    <row r="278" spans="1:12" ht="13.5" customHeight="1" thickTop="1" x14ac:dyDescent="0.2">
      <c r="A278" s="1531" t="s">
        <v>1037</v>
      </c>
      <c r="B278" s="656" t="s">
        <v>595</v>
      </c>
      <c r="C278" s="617"/>
      <c r="D278" s="657">
        <v>0</v>
      </c>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2008488</v>
      </c>
      <c r="E279" s="617"/>
      <c r="F279" s="617"/>
      <c r="G279" s="617"/>
      <c r="H279" s="617"/>
      <c r="I279" s="617"/>
      <c r="J279" s="617"/>
      <c r="K279" s="1698">
        <f>SUM(K238,K243,K257,K261,K270,K277,K278)</f>
        <v>2008488</v>
      </c>
      <c r="L279" s="1698">
        <f>SUM(L238,L243,L257,L261,L270,L277,L278)</f>
        <v>2009310</v>
      </c>
    </row>
    <row r="280" spans="1:12" ht="15.75" customHeight="1" thickTop="1" thickBot="1" x14ac:dyDescent="0.25">
      <c r="A280" s="1645" t="s">
        <v>930</v>
      </c>
      <c r="B280" s="1634">
        <v>3000</v>
      </c>
      <c r="C280" s="617"/>
      <c r="D280" s="576">
        <v>62</v>
      </c>
      <c r="E280" s="617"/>
      <c r="F280" s="617"/>
      <c r="G280" s="617"/>
      <c r="H280" s="617"/>
      <c r="I280" s="617"/>
      <c r="J280" s="617"/>
      <c r="K280" s="1700">
        <f>D280</f>
        <v>62</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1955</v>
      </c>
      <c r="C282" s="617"/>
      <c r="D282" s="467">
        <v>0</v>
      </c>
      <c r="E282" s="617"/>
      <c r="F282" s="617"/>
      <c r="G282" s="617"/>
      <c r="H282" s="617"/>
      <c r="I282" s="617"/>
      <c r="J282" s="617"/>
      <c r="K282" s="1692">
        <f>D282</f>
        <v>0</v>
      </c>
      <c r="L282" s="467">
        <v>0</v>
      </c>
    </row>
    <row r="283" spans="1:12" x14ac:dyDescent="0.2">
      <c r="A283" s="1525" t="s">
        <v>322</v>
      </c>
      <c r="B283" s="615">
        <v>4120</v>
      </c>
      <c r="C283" s="617"/>
      <c r="D283" s="466">
        <v>0</v>
      </c>
      <c r="E283" s="617"/>
      <c r="F283" s="617"/>
      <c r="G283" s="617"/>
      <c r="H283" s="617"/>
      <c r="I283" s="617"/>
      <c r="J283" s="617"/>
      <c r="K283" s="1692">
        <f>D283</f>
        <v>0</v>
      </c>
      <c r="L283" s="466">
        <v>0</v>
      </c>
    </row>
    <row r="284" spans="1:12" x14ac:dyDescent="0.2">
      <c r="A284" s="1525" t="s">
        <v>721</v>
      </c>
      <c r="B284" s="615">
        <v>4140</v>
      </c>
      <c r="C284" s="617"/>
      <c r="D284" s="467">
        <v>0</v>
      </c>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1232</v>
      </c>
      <c r="B290" s="629" t="s">
        <v>638</v>
      </c>
      <c r="C290" s="617"/>
      <c r="D290" s="617"/>
      <c r="E290" s="617"/>
      <c r="F290" s="617"/>
      <c r="G290" s="617"/>
      <c r="H290" s="466">
        <v>0</v>
      </c>
      <c r="I290" s="617"/>
      <c r="J290" s="617"/>
      <c r="K290" s="1692">
        <f>H290</f>
        <v>0</v>
      </c>
      <c r="L290" s="466">
        <v>0</v>
      </c>
    </row>
    <row r="291" spans="1:14" x14ac:dyDescent="0.2">
      <c r="A291" s="1525" t="s">
        <v>91</v>
      </c>
      <c r="B291" s="615" t="s">
        <v>610</v>
      </c>
      <c r="C291" s="617"/>
      <c r="D291" s="617"/>
      <c r="E291" s="617"/>
      <c r="F291" s="617"/>
      <c r="G291" s="617"/>
      <c r="H291" s="466">
        <v>0</v>
      </c>
      <c r="I291" s="617"/>
      <c r="J291" s="617"/>
      <c r="K291" s="1692">
        <f>H291</f>
        <v>0</v>
      </c>
      <c r="L291" s="466">
        <v>0</v>
      </c>
    </row>
    <row r="292" spans="1:14" x14ac:dyDescent="0.2">
      <c r="A292" s="1525" t="s">
        <v>786</v>
      </c>
      <c r="B292" s="615" t="s">
        <v>639</v>
      </c>
      <c r="C292" s="617"/>
      <c r="D292" s="617"/>
      <c r="E292" s="617"/>
      <c r="F292" s="617"/>
      <c r="G292" s="617"/>
      <c r="H292" s="466">
        <v>0</v>
      </c>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97" t="s">
        <v>526</v>
      </c>
      <c r="B295" s="2198"/>
      <c r="C295" s="617"/>
      <c r="D295" s="1691">
        <f>SUM(D229,D279,D280,D285)</f>
        <v>3707942</v>
      </c>
      <c r="E295" s="617"/>
      <c r="F295" s="617"/>
      <c r="G295" s="617"/>
      <c r="H295" s="1691">
        <f>H293</f>
        <v>0</v>
      </c>
      <c r="I295" s="617"/>
      <c r="J295" s="617"/>
      <c r="K295" s="1691">
        <f>SUM(K229,K279,K280,K285,K293,K294)</f>
        <v>3707942</v>
      </c>
      <c r="L295" s="1691">
        <f>SUM(L229,L279,L280,L285,L293,L294)</f>
        <v>3779525</v>
      </c>
    </row>
    <row r="296" spans="1:14" ht="13.5" thickTop="1" x14ac:dyDescent="0.2">
      <c r="A296" s="2179" t="s">
        <v>1053</v>
      </c>
      <c r="B296" s="2180"/>
      <c r="C296" s="617"/>
      <c r="D296" s="619"/>
      <c r="E296" s="617"/>
      <c r="F296" s="617"/>
      <c r="G296" s="617"/>
      <c r="H296" s="688"/>
      <c r="I296" s="617"/>
      <c r="J296" s="617"/>
      <c r="K296" s="1705">
        <f>'Revenues 9-14'!G275-'Expenditures 15-22'!K295</f>
        <v>168954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v>0</v>
      </c>
      <c r="D301" s="466">
        <v>0</v>
      </c>
      <c r="E301" s="466">
        <v>0</v>
      </c>
      <c r="F301" s="466">
        <v>0</v>
      </c>
      <c r="G301" s="466">
        <v>5936656</v>
      </c>
      <c r="H301" s="466">
        <v>0</v>
      </c>
      <c r="I301" s="467">
        <v>0</v>
      </c>
      <c r="J301" s="467">
        <v>0</v>
      </c>
      <c r="K301" s="1692">
        <f>SUM(C301:J301)</f>
        <v>5936656</v>
      </c>
      <c r="L301" s="467">
        <v>8399000</v>
      </c>
    </row>
    <row r="302" spans="1:14" ht="13.5" customHeight="1" x14ac:dyDescent="0.2">
      <c r="A302" s="1538" t="s">
        <v>1037</v>
      </c>
      <c r="B302" s="615" t="s">
        <v>595</v>
      </c>
      <c r="C302" s="466">
        <v>0</v>
      </c>
      <c r="D302" s="466">
        <v>0</v>
      </c>
      <c r="E302" s="466">
        <v>0</v>
      </c>
      <c r="F302" s="466">
        <v>0</v>
      </c>
      <c r="G302" s="466">
        <v>0</v>
      </c>
      <c r="H302" s="466">
        <v>0</v>
      </c>
      <c r="I302" s="467">
        <v>0</v>
      </c>
      <c r="J302" s="467">
        <v>0</v>
      </c>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5936656</v>
      </c>
      <c r="H303" s="1698">
        <f t="shared" si="23"/>
        <v>0</v>
      </c>
      <c r="I303" s="1698">
        <f t="shared" si="23"/>
        <v>0</v>
      </c>
      <c r="J303" s="1698">
        <f t="shared" si="23"/>
        <v>0</v>
      </c>
      <c r="K303" s="1698">
        <f t="shared" si="23"/>
        <v>5936656</v>
      </c>
      <c r="L303" s="1698">
        <f t="shared" si="23"/>
        <v>8399000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1960</v>
      </c>
      <c r="B306" s="691" t="s">
        <v>1955</v>
      </c>
      <c r="C306" s="617"/>
      <c r="D306" s="617"/>
      <c r="E306" s="467">
        <v>0</v>
      </c>
      <c r="F306" s="617"/>
      <c r="G306" s="617"/>
      <c r="H306" s="467">
        <v>0</v>
      </c>
      <c r="I306" s="617"/>
      <c r="J306" s="617"/>
      <c r="K306" s="1692">
        <f>SUM(E306,H306)</f>
        <v>0</v>
      </c>
      <c r="L306" s="467">
        <v>0</v>
      </c>
    </row>
    <row r="307" spans="1:14" x14ac:dyDescent="0.2">
      <c r="A307" s="1525" t="s">
        <v>322</v>
      </c>
      <c r="B307" s="615">
        <v>4120</v>
      </c>
      <c r="C307" s="617"/>
      <c r="D307" s="617"/>
      <c r="E307" s="467">
        <v>0</v>
      </c>
      <c r="F307" s="617"/>
      <c r="G307" s="617"/>
      <c r="H307" s="467">
        <v>0</v>
      </c>
      <c r="I307" s="477"/>
      <c r="J307" s="617"/>
      <c r="K307" s="1692">
        <f>SUM(E307,H307)</f>
        <v>0</v>
      </c>
      <c r="L307" s="466">
        <v>0</v>
      </c>
    </row>
    <row r="308" spans="1:14" x14ac:dyDescent="0.2">
      <c r="A308" s="1525" t="s">
        <v>721</v>
      </c>
      <c r="B308" s="615">
        <v>4140</v>
      </c>
      <c r="C308" s="617"/>
      <c r="D308" s="617"/>
      <c r="E308" s="467">
        <v>0</v>
      </c>
      <c r="F308" s="617"/>
      <c r="G308" s="617"/>
      <c r="H308" s="467">
        <v>0</v>
      </c>
      <c r="I308" s="477"/>
      <c r="J308" s="617"/>
      <c r="K308" s="1692">
        <f>SUM(E308,H308)</f>
        <v>0</v>
      </c>
      <c r="L308" s="466">
        <v>0</v>
      </c>
    </row>
    <row r="309" spans="1:14" ht="12.75" customHeight="1" x14ac:dyDescent="0.2">
      <c r="A309" s="1529" t="s">
        <v>722</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94" t="s">
        <v>295</v>
      </c>
      <c r="B312" s="2195"/>
      <c r="C312" s="1691">
        <f>SUM(C303)</f>
        <v>0</v>
      </c>
      <c r="D312" s="1691">
        <f>SUM(D303)</f>
        <v>0</v>
      </c>
      <c r="E312" s="1691">
        <f>SUM(E303,E310)</f>
        <v>0</v>
      </c>
      <c r="F312" s="1691">
        <f>SUM(F303)</f>
        <v>0</v>
      </c>
      <c r="G312" s="1691">
        <f>SUM(G303)</f>
        <v>5936656</v>
      </c>
      <c r="H312" s="1691">
        <f>SUM(H303,H310)</f>
        <v>0</v>
      </c>
      <c r="I312" s="1691">
        <f>SUM(I303)</f>
        <v>0</v>
      </c>
      <c r="J312" s="1691">
        <f>SUM(J303)</f>
        <v>0</v>
      </c>
      <c r="K312" s="1691">
        <f>SUM(K303,K310,K311)</f>
        <v>5936656</v>
      </c>
      <c r="L312" s="1691">
        <f>SUM(L303,L310,L311)</f>
        <v>8399000</v>
      </c>
      <c r="M312" s="666"/>
      <c r="N312" s="666"/>
    </row>
    <row r="313" spans="1:14" ht="13.5" thickTop="1" x14ac:dyDescent="0.2">
      <c r="A313" s="2190" t="s">
        <v>1053</v>
      </c>
      <c r="B313" s="2191"/>
      <c r="C313" s="627"/>
      <c r="D313" s="627"/>
      <c r="E313" s="627"/>
      <c r="F313" s="627"/>
      <c r="G313" s="627"/>
      <c r="H313" s="627"/>
      <c r="I313" s="627"/>
      <c r="J313" s="627"/>
      <c r="K313" s="1706">
        <f>'Revenues 9-14'!H275-'Expenditures 15-22'!K312</f>
        <v>-5514996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v>0</v>
      </c>
      <c r="D319" s="467">
        <v>0</v>
      </c>
      <c r="E319" s="467">
        <v>0</v>
      </c>
      <c r="F319" s="467">
        <v>0</v>
      </c>
      <c r="G319" s="467">
        <v>0</v>
      </c>
      <c r="H319" s="467">
        <v>0</v>
      </c>
      <c r="I319" s="467">
        <v>0</v>
      </c>
      <c r="J319" s="467">
        <v>0</v>
      </c>
      <c r="K319" s="1692">
        <f>SUM(C319:J319)</f>
        <v>0</v>
      </c>
      <c r="L319" s="467">
        <v>0</v>
      </c>
      <c r="M319" s="666"/>
      <c r="N319" s="666"/>
    </row>
    <row r="320" spans="1:14" s="675" customFormat="1" x14ac:dyDescent="0.2">
      <c r="A320" s="1544" t="s">
        <v>1906</v>
      </c>
      <c r="B320" s="699" t="s">
        <v>300</v>
      </c>
      <c r="C320" s="467">
        <v>0</v>
      </c>
      <c r="D320" s="467">
        <v>204296</v>
      </c>
      <c r="E320" s="467">
        <v>0</v>
      </c>
      <c r="F320" s="467">
        <v>0</v>
      </c>
      <c r="G320" s="467">
        <v>0</v>
      </c>
      <c r="H320" s="467">
        <v>0</v>
      </c>
      <c r="I320" s="467">
        <v>0</v>
      </c>
      <c r="J320" s="467">
        <v>0</v>
      </c>
      <c r="K320" s="1692">
        <f t="shared" ref="K320:K327" si="24">SUM(C320:J320)</f>
        <v>204296</v>
      </c>
      <c r="L320" s="467">
        <v>400000</v>
      </c>
      <c r="M320" s="666"/>
      <c r="N320" s="666"/>
    </row>
    <row r="321" spans="1:14" s="675" customFormat="1" x14ac:dyDescent="0.2">
      <c r="A321" s="1540" t="s">
        <v>318</v>
      </c>
      <c r="B321" s="698" t="s">
        <v>301</v>
      </c>
      <c r="C321" s="467">
        <v>0</v>
      </c>
      <c r="D321" s="467">
        <v>2437</v>
      </c>
      <c r="E321" s="467">
        <v>0</v>
      </c>
      <c r="F321" s="467">
        <v>0</v>
      </c>
      <c r="G321" s="467">
        <v>0</v>
      </c>
      <c r="H321" s="467">
        <v>0</v>
      </c>
      <c r="I321" s="467">
        <v>0</v>
      </c>
      <c r="J321" s="467">
        <v>0</v>
      </c>
      <c r="K321" s="1692">
        <f t="shared" si="24"/>
        <v>2437</v>
      </c>
      <c r="L321" s="467">
        <v>36000</v>
      </c>
      <c r="M321" s="666"/>
      <c r="N321" s="666"/>
    </row>
    <row r="322" spans="1:14" s="675" customFormat="1" x14ac:dyDescent="0.2">
      <c r="A322" s="1540" t="s">
        <v>256</v>
      </c>
      <c r="B322" s="698" t="s">
        <v>302</v>
      </c>
      <c r="C322" s="467">
        <v>0</v>
      </c>
      <c r="D322" s="467">
        <v>0</v>
      </c>
      <c r="E322" s="467">
        <v>178015</v>
      </c>
      <c r="F322" s="467">
        <v>0</v>
      </c>
      <c r="G322" s="467">
        <v>0</v>
      </c>
      <c r="H322" s="467">
        <v>0</v>
      </c>
      <c r="I322" s="467">
        <v>0</v>
      </c>
      <c r="J322" s="467">
        <v>0</v>
      </c>
      <c r="K322" s="1692">
        <f t="shared" si="24"/>
        <v>178015</v>
      </c>
      <c r="L322" s="467">
        <v>203000</v>
      </c>
      <c r="M322" s="666"/>
      <c r="N322" s="666"/>
    </row>
    <row r="323" spans="1:14" s="675" customFormat="1" x14ac:dyDescent="0.2">
      <c r="A323" s="1540" t="s">
        <v>726</v>
      </c>
      <c r="B323" s="698" t="s">
        <v>303</v>
      </c>
      <c r="C323" s="467">
        <v>0</v>
      </c>
      <c r="D323" s="467">
        <v>0</v>
      </c>
      <c r="E323" s="467">
        <v>0</v>
      </c>
      <c r="F323" s="467">
        <v>0</v>
      </c>
      <c r="G323" s="467">
        <v>0</v>
      </c>
      <c r="H323" s="467">
        <v>0</v>
      </c>
      <c r="I323" s="467">
        <v>0</v>
      </c>
      <c r="J323" s="467">
        <v>0</v>
      </c>
      <c r="K323" s="1692">
        <f t="shared" si="24"/>
        <v>0</v>
      </c>
      <c r="L323" s="467">
        <v>0</v>
      </c>
      <c r="M323" s="666"/>
      <c r="N323" s="666"/>
    </row>
    <row r="324" spans="1:14" s="675" customFormat="1" x14ac:dyDescent="0.2">
      <c r="A324" s="1540" t="s">
        <v>257</v>
      </c>
      <c r="B324" s="698" t="s">
        <v>304</v>
      </c>
      <c r="C324" s="467">
        <v>0</v>
      </c>
      <c r="D324" s="467">
        <v>0</v>
      </c>
      <c r="E324" s="467">
        <v>0</v>
      </c>
      <c r="F324" s="467">
        <v>0</v>
      </c>
      <c r="G324" s="467">
        <v>0</v>
      </c>
      <c r="H324" s="467">
        <v>0</v>
      </c>
      <c r="I324" s="467">
        <v>0</v>
      </c>
      <c r="J324" s="467">
        <v>0</v>
      </c>
      <c r="K324" s="1692">
        <f t="shared" si="24"/>
        <v>0</v>
      </c>
      <c r="L324" s="467">
        <v>0</v>
      </c>
      <c r="M324" s="666"/>
      <c r="N324" s="666"/>
    </row>
    <row r="325" spans="1:14" s="675" customFormat="1" ht="22.5" x14ac:dyDescent="0.2">
      <c r="A325" s="1540" t="s">
        <v>1087</v>
      </c>
      <c r="B325" s="699" t="s">
        <v>305</v>
      </c>
      <c r="C325" s="467">
        <v>0</v>
      </c>
      <c r="D325" s="467">
        <v>0</v>
      </c>
      <c r="E325" s="467">
        <v>0</v>
      </c>
      <c r="F325" s="467">
        <v>0</v>
      </c>
      <c r="G325" s="467">
        <v>0</v>
      </c>
      <c r="H325" s="467">
        <v>0</v>
      </c>
      <c r="I325" s="467">
        <v>0</v>
      </c>
      <c r="J325" s="467">
        <v>0</v>
      </c>
      <c r="K325" s="1692">
        <f t="shared" si="24"/>
        <v>0</v>
      </c>
      <c r="L325" s="467">
        <v>0</v>
      </c>
      <c r="M325" s="666"/>
      <c r="N325" s="666"/>
    </row>
    <row r="326" spans="1:14" s="675" customFormat="1" x14ac:dyDescent="0.2">
      <c r="A326" s="1540" t="s">
        <v>1088</v>
      </c>
      <c r="B326" s="698" t="s">
        <v>306</v>
      </c>
      <c r="C326" s="467">
        <v>0</v>
      </c>
      <c r="D326" s="467">
        <v>0</v>
      </c>
      <c r="E326" s="467">
        <v>0</v>
      </c>
      <c r="F326" s="467">
        <v>0</v>
      </c>
      <c r="G326" s="467">
        <v>0</v>
      </c>
      <c r="H326" s="467">
        <v>0</v>
      </c>
      <c r="I326" s="467">
        <v>0</v>
      </c>
      <c r="J326" s="467">
        <v>0</v>
      </c>
      <c r="K326" s="1692">
        <f t="shared" si="24"/>
        <v>0</v>
      </c>
      <c r="L326" s="467">
        <v>0</v>
      </c>
      <c r="M326" s="666"/>
      <c r="N326" s="666"/>
    </row>
    <row r="327" spans="1:14" s="675" customFormat="1" x14ac:dyDescent="0.2">
      <c r="A327" s="1540" t="s">
        <v>1028</v>
      </c>
      <c r="B327" s="698" t="s">
        <v>307</v>
      </c>
      <c r="C327" s="467">
        <v>0</v>
      </c>
      <c r="D327" s="467">
        <v>0</v>
      </c>
      <c r="E327" s="467">
        <v>133947</v>
      </c>
      <c r="F327" s="467">
        <v>0</v>
      </c>
      <c r="G327" s="467">
        <v>0</v>
      </c>
      <c r="H327" s="467">
        <v>0</v>
      </c>
      <c r="I327" s="467">
        <v>0</v>
      </c>
      <c r="J327" s="467">
        <v>0</v>
      </c>
      <c r="K327" s="1692">
        <f t="shared" si="24"/>
        <v>133947</v>
      </c>
      <c r="L327" s="467">
        <v>210000</v>
      </c>
      <c r="M327" s="666"/>
      <c r="N327" s="666"/>
    </row>
    <row r="328" spans="1:14" s="675" customFormat="1" x14ac:dyDescent="0.2">
      <c r="A328" s="1541" t="s">
        <v>492</v>
      </c>
      <c r="B328" s="691" t="s">
        <v>1194</v>
      </c>
      <c r="C328" s="474">
        <v>0</v>
      </c>
      <c r="D328" s="474">
        <v>0</v>
      </c>
      <c r="E328" s="474">
        <v>282073</v>
      </c>
      <c r="F328" s="474">
        <v>0</v>
      </c>
      <c r="G328" s="474">
        <v>0</v>
      </c>
      <c r="H328" s="474">
        <v>0</v>
      </c>
      <c r="I328" s="474">
        <v>0</v>
      </c>
      <c r="J328" s="474">
        <v>0</v>
      </c>
      <c r="K328" s="1720">
        <f>SUM(C328:J328)</f>
        <v>282073</v>
      </c>
      <c r="L328" s="474">
        <v>320000</v>
      </c>
      <c r="M328" s="666"/>
      <c r="N328" s="666"/>
    </row>
    <row r="329" spans="1:14" s="675" customFormat="1" x14ac:dyDescent="0.2">
      <c r="A329" s="1541" t="s">
        <v>1195</v>
      </c>
      <c r="B329" s="691" t="s">
        <v>1196</v>
      </c>
      <c r="C329" s="474">
        <v>0</v>
      </c>
      <c r="D329" s="474">
        <v>0</v>
      </c>
      <c r="E329" s="474">
        <v>0</v>
      </c>
      <c r="F329" s="474">
        <v>0</v>
      </c>
      <c r="G329" s="474">
        <v>0</v>
      </c>
      <c r="H329" s="474">
        <v>0</v>
      </c>
      <c r="I329" s="474">
        <v>0</v>
      </c>
      <c r="J329" s="474">
        <v>0</v>
      </c>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206733</v>
      </c>
      <c r="E330" s="1691">
        <f t="shared" si="25"/>
        <v>594035</v>
      </c>
      <c r="F330" s="1691">
        <f t="shared" si="25"/>
        <v>0</v>
      </c>
      <c r="G330" s="1691">
        <f t="shared" si="25"/>
        <v>0</v>
      </c>
      <c r="H330" s="1691">
        <f t="shared" si="25"/>
        <v>0</v>
      </c>
      <c r="I330" s="1691">
        <f t="shared" si="25"/>
        <v>0</v>
      </c>
      <c r="J330" s="1691">
        <f t="shared" si="25"/>
        <v>0</v>
      </c>
      <c r="K330" s="1691">
        <f>SUM(K319:K329)</f>
        <v>800768</v>
      </c>
      <c r="L330" s="1691">
        <f>SUM(L319:L329)</f>
        <v>1169000</v>
      </c>
      <c r="M330" s="666"/>
      <c r="N330" s="666"/>
    </row>
    <row r="331" spans="1:14" s="675" customFormat="1" ht="12.75" customHeight="1" thickTop="1" x14ac:dyDescent="0.2">
      <c r="A331" s="1853" t="s">
        <v>1961</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1955</v>
      </c>
      <c r="C332" s="1855"/>
      <c r="D332" s="1855"/>
      <c r="E332" s="1855"/>
      <c r="F332" s="1855"/>
      <c r="G332" s="1855"/>
      <c r="H332" s="467">
        <v>0</v>
      </c>
      <c r="I332" s="1855"/>
      <c r="J332" s="1855"/>
      <c r="K332" s="1692">
        <f>H332</f>
        <v>0</v>
      </c>
      <c r="L332" s="467">
        <v>0</v>
      </c>
      <c r="M332" s="666"/>
      <c r="N332" s="666"/>
    </row>
    <row r="333" spans="1:14" s="675" customFormat="1" ht="12.75" customHeight="1" x14ac:dyDescent="0.2">
      <c r="A333" s="1854" t="s">
        <v>322</v>
      </c>
      <c r="B333" s="1849" t="s">
        <v>1957</v>
      </c>
      <c r="C333" s="1855"/>
      <c r="D333" s="1855"/>
      <c r="E333" s="1855"/>
      <c r="F333" s="1855"/>
      <c r="G333" s="1855"/>
      <c r="H333" s="467">
        <v>0</v>
      </c>
      <c r="I333" s="1855"/>
      <c r="J333" s="1855"/>
      <c r="K333" s="1692">
        <f>H333</f>
        <v>0</v>
      </c>
      <c r="L333" s="467">
        <v>0</v>
      </c>
      <c r="M333" s="666"/>
      <c r="N333" s="666"/>
    </row>
    <row r="334" spans="1:14" s="675" customFormat="1" ht="12.75" customHeight="1" thickBot="1" x14ac:dyDescent="0.25">
      <c r="A334" s="1854" t="s">
        <v>1962</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v>0</v>
      </c>
      <c r="I337" s="639"/>
      <c r="J337" s="639"/>
      <c r="K337" s="1692">
        <f>H337</f>
        <v>0</v>
      </c>
      <c r="L337" s="478">
        <v>0</v>
      </c>
    </row>
    <row r="338" spans="1:14" ht="12.75" customHeight="1" x14ac:dyDescent="0.2">
      <c r="A338" s="1539" t="s">
        <v>1232</v>
      </c>
      <c r="B338" s="691" t="s">
        <v>638</v>
      </c>
      <c r="C338" s="639"/>
      <c r="D338" s="639"/>
      <c r="E338" s="639"/>
      <c r="F338" s="639"/>
      <c r="G338" s="639"/>
      <c r="H338" s="478">
        <v>0</v>
      </c>
      <c r="I338" s="639"/>
      <c r="J338" s="639"/>
      <c r="K338" s="1692">
        <f>H338</f>
        <v>0</v>
      </c>
      <c r="L338" s="478">
        <v>0</v>
      </c>
    </row>
    <row r="339" spans="1:14" x14ac:dyDescent="0.2">
      <c r="A339" s="1525" t="s">
        <v>957</v>
      </c>
      <c r="B339" s="629">
        <v>5150</v>
      </c>
      <c r="C339" s="639"/>
      <c r="D339" s="639"/>
      <c r="E339" s="639"/>
      <c r="F339" s="639"/>
      <c r="G339" s="639"/>
      <c r="H339" s="467">
        <v>0</v>
      </c>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206733</v>
      </c>
      <c r="E342" s="1691">
        <f>SUM(E330)</f>
        <v>594035</v>
      </c>
      <c r="F342" s="1691">
        <f>SUM(F330)</f>
        <v>0</v>
      </c>
      <c r="G342" s="1691">
        <f>SUM(G330)</f>
        <v>0</v>
      </c>
      <c r="H342" s="1691">
        <f>SUM(H330,H334,H340)</f>
        <v>0</v>
      </c>
      <c r="I342" s="1691">
        <f>SUM(I330)</f>
        <v>0</v>
      </c>
      <c r="J342" s="1691">
        <f>SUM(J330)</f>
        <v>0</v>
      </c>
      <c r="K342" s="1691">
        <f>SUM(K330,K334,K340)</f>
        <v>800768</v>
      </c>
      <c r="L342" s="1698">
        <f>SUM(L330,L340,L341)</f>
        <v>1169000</v>
      </c>
    </row>
    <row r="343" spans="1:14" ht="12.75" customHeight="1" thickTop="1" x14ac:dyDescent="0.2">
      <c r="A343" s="2192" t="s">
        <v>1053</v>
      </c>
      <c r="B343" s="2193"/>
      <c r="C343" s="617"/>
      <c r="D343" s="617"/>
      <c r="E343" s="617"/>
      <c r="F343" s="617"/>
      <c r="G343" s="617"/>
      <c r="H343" s="617"/>
      <c r="I343" s="617"/>
      <c r="J343" s="617"/>
      <c r="K343" s="1705">
        <f>'Revenues 9-14'!J275-'Expenditures 15-22'!K342</f>
        <v>349477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1262606</v>
      </c>
      <c r="H348" s="466">
        <v>0</v>
      </c>
      <c r="I348" s="467">
        <v>0</v>
      </c>
      <c r="J348" s="467">
        <v>0</v>
      </c>
      <c r="K348" s="1692">
        <f>SUM(C348:J348)</f>
        <v>1262606</v>
      </c>
      <c r="L348" s="466">
        <v>230000</v>
      </c>
    </row>
    <row r="349" spans="1:14" x14ac:dyDescent="0.2">
      <c r="A349" s="1525" t="s">
        <v>206</v>
      </c>
      <c r="B349" s="615">
        <v>2540</v>
      </c>
      <c r="C349" s="466">
        <v>0</v>
      </c>
      <c r="D349" s="466">
        <v>0</v>
      </c>
      <c r="E349" s="466">
        <v>0</v>
      </c>
      <c r="F349" s="466">
        <v>0</v>
      </c>
      <c r="G349" s="466">
        <v>0</v>
      </c>
      <c r="H349" s="466">
        <v>0</v>
      </c>
      <c r="I349" s="467">
        <v>0</v>
      </c>
      <c r="J349" s="467">
        <v>0</v>
      </c>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1262606</v>
      </c>
      <c r="H350" s="1691">
        <f t="shared" si="26"/>
        <v>0</v>
      </c>
      <c r="I350" s="1691">
        <f t="shared" si="26"/>
        <v>0</v>
      </c>
      <c r="J350" s="1691">
        <f t="shared" si="26"/>
        <v>0</v>
      </c>
      <c r="K350" s="1691">
        <f t="shared" si="26"/>
        <v>1262606</v>
      </c>
      <c r="L350" s="1691">
        <f t="shared" si="26"/>
        <v>230000</v>
      </c>
    </row>
    <row r="351" spans="1:14" ht="12.75" customHeight="1" thickTop="1" x14ac:dyDescent="0.2">
      <c r="A351" s="1531"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1262606</v>
      </c>
      <c r="H352" s="1691">
        <f t="shared" si="27"/>
        <v>0</v>
      </c>
      <c r="I352" s="1691">
        <f t="shared" si="27"/>
        <v>0</v>
      </c>
      <c r="J352" s="1691">
        <f t="shared" si="27"/>
        <v>0</v>
      </c>
      <c r="K352" s="1691">
        <f t="shared" si="27"/>
        <v>1262606</v>
      </c>
      <c r="L352" s="1691">
        <f t="shared" si="27"/>
        <v>230000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v>0</v>
      </c>
      <c r="I354" s="702"/>
      <c r="J354" s="617"/>
      <c r="K354" s="1720">
        <f>H354</f>
        <v>0</v>
      </c>
      <c r="L354" s="471">
        <v>0</v>
      </c>
    </row>
    <row r="355" spans="1:14" ht="12.75" customHeight="1" x14ac:dyDescent="0.2">
      <c r="A355" s="1534" t="s">
        <v>1964</v>
      </c>
      <c r="B355" s="691" t="s">
        <v>1957</v>
      </c>
      <c r="C355" s="617"/>
      <c r="D355" s="617"/>
      <c r="E355" s="617"/>
      <c r="F355" s="617"/>
      <c r="G355" s="617"/>
      <c r="H355" s="467">
        <v>0</v>
      </c>
      <c r="I355" s="702"/>
      <c r="J355" s="617"/>
      <c r="K355" s="1764">
        <f>H355</f>
        <v>0</v>
      </c>
      <c r="L355" s="467">
        <v>0</v>
      </c>
    </row>
    <row r="356" spans="1:14" ht="12.75" customHeight="1" x14ac:dyDescent="0.2">
      <c r="A356" s="1856" t="s">
        <v>722</v>
      </c>
      <c r="B356" s="684" t="s">
        <v>579</v>
      </c>
      <c r="C356" s="617"/>
      <c r="D356" s="617"/>
      <c r="E356" s="617"/>
      <c r="F356" s="617"/>
      <c r="G356" s="617"/>
      <c r="H356" s="479">
        <v>0</v>
      </c>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640</v>
      </c>
      <c r="B361" s="603" t="s">
        <v>639</v>
      </c>
      <c r="C361" s="617"/>
      <c r="D361" s="617"/>
      <c r="E361" s="617"/>
      <c r="F361" s="617"/>
      <c r="G361" s="617"/>
      <c r="H361" s="467">
        <v>0</v>
      </c>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v>0</v>
      </c>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1262606</v>
      </c>
      <c r="H367" s="1691">
        <f t="shared" si="28"/>
        <v>0</v>
      </c>
      <c r="I367" s="1691">
        <f t="shared" si="28"/>
        <v>0</v>
      </c>
      <c r="J367" s="1691">
        <f t="shared" si="28"/>
        <v>0</v>
      </c>
      <c r="K367" s="1691">
        <f t="shared" si="28"/>
        <v>1262606</v>
      </c>
      <c r="L367" s="1691">
        <f t="shared" si="28"/>
        <v>230000</v>
      </c>
    </row>
    <row r="368" spans="1:14" ht="13.5" thickTop="1" x14ac:dyDescent="0.2">
      <c r="A368" s="2179" t="s">
        <v>1053</v>
      </c>
      <c r="B368" s="2180"/>
      <c r="C368" s="655"/>
      <c r="D368" s="655"/>
      <c r="E368" s="627"/>
      <c r="F368" s="627"/>
      <c r="G368" s="627"/>
      <c r="H368" s="627"/>
      <c r="I368" s="627"/>
      <c r="J368" s="624"/>
      <c r="K368" s="1692">
        <f>'Revenues 9-14'!K275-'Expenditures 15-22'!K367</f>
        <v>-138831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purl.org/dc/terms/"/>
    <ds:schemaRef ds:uri="http://schemas.microsoft.com/office/2006/metadata/properties"/>
    <ds:schemaRef ds:uri="http://schemas.microsoft.com/sharepoint/v3"/>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2018-09-19T00:24:48Z</cp:lastPrinted>
  <dcterms:created xsi:type="dcterms:W3CDTF">2003-10-29T19:06:34Z</dcterms:created>
  <dcterms:modified xsi:type="dcterms:W3CDTF">2021-02-03T23:28:45Z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