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0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D35" i="171" l="1"/>
  <c r="N21" i="3" l="1"/>
  <c r="D39" i="3" l="1"/>
  <c r="J31" i="8" l="1"/>
  <c r="B4" i="183" l="1"/>
  <c r="I25" i="179"/>
  <c r="G26" i="179"/>
  <c r="I20" i="179"/>
  <c r="L22" i="179"/>
  <c r="D75" i="4"/>
  <c r="H79" i="29" l="1"/>
  <c r="E71" i="29"/>
  <c r="C79" i="5"/>
  <c r="I8" i="11"/>
  <c r="D8" i="11"/>
  <c r="J39" i="8"/>
  <c r="J38" i="8"/>
  <c r="J37" i="8"/>
  <c r="J36" i="8"/>
  <c r="J35" i="8"/>
  <c r="J34" i="8"/>
  <c r="J33" i="8"/>
  <c r="J32" i="8"/>
  <c r="I39" i="3"/>
  <c r="C3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l="1"/>
  <c r="D81" i="36" s="1"/>
  <c r="F74" i="34"/>
  <c r="F60" i="34"/>
  <c r="F59" i="34"/>
  <c r="F13" i="34" l="1"/>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F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6" i="179" l="1"/>
  <c r="L25" i="179"/>
  <c r="L20" i="179"/>
  <c r="L19" i="179"/>
  <c r="L18" i="179"/>
  <c r="L14" i="179"/>
  <c r="L13"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F136" i="34" s="1"/>
  <c r="C259" i="5"/>
  <c r="B7761" i="106"/>
  <c r="L127" i="29"/>
  <c r="L129" i="29" s="1"/>
  <c r="L139" i="29"/>
  <c r="L149" i="29"/>
  <c r="I7" i="145"/>
  <c r="I6" i="145"/>
  <c r="D78" i="36"/>
  <c r="K75" i="29"/>
  <c r="K130" i="29"/>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E28" i="108"/>
  <c r="F28" i="108"/>
  <c r="F36" i="108"/>
  <c r="G28" i="108"/>
  <c r="E29" i="108"/>
  <c r="G29" i="108"/>
  <c r="E30" i="108"/>
  <c r="G30" i="108"/>
  <c r="D36" i="108"/>
  <c r="E31" i="108"/>
  <c r="G31" i="108"/>
  <c r="E33" i="108"/>
  <c r="G33"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1" i="34"/>
  <c r="F130" i="34"/>
  <c r="F128" i="34"/>
  <c r="F127" i="34"/>
  <c r="F111" i="34"/>
  <c r="B5847" i="106"/>
  <c r="D5847" i="106" s="1"/>
  <c r="B5752" i="106"/>
  <c r="D5752" i="106" s="1"/>
  <c r="B5599" i="106"/>
  <c r="D5599" i="106" s="1"/>
  <c r="K274" i="5"/>
  <c r="H173" i="5"/>
  <c r="B5906" i="106" s="1"/>
  <c r="D5906" i="106" s="1"/>
  <c r="H109" i="5"/>
  <c r="B6025" i="106" s="1"/>
  <c r="D6025" i="106" s="1"/>
  <c r="F106" i="34"/>
  <c r="D7" i="7"/>
  <c r="B1763" i="106" s="1"/>
  <c r="D1763" i="106" s="1"/>
  <c r="H6" i="4"/>
  <c r="B2656" i="106" s="1"/>
  <c r="D2656" i="106" s="1"/>
  <c r="D17" i="7"/>
  <c r="B4104" i="106" s="1"/>
  <c r="D4104" i="106" s="1"/>
  <c r="D12" i="7"/>
  <c r="B1769" i="106" s="1"/>
  <c r="D1769" i="106" s="1"/>
  <c r="D11" i="7"/>
  <c r="B1768" i="106" s="1"/>
  <c r="D1768" i="106" s="1"/>
  <c r="D15" i="7"/>
  <c r="B1772" i="106" s="1"/>
  <c r="D1772" i="106" s="1"/>
  <c r="F19" i="7" l="1"/>
  <c r="B1807" i="106" s="1"/>
  <c r="D1807" i="106" s="1"/>
  <c r="G352" i="29"/>
  <c r="K350" i="29"/>
  <c r="L312" i="29"/>
  <c r="H4" i="4"/>
  <c r="B2655" i="106" s="1"/>
  <c r="D2655" i="106" s="1"/>
  <c r="B1410" i="106"/>
  <c r="D1410" i="106" s="1"/>
  <c r="G109" i="5"/>
  <c r="B6024" i="106" s="1"/>
  <c r="D6024" i="106" s="1"/>
  <c r="G210" i="29"/>
  <c r="K184" i="29"/>
  <c r="F13" i="4" s="1"/>
  <c r="B2596" i="106" s="1"/>
  <c r="D2596" i="106" s="1"/>
  <c r="B1329" i="106"/>
  <c r="D1329" i="106" s="1"/>
  <c r="F61" i="34"/>
  <c r="E109" i="5"/>
  <c r="E4" i="4" s="1"/>
  <c r="B2630" i="106" s="1"/>
  <c r="D2630" i="106" s="1"/>
  <c r="B1746" i="106"/>
  <c r="D1746" i="106" s="1"/>
  <c r="C129" i="29"/>
  <c r="B1225" i="106" s="1"/>
  <c r="D1225" i="106" s="1"/>
  <c r="D109" i="5"/>
  <c r="F37" i="108"/>
  <c r="D37" i="108"/>
  <c r="G35" i="108"/>
  <c r="E35" i="108"/>
  <c r="D31" i="108"/>
  <c r="D26" i="108"/>
  <c r="B1126" i="106"/>
  <c r="D1126" i="106" s="1"/>
  <c r="F26" i="108"/>
  <c r="F41" i="34"/>
  <c r="C172" i="5"/>
  <c r="B5214" i="106" s="1"/>
  <c r="D5214" i="106" s="1"/>
  <c r="C109" i="5"/>
  <c r="B5121" i="106" s="1"/>
  <c r="D5121" i="106" s="1"/>
  <c r="B5096" i="106"/>
  <c r="D5096" i="106" s="1"/>
  <c r="D52" i="36"/>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B6893" i="106"/>
  <c r="D6893" i="106" s="1"/>
  <c r="F47" i="34"/>
  <c r="B6877" i="106"/>
  <c r="D6877" i="106" s="1"/>
  <c r="F39" i="34"/>
  <c r="B6216" i="106"/>
  <c r="D6216" i="106" s="1"/>
  <c r="D51" i="36"/>
  <c r="B3703" i="106"/>
  <c r="D3703" i="106" s="1"/>
  <c r="K362" i="29"/>
  <c r="B3676" i="106" s="1"/>
  <c r="D3676" i="106" s="1"/>
  <c r="B3660" i="106"/>
  <c r="D366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D19" i="7" s="1"/>
  <c r="B1775" i="106" s="1"/>
  <c r="D1775"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H8" i="4"/>
  <c r="D274" i="5"/>
  <c r="B3447" i="106"/>
  <c r="D3447" i="106" s="1"/>
  <c r="B7270" i="106"/>
  <c r="D41" i="108" l="1"/>
  <c r="E43" i="108" s="1"/>
  <c r="B3649" i="106"/>
  <c r="D3649" i="106" s="1"/>
  <c r="G367" i="29"/>
  <c r="B3650" i="106" s="1"/>
  <c r="D3650" i="106" s="1"/>
  <c r="B3670" i="106"/>
  <c r="D3670" i="106" s="1"/>
  <c r="K352" i="29"/>
  <c r="K367" i="29" s="1"/>
  <c r="G4" i="4"/>
  <c r="B2603" i="106" s="1"/>
  <c r="D2603" i="106" s="1"/>
  <c r="B1365" i="106"/>
  <c r="D1365" i="106" s="1"/>
  <c r="F65" i="34"/>
  <c r="B1317" i="106"/>
  <c r="D1317" i="106" s="1"/>
  <c r="B5356" i="106"/>
  <c r="D5356" i="106" s="1"/>
  <c r="D4" i="4"/>
  <c r="B2564" i="106" s="1"/>
  <c r="D2564" i="106" s="1"/>
  <c r="L114" i="29"/>
  <c r="F41" i="108"/>
  <c r="G43" i="108" s="1"/>
  <c r="C114" i="29"/>
  <c r="B757" i="106" s="1"/>
  <c r="D757" i="106" s="1"/>
  <c r="C173" i="5"/>
  <c r="B5223" i="106" s="1"/>
  <c r="D5223" i="106" s="1"/>
  <c r="C4" i="4"/>
  <c r="B2551" i="106" s="1"/>
  <c r="D2551"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E41" i="108"/>
  <c r="E44" i="108" s="1"/>
  <c r="E45" i="108" s="1"/>
  <c r="G41" i="108"/>
  <c r="G44" i="108" s="1"/>
  <c r="G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<sst xmlns="http://schemas.openxmlformats.org/spreadsheetml/2006/main" count="5175" uniqueCount="2161">
  <si>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</si>
  <si>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</si>
  <si>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</si>
  <si>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</si>
  <si>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</si>
  <si>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</si>
  <si>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</si>
  <si>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</si>
  <si>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</si>
  <si>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</si>
  <si>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</si>
  <si>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</si>
  <si>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</si>
  <si>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</si>
  <si>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</si>
  <si>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</si>
  <si>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</si>
  <si>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</si>
  <si>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</si>
  <si>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</si>
  <si>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</si>
  <si>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</si>
  <si>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</si>
  <si>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</si>
  <si>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</si>
  <si>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</si>
  <si>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</si>
  <si>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</si>
  <si>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</si>
  <si>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</si>
  <si>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</si>
  <si>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</si>
  <si>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</si>
  <si>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</si>
  <si>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</si>
  <si>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</si>
  <si>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</si>
  <si>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</si>
  <si>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</si>
  <si>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</si>
  <si>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</si>
  <si>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</si>
  <si>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</si>
  <si>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</si>
  <si>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</si>
  <si>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</si>
  <si>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</si>
  <si>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</si>
  <si>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</si>
  <si>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</si>
  <si>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</si>
  <si>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</si>
  <si>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</si>
  <si>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</si>
  <si>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</si>
  <si>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</si>
  <si>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</si>
  <si>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</si>
  <si>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</si>
  <si>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</si>
  <si>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</si>
  <si>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</si>
  <si>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</si>
  <si>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</si>
  <si>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</si>
  <si>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</si>
  <si>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</si>
  <si>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</si>
  <si>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</si>
  <si>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</si>
  <si>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</si>
  <si>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</si>
  <si>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</si>
  <si>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</si>
  <si>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</si>
  <si>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</si>
  <si>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</si>
  <si>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</si>
  <si>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</si>
  <si>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</si>
  <si>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</si>
  <si>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</si>
  <si>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</si>
  <si>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</si>
  <si>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</si>
  <si>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</si>
  <si>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</si>
  <si>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</si>
  <si>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</si>
  <si>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</si>
  <si>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</si>
  <si>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</si>
  <si>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</si>
  <si>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</si>
  <si>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</si>
  <si>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</si>
  <si>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</si>
  <si>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</si>
  <si>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</si>
  <si>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</si>
  <si>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</si>
  <si>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</si>
  <si>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</si>
  <si>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</si>
  <si>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</si>
  <si>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</si>
  <si>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</si>
  <si>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</si>
  <si>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</si>
  <si>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</si>
  <si>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</si>
  <si>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</si>
  <si>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</si>
  <si>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</si>
  <si>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</si>
  <si>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</si>
  <si>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</si>
  <si>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</si>
  <si>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</si>
  <si>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</si>
  <si>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</si>
  <si>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</si>
  <si>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</si>
  <si>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</si>
  <si>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</si>
  <si>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</si>
  <si>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</si>
  <si>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</si>
  <si>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</si>
  <si>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</si>
  <si>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</si>
  <si>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</si>
  <si>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</si>
  <si>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</si>
  <si>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</si>
  <si>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</si>
  <si>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</si>
  <si>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</si>
  <si>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</si>
  <si>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</si>
  <si>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</si>
  <si>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</si>
  <si>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</si>
  <si>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</si>
  <si>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</si>
  <si>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</si>
  <si>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</si>
  <si>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</si>
  <si>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</si>
  <si>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</si>
  <si>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</si>
  <si>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</si>
  <si>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</si>
  <si>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</si>
  <si>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</si>
  <si>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</si>
  <si>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</si>
  <si>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</si>
  <si>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</si>
  <si>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</si>
  <si>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</si>
  <si>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</si>
  <si>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</si>
  <si>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</si>
  <si>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</si>
  <si>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</si>
  <si>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</si>
  <si>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</si>
  <si>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</si>
  <si>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</si>
  <si>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</si>
  <si>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</si>
  <si>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</si>
  <si>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</si>
  <si>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</si>
  <si>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</si>
  <si>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</si>
  <si>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</si>
  <si>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</si>
  <si>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</si>
  <si>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</si>
  <si>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</si>
  <si>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</si>
  <si>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</si>
  <si>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</si>
  <si>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</si>
  <si>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</si>
  <si>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</si>
  <si>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</si>
  <si>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</si>
  <si>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</si>
  <si>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</si>
  <si>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</si>
  <si>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</si>
  <si>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</si>
  <si>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</si>
  <si>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</si>
  <si>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</si>
  <si>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</si>
  <si>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</si>
  <si>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</si>
  <si>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</si>
  <si>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</si>
  <si>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</si>
  <si>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</si>
  <si>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</si>
  <si>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</si>
  <si>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</si>
  <si>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</si>
  <si>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</si>
  <si>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</si>
  <si>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</si>
  <si>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</si>
  <si>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</si>
  <si>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</si>
  <si>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</si>
  <si>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</si>
  <si>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</si>
  <si>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</si>
  <si>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</si>
  <si>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</si>
  <si>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</si>
  <si>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</si>
  <si>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</si>
  <si>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</si>
  <si>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</si>
  <si>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</si>
  <si>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</si>
  <si>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</si>
  <si>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</si>
  <si>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</si>
  <si>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</si>
  <si>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</si>
  <si>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</si>
  <si>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</si>
  <si>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</si>
  <si>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</si>
  <si>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</si>
  <si>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</si>
  <si>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</si>
  <si>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</si>
  <si>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</si>
  <si>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</si>
  <si>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</si>
  <si>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</si>
  <si>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</si>
  <si>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</si>
  <si>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</si>
  <si>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</si>
  <si>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</si>
  <si>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</si>
  <si>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</si>
  <si>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</si>
  <si>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</si>
  <si>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</si>
  <si>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</si>
  <si>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</si>
  <si>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</si>
  <si>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</si>
  <si>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</si>
  <si>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</si>
  <si>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</si>
  <si>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</si>
  <si>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</si>
  <si>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</si>
  <si>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</si>
  <si>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</si>
  <si>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</si>
  <si>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</si>
  <si>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</si>
  <si>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</si>
  <si>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</si>
  <si>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</si>
  <si>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</si>
  <si>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</si>
  <si>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</si>
  <si>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</si>
  <si>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</si>
  <si>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</si>
  <si>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</si>
  <si>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</si>
  <si>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</si>
  <si>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</si>
  <si>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</si>
  <si>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</si>
  <si>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</si>
  <si>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</si>
  <si>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</si>
  <si>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</si>
  <si>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</si>
  <si>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</si>
  <si>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</si>
  <si>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</si>
  <si>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</si>
  <si>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</si>
  <si>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</si>
  <si>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</si>
  <si>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</si>
  <si>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</si>
  <si>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</si>
  <si>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</si>
  <si>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</si>
  <si>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</si>
  <si>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</si>
  <si>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</si>
  <si>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</si>
  <si>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</si>
  <si>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</si>
  <si>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</si>
  <si>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</si>
  <si>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</si>
  <si>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</si>
  <si>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</si>
  <si>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</si>
  <si>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</si>
  <si>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</si>
  <si>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</si>
  <si>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</si>
  <si>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</si>
  <si>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</si>
  <si>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</si>
  <si>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</si>
  <si>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</si>
  <si>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</si>
  <si>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</si>
  <si>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</si>
  <si>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</si>
  <si>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</si>
  <si>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</si>
  <si>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</si>
  <si>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</si>
  <si>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</si>
  <si>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</si>
  <si>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</si>
  <si>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</si>
  <si>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</si>
  <si>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</si>
  <si>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</si>
  <si>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</si>
  <si>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</si>
  <si>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</si>
  <si>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</si>
  <si>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</si>
  <si>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</si>
  <si>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</si>
  <si>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</si>
  <si>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</si>
  <si>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</si>
  <si>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</si>
  <si>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</si>
  <si>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</si>
  <si>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</si>
  <si>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</si>
  <si>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</si>
  <si>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</si>
  <si>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</si>
  <si>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</si>
  <si>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</si>
  <si>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</si>
  <si>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</si>
  <si>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</si>
  <si>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</si>
  <si>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</si>
  <si>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</si>
  <si>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</si>
  <si>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</si>
  <si>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</si>
  <si>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</si>
  <si>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</si>
  <si>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</si>
  <si>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</si>
  <si>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</si>
  <si>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</si>
  <si>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</si>
  <si>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</si>
  <si>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</si>
  <si>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</si>
  <si>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</si>
  <si>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</si>
  <si>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</si>
  <si>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</si>
  <si>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</si>
  <si>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</si>
  <si>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</si>
  <si>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</si>
  <si>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</si>
  <si>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</si>
  <si>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</si>
  <si>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</si>
  <si>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</si>
  <si>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</si>
  <si>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</si>
  <si>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</si>
  <si>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</si>
  <si>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</si>
  <si>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</si>
  <si>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</si>
  <si>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</si>
  <si>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</si>
  <si>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</si>
  <si>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</si>
  <si>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</si>
  <si>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</si>
  <si>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</si>
  <si>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</si>
  <si>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</si>
  <si>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</si>
  <si>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</si>
  <si>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</si>
  <si>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</si>
  <si>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</si>
  <si>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</si>
  <si>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</si>
  <si>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</si>
  <si>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</si>
  <si>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</si>
  <si>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</si>
  <si>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</si>
  <si>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</si>
  <si>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</si>
  <si>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</si>
  <si>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</si>
  <si>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</si>
  <si>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</si>
  <si>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</si>
  <si>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</si>
  <si>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</si>
  <si>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</si>
  <si>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</si>
  <si>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</si>
  <si>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</si>
  <si>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</si>
  <si>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</si>
  <si>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</si>
  <si>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</si>
  <si>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</si>
  <si>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</si>
  <si>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</si>
  <si>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</si>
  <si>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</si>
  <si>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</si>
  <si>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</si>
  <si>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</si>
  <si>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</si>
  <si>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</si>
  <si>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</si>
  <si>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</si>
  <si>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</si>
  <si>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</si>
  <si>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</si>
  <si>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</si>
  <si>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</si>
  <si>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</si>
  <si>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</si>
  <si>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</si>
  <si>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</si>
  <si>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</si>
  <si>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</si>
  <si>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</si>
  <si>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</si>
  <si>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</si>
  <si>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</si>
  <si>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</si>
  <si>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</si>
  <si>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</si>
  <si>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</si>
  <si>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</si>
  <si>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</si>
  <si>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</si>
  <si>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</si>
  <si>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</si>
  <si>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</si>
  <si>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</si>
  <si>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</si>
  <si>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</si>
  <si>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</si>
  <si>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</si>
  <si>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</si>
  <si>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</si>
  <si>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</si>
  <si>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</si>
  <si>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</si>
  <si>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</si>
  <si>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</si>
  <si>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</si>
  <si>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</si>
  <si>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</si>
  <si>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</si>
  <si>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</si>
  <si>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</si>
  <si>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</si>
  <si>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</si>
  <si>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</si>
  <si>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</si>
  <si>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</si>
  <si>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</si>
  <si>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</si>
  <si>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</si>
  <si>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</si>
  <si>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</si>
  <si>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</si>
  <si>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</si>
  <si>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</si>
  <si>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</si>
  <si>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</si>
  <si>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</si>
  <si>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</si>
  <si>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</si>
  <si>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</si>
  <si>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</si>
  <si>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</si>
  <si>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</si>
  <si>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</si>
  <si>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</si>
  <si>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</si>
  <si>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</si>
  <si>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</si>
  <si>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</si>
  <si>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</si>
  <si>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</si>
  <si>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</si>
  <si>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</si>
  <si>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</si>
  <si>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</si>
  <si>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</si>
  <si>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</si>
  <si>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</si>
  <si>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</si>
  <si>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</si>
  <si>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</si>
  <si>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</si>
  <si>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</si>
  <si>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</si>
  <si>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</si>
  <si>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</si>
  <si>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</si>
  <si>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</si>
  <si>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</si>
  <si>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</si>
  <si>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</si>
  <si>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</si>
  <si>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</si>
  <si>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</si>
  <si>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</si>
  <si>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</si>
  <si>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</si>
  <si>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</si>
  <si>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</si>
  <si>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</si>
  <si>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</si>
  <si>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</si>
  <si>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</si>
  <si>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</si>
  <si>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</si>
  <si>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</si>
  <si>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</si>
  <si>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</si>
  <si>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</si>
  <si>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</si>
  <si>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</si>
  <si>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</si>
  <si>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</si>
  <si>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</si>
  <si>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</si>
  <si>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</si>
  <si>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</si>
  <si>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</si>
  <si>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</si>
  <si>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</si>
  <si>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</si>
  <si>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</si>
  <si>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</si>
  <si>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</si>
  <si>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</si>
  <si>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</si>
  <si>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</si>
  <si>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</si>
  <si>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</si>
  <si>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</si>
  <si>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</si>
  <si>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</si>
  <si>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</si>
  <si>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</si>
  <si>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</si>
  <si>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</si>
  <si>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</si>
  <si>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</si>
  <si>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</si>
  <si>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</si>
  <si>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</si>
  <si>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</si>
  <si>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</si>
  <si>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</si>
  <si>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</si>
  <si>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</si>
  <si>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</si>
  <si>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</si>
  <si>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</si>
  <si>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</si>
  <si>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</si>
  <si>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</si>
  <si>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</si>
  <si>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</si>
  <si>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</si>
  <si>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</si>
  <si>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</si>
  <si>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</si>
  <si>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</si>
  <si>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</si>
  <si>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</si>
  <si>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</si>
  <si>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</si>
  <si>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</si>
  <si>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</si>
  <si>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</si>
  <si>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</si>
  <si>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</si>
  <si>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</si>
  <si>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</si>
  <si>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</si>
  <si>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</si>
  <si>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</si>
  <si>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</si>
  <si>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</si>
  <si>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</si>
  <si>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</si>
  <si>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</si>
  <si>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</si>
  <si>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</si>
  <si>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</si>
  <si>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</si>
  <si>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</si>
  <si>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</si>
  <si>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</si>
  <si>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</si>
  <si>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</si>
  <si>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</si>
  <si>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</si>
  <si>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</si>
  <si>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</si>
  <si>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</si>
  <si>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</si>
  <si>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</si>
  <si>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</si>
  <si>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</si>
  <si>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</si>
  <si>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</si>
  <si>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</si>
  <si>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</si>
  <si>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</si>
  <si>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</si>
  <si>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</si>
  <si>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</si>
  <si>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</si>
  <si>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</si>
  <si>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</si>
  <si>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</si>
  <si>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</si>
  <si>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</si>
  <si>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</si>
  <si>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</si>
  <si>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</si>
  <si>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</si>
  <si>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</si>
  <si>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</si>
  <si>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</si>
  <si>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</si>
  <si>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</si>
  <si>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</si>
  <si>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</si>
  <si>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</si>
  <si>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</si>
  <si>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</si>
  <si>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</si>
  <si>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</si>
  <si>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</si>
  <si>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</si>
  <si>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</si>
  <si>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</si>
  <si>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</si>
  <si>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</si>
  <si>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</si>
  <si>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</si>
  <si>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</si>
  <si>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</si>
  <si>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</si>
  <si>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</si>
  <si>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</si>
  <si>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</si>
  <si>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</si>
  <si>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</si>
  <si>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</si>
  <si>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</si>
  <si>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</si>
  <si>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</si>
  <si>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</si>
  <si>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</si>
  <si>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</si>
  <si>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</si>
  <si>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</si>
  <si>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</si>
  <si>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</si>
  <si>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</si>
  <si>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</si>
  <si>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</si>
  <si>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</si>
  <si>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</si>
  <si>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</si>
  <si>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</si>
  <si>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</si>
  <si>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</si>
  <si>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</si>
  <si>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</si>
  <si>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</si>
  <si>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</si>
  <si>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</si>
  <si>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</si>
  <si>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</si>
  <si>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</si>
  <si>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</si>
  <si>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</si>
  <si>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</si>
  <si>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</si>
  <si>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</si>
  <si>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</si>
  <si>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</si>
  <si>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</si>
  <si>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</si>
  <si>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</si>
  <si>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</si>
  <si>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</si>
  <si>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</si>
  <si>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</si>
  <si>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</si>
  <si>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</si>
  <si>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</si>
  <si>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</si>
  <si>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</si>
  <si>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</si>
  <si>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</si>
  <si>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</si>
  <si>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</si>
  <si>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</si>
  <si>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</si>
  <si>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</si>
  <si>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</si>
  <si>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</si>
  <si>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</si>
  <si>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</si>
  <si>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</si>
  <si>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</si>
  <si>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</si>
  <si>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</si>
  <si>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</si>
  <si>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</si>
  <si>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</si>
  <si>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</si>
  <si>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</si>
  <si>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</si>
  <si>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</si>
  <si>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</si>
  <si>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</si>
  <si>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</si>
  <si>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</si>
  <si>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</si>
  <si>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</si>
  <si>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</si>
  <si>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</si>
  <si>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</si>
  <si>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</si>
  <si>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</si>
  <si>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</si>
  <si>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</si>
  <si>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</si>
  <si>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</si>
  <si>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</si>
  <si>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</si>
  <si>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</si>
  <si>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</si>
  <si>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</si>
  <si>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</si>
  <si>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</si>
  <si>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</si>
  <si>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</si>
  <si>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</si>
  <si>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</si>
  <si>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</si>
  <si>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</si>
  <si>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</si>
  <si>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</si>
  <si>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</si>
  <si>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</si>
  <si>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</si>
  <si>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</si>
  <si>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</si>
  <si>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</si>
  <si>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</si>
  <si>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</si>
  <si>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</si>
  <si>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</si>
  <si>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</si>
  <si>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</si>
  <si>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</si>
  <si>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</si>
  <si>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</si>
  <si>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</si>
  <si>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</si>
  <si>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</si>
  <si>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</si>
  <si>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</si>
  <si>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</si>
  <si>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</si>
  <si>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</si>
  <si>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</si>
  <si>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</si>
  <si>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</si>
  <si>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</si>
  <si>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</si>
  <si>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</si>
  <si>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</si>
  <si>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</si>
  <si>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</si>
  <si>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</si>
  <si>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</si>
  <si>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</si>
  <si>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</si>
  <si>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</si>
  <si>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</si>
  <si>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</si>
  <si>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</si>
  <si>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</si>
  <si>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</si>
  <si>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</si>
  <si>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</si>
  <si>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</si>
  <si>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</si>
  <si>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</si>
  <si>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</si>
  <si>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</si>
  <si>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</si>
  <si>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</si>
  <si>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</si>
  <si>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</si>
  <si>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</si>
  <si>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</si>
  <si>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</si>
  <si>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</si>
  <si>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</si>
  <si>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</si>
  <si>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</si>
  <si>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</si>
  <si>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</si>
  <si>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</si>
  <si>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</si>
  <si>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</si>
  <si>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</si>
  <si>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</si>
  <si>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</si>
  <si>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</si>
  <si>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</si>
  <si>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</si>
  <si>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</si>
  <si>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</si>
  <si>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</si>
  <si>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</si>
  <si>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</si>
  <si>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</si>
  <si>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</si>
  <si>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</si>
  <si>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</si>
  <si>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</si>
  <si>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</si>
  <si>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</si>
  <si>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</si>
  <si>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</si>
  <si>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</si>
  <si>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</si>
  <si>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</si>
  <si>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</si>
  <si>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</si>
  <si>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</si>
  <si>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</si>
  <si>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</si>
  <si>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</si>
  <si>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</si>
  <si>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</si>
  <si>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</si>
  <si>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</si>
  <si>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</si>
  <si>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</si>
  <si>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</si>
  <si>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</si>
  <si>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</si>
  <si>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</si>
  <si>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</si>
  <si>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</si>
  <si>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</si>
  <si>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</si>
  <si>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</si>
  <si>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</si>
  <si>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</si>
  <si>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</si>
  <si>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</si>
  <si>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</si>
  <si>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</si>
  <si>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</si>
  <si>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</si>
  <si>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</si>
  <si>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</si>
  <si>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</si>
  <si>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</si>
  <si>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</si>
  <si>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</si>
  <si>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</si>
  <si>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</si>
  <si>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</si>
  <si>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</si>
  <si>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</si>
  <si>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</si>
  <si>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</si>
  <si>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</si>
  <si>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</si>
  <si>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</si>
  <si>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</si>
  <si>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</si>
  <si>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</si>
  <si>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</si>
  <si>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</si>
  <si>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</si>
  <si>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</si>
  <si>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</si>
  <si>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</si>
  <si>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</si>
  <si>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</si>
  <si>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</si>
  <si>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</si>
  <si>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</si>
  <si>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</si>
  <si>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</si>
  <si>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</si>
  <si>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</si>
  <si>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</si>
  <si>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</si>
  <si>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</si>
  <si>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</si>
  <si>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</si>
  <si>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</si>
  <si>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</si>
  <si>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</si>
  <si>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</si>
  <si>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</si>
  <si>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</si>
  <si>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</si>
  <si>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</si>
  <si>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</si>
  <si>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</si>
  <si>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</si>
  <si>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</si>
  <si>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</si>
  <si>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</si>
  <si>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</si>
  <si>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</si>
  <si>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</si>
  <si>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</si>
  <si>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</si>
  <si>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</si>
  <si>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</si>
  <si>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</si>
  <si>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</si>
  <si>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</si>
  <si>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</si>
  <si>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</si>
  <si>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</si>
  <si>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</si>
  <si>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</si>
  <si>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</si>
  <si>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</si>
  <si>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</si>
  <si>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</si>
  <si>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</si>
  <si>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</si>
  <si>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</si>
  <si>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</si>
  <si>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</si>
  <si>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</si>
  <si>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</si>
  <si>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</si>
  <si>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</si>
  <si>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</si>
  <si>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</si>
  <si>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</si>
  <si>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</si>
  <si>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</si>
  <si>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</si>
  <si>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</si>
  <si>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</si>
  <si>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</si>
  <si>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</si>
  <si>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</si>
  <si>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</si>
  <si>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</si>
  <si>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</si>
  <si>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</si>
  <si>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</si>
  <si>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</si>
  <si>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</si>
  <si>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</si>
  <si>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</si>
  <si>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</si>
  <si>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</si>
  <si>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</si>
  <si>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</si>
  <si>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</si>
  <si>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</si>
  <si>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</si>
  <si>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</si>
  <si>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</si>
  <si>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</si>
  <si>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</si>
  <si>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</si>
  <si>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</si>
  <si>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</si>
  <si>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</si>
  <si>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</si>
  <si>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</si>
  <si>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</si>
  <si>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</si>
  <si>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</si>
  <si>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</si>
  <si>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</si>
  <si>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</si>
  <si>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</si>
  <si>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</si>
  <si>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</si>
  <si>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</si>
  <si>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</si>
  <si>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</si>
  <si>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</si>
  <si>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</si>
  <si>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</si>
  <si>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</si>
  <si>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</si>
  <si>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</si>
  <si>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</si>
  <si>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</si>
  <si>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</si>
  <si>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</si>
  <si>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</si>
  <si>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</si>
  <si>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</si>
  <si>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</si>
  <si>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</si>
  <si>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</si>
  <si>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</si>
  <si>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</si>
  <si>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</si>
  <si>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</si>
  <si>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</si>
  <si>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</si>
  <si>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</si>
  <si>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</si>
  <si>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</si>
  <si>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</si>
  <si>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</si>
  <si>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</si>
  <si>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</si>
  <si>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</si>
  <si>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</si>
  <si>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</si>
  <si>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</si>
  <si>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</si>
  <si>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</si>
  <si>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</si>
  <si>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</si>
  <si>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</si>
  <si>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</si>
  <si>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</si>
  <si>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</si>
  <si>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</si>
  <si>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</si>
  <si>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</si>
  <si>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</si>
  <si>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</si>
  <si>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</si>
  <si>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</si>
  <si>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</si>
  <si>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</si>
  <si>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</si>
  <si>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</si>
  <si>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</si>
  <si>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</si>
  <si>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</si>
  <si>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</si>
  <si>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</si>
  <si>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</si>
  <si>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</si>
  <si>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</si>
  <si>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</si>
  <si>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</si>
  <si>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</si>
  <si>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</si>
  <si>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</si>
  <si>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</si>
  <si>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</si>
  <si>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</si>
  <si>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</si>
  <si>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</si>
  <si>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</si>
  <si>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</si>
  <si>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</si>
  <si>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</si>
  <si>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</si>
  <si>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</si>
  <si>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</si>
  <si>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</si>
  <si>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</si>
  <si>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</si>
  <si>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</si>
  <si>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</si>
  <si>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</si>
  <si>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</si>
  <si>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</si>
  <si>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</si>
  <si>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</si>
  <si>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</si>
  <si>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</si>
  <si>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</si>
  <si>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</si>
  <si>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</si>
  <si>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</si>
  <si>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</si>
  <si>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</si>
  <si>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</si>
  <si>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</si>
  <si>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</si>
  <si>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</si>
  <si>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</si>
  <si>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</si>
  <si>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</si>
  <si>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</si>
  <si>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</si>
  <si>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</si>
  <si>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</si>
  <si>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</si>
  <si>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</si>
  <si>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</si>
  <si>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</si>
  <si>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</si>
  <si>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</si>
  <si>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</si>
  <si>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</si>
  <si>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</si>
  <si>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</si>
  <si>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</si>
  <si>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</si>
  <si>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</si>
  <si>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</si>
  <si>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</si>
  <si>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</si>
  <si>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</si>
  <si>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</si>
  <si>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</si>
  <si>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</si>
  <si>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</si>
  <si>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</si>
  <si>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</si>
  <si>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</si>
  <si>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</si>
  <si>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</si>
  <si>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</si>
  <si>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</si>
  <si>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</si>
  <si>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</si>
  <si>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</si>
  <si>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</si>
  <si>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</si>
  <si>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</si>
  <si>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</si>
  <si>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</si>
  <si>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</si>
  <si>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</si>
  <si>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</si>
  <si>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</si>
  <si>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</si>
  <si>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</si>
  <si>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</si>
  <si>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</si>
  <si>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</si>
  <si>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</si>
  <si>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</si>
  <si>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</si>
  <si>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</si>
  <si>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</si>
  <si>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</si>
  <si>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</si>
  <si>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</si>
  <si>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</si>
  <si>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</si>
  <si>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</si>
  <si>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</si>
  <si>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</si>
  <si>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</si>
  <si>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</si>
  <si>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</si>
  <si>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</si>
  <si>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</si>
  <si>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</si>
  <si>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</si>
  <si>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</si>
  <si>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</si>
  <si>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</si>
  <si>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</si>
  <si>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</si>
  <si>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</si>
  <si>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</si>
  <si>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</si>
  <si>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</si>
  <si>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</si>
  <si>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</si>
  <si>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</si>
  <si>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</si>
  <si>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</si>
  <si>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</si>
  <si>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</si>
  <si>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</si>
  <si>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</si>
  <si>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</si>
  <si>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</si>
  <si>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</si>
  <si>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</si>
  <si>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</si>
  <si>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</si>
  <si>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</si>
  <si>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</si>
  <si>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</si>
  <si>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</si>
  <si>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</si>
  <si>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</si>
  <si>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</si>
  <si>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</si>
  <si>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</si>
  <si>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</si>
  <si>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</si>
  <si>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</si>
  <si>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</si>
  <si>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</si>
  <si>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</si>
  <si>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</si>
  <si>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</si>
  <si>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</si>
  <si>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</si>
  <si>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</si>
  <si>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</si>
  <si>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</si>
  <si>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</si>
  <si>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</si>
  <si>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</si>
  <si>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</si>
  <si>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</si>
  <si>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</si>
  <si>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</si>
  <si>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</si>
  <si>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</si>
  <si>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</si>
  <si>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</si>
  <si>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</si>
  <si>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</si>
  <si>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</si>
  <si>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</si>
  <si>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</si>
  <si>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</si>
  <si>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</si>
  <si>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</si>
  <si>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</si>
  <si>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</si>
  <si>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</si>
  <si>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</si>
  <si>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</si>
  <si>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</si>
  <si>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</si>
  <si>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</si>
  <si>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</si>
  <si>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</si>
  <si>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</si>
  <si>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</si>
  <si>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</si>
  <si>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</si>
  <si>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</si>
  <si>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</si>
  <si>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</si>
  <si>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</si>
  <si>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</si>
  <si>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</si>
  <si>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</si>
  <si>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</si>
  <si>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</si>
  <si>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</si>
  <si>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</si>
  <si>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</si>
  <si>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</si>
  <si>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</si>
  <si>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</si>
  <si>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</si>
  <si>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</si>
  <si>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</si>
  <si>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</si>
  <si>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</si>
  <si>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</si>
  <si>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</si>
  <si>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</si>
  <si>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</si>
  <si>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</si>
  <si>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</si>
  <si>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</si>
  <si>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</si>
  <si>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</si>
  <si>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</si>
  <si>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</si>
  <si>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</si>
  <si>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</si>
  <si>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</si>
  <si>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</si>
  <si>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</si>
  <si>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</si>
  <si>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</si>
  <si>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</si>
  <si>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</si>
  <si>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</si>
  <si>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</si>
  <si>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</si>
  <si>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</si>
  <si>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</si>
  <si>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</si>
  <si>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</si>
  <si>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</si>
  <si>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</si>
  <si>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</si>
  <si>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</si>
  <si>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</si>
  <si>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</si>
  <si>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</si>
  <si>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</si>
  <si>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</si>
  <si>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</si>
  <si>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</si>
  <si>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</si>
  <si>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</si>
  <si>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</si>
  <si>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</si>
  <si>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</si>
  <si>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</si>
  <si>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</si>
  <si>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</si>
  <si>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</si>
  <si>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</si>
  <si>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</si>
  <si>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</si>
  <si>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</si>
  <si>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</si>
  <si>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</si>
  <si>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</si>
  <si>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</si>
  <si>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</si>
  <si>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</si>
  <si>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</si>
  <si>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</si>
  <si>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</si>
  <si>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</si>
  <si>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</si>
  <si>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</si>
  <si>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</si>
  <si>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</si>
  <si>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</si>
  <si>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</si>
  <si>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</si>
  <si>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</si>
  <si>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</si>
  <si>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</si>
  <si>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</si>
  <si>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</si>
  <si>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</si>
  <si>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</si>
  <si>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</si>
  <si>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</si>
  <si>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</si>
  <si>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</si>
  <si>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</si>
  <si>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</si>
  <si>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</si>
  <si>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</si>
  <si>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</si>
  <si>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</si>
  <si>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</si>
  <si>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</si>
  <si>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</si>
  <si>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</si>
  <si>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</si>
  <si>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</si>
  <si>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</si>
  <si>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</si>
  <si>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</si>
  <si>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</si>
  <si>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</si>
  <si>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</si>
  <si>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</si>
  <si>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</si>
  <si>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</si>
  <si>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</si>
  <si>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</si>
  <si>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</si>
  <si>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</si>
  <si>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</si>
  <si>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</si>
  <si>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</si>
  <si>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</si>
  <si>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</si>
  <si>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</si>
  <si>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</si>
  <si>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</si>
  <si>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</si>
  <si>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</si>
  <si>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</si>
  <si>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</si>
  <si>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</si>
  <si>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</si>
  <si>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</si>
  <si>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</si>
  <si>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</si>
  <si>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</si>
  <si>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</si>
  <si>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</si>
  <si>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</si>
  <si>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</si>
  <si>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</si>
  <si>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</si>
  <si>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</si>
  <si>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</si>
  <si>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</si>
  <si>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</si>
  <si>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</si>
  <si>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</si>
  <si>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</si>
  <si>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</si>
  <si>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</si>
  <si>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</si>
  <si>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</si>
  <si>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</si>
  <si>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</si>
  <si>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</si>
  <si>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</si>
  <si>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</si>
  <si>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</si>
  <si>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</si>
  <si>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</si>
  <si>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</si>
  <si>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</si>
  <si>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</si>
  <si>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</si>
  <si>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</si>
  <si>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</si>
  <si>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</si>
  <si>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</si>
  <si>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</si>
  <si>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</si>
  <si>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</si>
  <si>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</si>
  <si>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</si>
  <si>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</si>
  <si>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</si>
  <si>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</si>
  <si>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</si>
  <si>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</si>
  <si>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</si>
  <si>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</si>
  <si>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</si>
  <si>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</si>
  <si>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</si>
  <si>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</si>
  <si>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</si>
  <si>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</si>
  <si>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</si>
  <si>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</si>
  <si>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</si>
  <si>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</si>
  <si>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</si>
  <si>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</si>
  <si>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</si>
  <si>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</si>
  <si>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</si>
  <si>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</si>
  <si>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</si>
  <si>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</si>
  <si>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</si>
  <si>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</si>
  <si>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</si>
  <si>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</si>
  <si>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</si>
  <si>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</si>
  <si>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</si>
  <si>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</si>
  <si>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</si>
  <si>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</si>
  <si>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</si>
  <si>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</si>
  <si>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</si>
  <si>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</si>
  <si>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</si>
  <si>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</si>
  <si>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</si>
  <si>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</si>
  <si>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</si>
  <si>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</si>
  <si>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</si>
  <si>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</si>
  <si>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</si>
  <si>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</si>
  <si>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</si>
  <si>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</si>
  <si>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</si>
  <si>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</si>
  <si>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</si>
  <si>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</si>
  <si>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</si>
  <si>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</si>
  <si>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</si>
  <si>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</si>
  <si>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</si>
  <si>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</si>
  <si>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</si>
  <si>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</si>
  <si>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</si>
  <si>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</si>
  <si>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</si>
  <si>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</si>
  <si>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</si>
  <si>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</si>
  <si>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</si>
  <si>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</si>
  <si>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</si>
  <si>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</si>
  <si>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</si>
  <si>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</si>
  <si>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</si>
  <si>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</si>
  <si>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</si>
  <si>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</si>
  <si>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</si>
  <si>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</si>
  <si>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</si>
  <si>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</si>
  <si>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</si>
  <si>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</si>
  <si>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</si>
  <si>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</si>
  <si>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</si>
  <si>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</si>
  <si>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</si>
  <si>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</si>
  <si>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</si>
  <si>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</si>
  <si>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</si>
  <si>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</si>
  <si>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</si>
  <si>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</si>
  <si>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</si>
  <si>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</si>
  <si>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</si>
  <si>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</si>
  <si>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</si>
  <si>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</si>
  <si>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</si>
  <si>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</si>
  <si>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</si>
  <si>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</si>
  <si>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</si>
  <si>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</si>
  <si>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</si>
  <si>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</si>
  <si>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</si>
  <si>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</si>
  <si>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</si>
  <si>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</si>
  <si>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</si>
  <si>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</si>
  <si>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</si>
  <si>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</si>
  <si>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</si>
  <si>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</si>
  <si>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</si>
  <si>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</si>
  <si>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</si>
  <si>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</si>
  <si>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</si>
  <si>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</si>
  <si>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</si>
  <si>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</si>
  <si>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</si>
  <si>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</si>
  <si>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</si>
  <si>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</si>
  <si>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</si>
  <si>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</si>
  <si>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</si>
  <si>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</si>
  <si>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</si>
  <si>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</si>
  <si>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</si>
  <si>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</si>
  <si>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</si>
  <si>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</si>
  <si>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</si>
  <si>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</si>
  <si>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</si>
  <si>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</si>
  <si>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</si>
  <si>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</si>
  <si>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</si>
  <si>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</si>
  <si>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</si>
  <si>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</si>
  <si>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</si>
  <si>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</si>
  <si>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</si>
  <si>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</si>
  <si>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</si>
  <si>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</si>
  <si>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</si>
  <si>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</si>
  <si>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</si>
  <si>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</si>
  <si>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</si>
  <si>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</si>
  <si>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</si>
  <si>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</si>
  <si>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</si>
  <si>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</si>
  <si>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</si>
  <si>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</si>
  <si>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</si>
  <si>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</si>
  <si>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</si>
  <si>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</si>
  <si>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</si>
  <si>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</si>
  <si>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</si>
  <si>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</si>
  <si>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</si>
  <si>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</si>
  <si>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</si>
  <si>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</si>
  <si>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</si>
  <si>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</si>
  <si>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</si>
  <si>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</si>
  <si>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</si>
  <si>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</si>
  <si>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</si>
  <si>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</si>
  <si>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</si>
  <si>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</si>
  <si>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</si>
  <si>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</si>
  <si>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</si>
  <si>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</si>
  <si>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</si>
  <si>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</si>
  <si>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</si>
  <si>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</si>
  <si>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</si>
  <si>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</si>
  <si>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</si>
  <si>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</si>
  <si>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</si>
  <si>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</si>
  <si>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</si>
  <si>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</si>
  <si>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</si>
  <si>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</si>
  <si>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</si>
  <si>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</si>
  <si>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</si>
  <si>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</si>
  <si>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</si>
  <si>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</si>
  <si>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</si>
  <si>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</si>
  <si>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</si>
  <si>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</si>
  <si>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</si>
  <si>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</si>
  <si>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</si>
  <si>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</si>
  <si>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</si>
  <si>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</si>
  <si>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</si>
  <si>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</si>
  <si>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</si>
  <si>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</si>
  <si>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</si>
  <si>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</si>
  <si>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</si>
  <si>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</si>
  <si>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</si>
  <si>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</si>
  <si>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</si>
  <si>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</si>
  <si>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</si>
  <si>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</si>
  <si>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</si>
  <si>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</si>
  <si>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</si>
  <si>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</si>
  <si>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</si>
  <si>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</si>
  <si>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</si>
  <si>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</si>
  <si>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</si>
  <si>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</si>
  <si>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</si>
  <si>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</si>
  <si>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</si>
  <si>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</si>
  <si>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</si>
  <si>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</si>
  <si>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</si>
  <si>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</si>
  <si>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</si>
  <si>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</si>
  <si>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</si>
  <si>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</si>
  <si>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</si>
  <si>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</si>
  <si>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</si>
  <si>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</si>
  <si>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</si>
  <si>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</si>
  <si>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</si>
  <si>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</si>
  <si>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</si>
  <si>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</si>
  <si>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</si>
  <si>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</si>
  <si>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</si>
  <si>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</si>
  <si>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</si>
  <si>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</si>
  <si>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</si>
  <si>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</si>
  <si>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</si>
  <si>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</si>
  <si>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</si>
  <si>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</si>
  <si>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</si>
  <si>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</si>
  <si>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</si>
  <si>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</si>
  <si>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</si>
  <si>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</si>
  <si>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</si>
  <si>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</si>
  <si>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</si>
  <si>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</si>
  <si>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</si>
  <si>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</si>
  <si>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</si>
  <si>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</si>
  <si>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</si>
  <si>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</si>
  <si>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</si>
  <si>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</si>
  <si>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</si>
  <si>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</si>
  <si>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</si>
  <si>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</si>
  <si>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</si>
  <si>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</si>
  <si>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</si>
  <si>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</si>
  <si>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</si>
  <si>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</si>
  <si>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</si>
  <si>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</si>
  <si>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</si>
  <si>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</si>
  <si>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</si>
  <si>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</si>
  <si>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</si>
  <si>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</si>
  <si>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</si>
  <si>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</si>
  <si>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</si>
  <si>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</si>
  <si>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</si>
  <si>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</si>
  <si>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</si>
  <si>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</si>
  <si>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</si>
  <si>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</si>
  <si>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</si>
  <si>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</si>
  <si>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</si>
  <si>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</si>
  <si>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</si>
  <si>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</si>
  <si>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</si>
  <si>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</si>
  <si>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</si>
  <si>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</si>
  <si>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</si>
  <si>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</si>
  <si>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</si>
  <si>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</si>
  <si>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</si>
  <si>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</si>
  <si>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</si>
  <si>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</si>
  <si>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</si>
  <si>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</si>
  <si>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</si>
  <si>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</si>
  <si>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</si>
  <si>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</si>
  <si>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</si>
  <si>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</si>
  <si>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</si>
  <si>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</si>
  <si>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</si>
  <si>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</si>
  <si>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</si>
  <si>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</si>
  <si>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</si>
  <si>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</si>
  <si>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</si>
  <si>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</si>
  <si>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</si>
  <si>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</si>
  <si>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</si>
  <si>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</si>
  <si>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</si>
  <si>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</si>
  <si>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</si>
  <si>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</si>
  <si>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</si>
  <si>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</si>
  <si>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</si>
  <si>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</si>
  <si>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</si>
  <si>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</si>
  <si>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</si>
  <si>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</si>
  <si>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</si>
  <si>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</si>
  <si>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</si>
  <si>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</si>
  <si>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</si>
  <si>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</si>
  <si>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</si>
  <si>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</si>
  <si>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</si>
  <si>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</si>
  <si>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</si>
  <si>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</si>
  <si>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</si>
  <si>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</si>
  <si>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</si>
  <si>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</si>
  <si>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</si>
  <si>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</si>
  <si>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</si>
  <si>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</si>
  <si>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</si>
  <si>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</si>
  <si>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</si>
  <si>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</si>
  <si>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</si>
  <si>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</si>
  <si>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</si>
  <si>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</si>
  <si>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</si>
  <si>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</si>
  <si>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</si>
  <si>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</si>
  <si>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</si>
  <si>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</si>
  <si>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</si>
  <si>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</si>
  <si>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</si>
  <si>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</si>
  <si>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</si>
  <si>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</si>
  <si>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</si>
  <si>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</si>
  <si>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</si>
  <si>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</si>
  <si>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</si>
  <si>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</si>
  <si>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</si>
  <si>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</si>
  <si>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</si>
  <si>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</si>
  <si>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</si>
  <si>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</si>
  <si>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</si>
  <si>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</si>
  <si>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</si>
  <si>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</si>
  <si>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</si>
  <si>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</si>
  <si>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</si>
  <si>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</si>
  <si>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</si>
  <si>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</si>
  <si>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</si>
  <si>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</si>
  <si>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</si>
  <si>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</si>
  <si>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</si>
  <si>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</si>
  <si>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</si>
  <si>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</si>
  <si>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</si>
  <si>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</si>
  <si>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</si>
  <si>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</si>
  <si>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</si>
  <si>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</si>
  <si>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</si>
  <si>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</si>
  <si>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</si>
  <si>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</si>
  <si>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</si>
  <si>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</si>
  <si>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</si>
  <si>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</si>
  <si>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</si>
  <si>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</si>
  <si>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</si>
  <si>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</si>
  <si>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</si>
  <si>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</si>
  <si>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</si>
  <si>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</si>
  <si>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</si>
  <si>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</si>
  <si>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</si>
  <si>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</si>
  <si>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</si>
  <si>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</si>
  <si>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</si>
  <si>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</si>
  <si>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</si>
  <si>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</si>
  <si>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</si>
  <si>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</si>
  <si>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</si>
  <si>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</si>
  <si>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</si>
  <si>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</si>
  <si>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</si>
  <si>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</si>
  <si>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</si>
  <si>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</si>
  <si>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</si>
  <si>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</si>
  <si>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</si>
  <si>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</si>
  <si>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</si>
  <si>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</si>
  <si>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</si>
  <si>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</si>
  <si>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</si>
  <si>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</si>
  <si>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</si>
  <si>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</si>
  <si>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</si>
  <si>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</si>
  <si>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</si>
  <si>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</si>
  <si>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</si>
  <si>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</si>
  <si>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</si>
  <si>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</si>
  <si>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</si>
  <si>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</si>
  <si>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</si>
  <si>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</si>
  <si>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</si>
  <si>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</si>
  <si>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</si>
  <si>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</si>
  <si>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</si>
  <si>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</si>
  <si>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</si>
  <si>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</si>
  <si>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</si>
  <si>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</si>
  <si>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</si>
  <si>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</si>
  <si>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</si>
  <si>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</si>
  <si>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</si>
  <si>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</si>
  <si>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</si>
  <si>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</si>
  <si>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</si>
  <si>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</si>
  <si>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</si>
  <si>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</si>
  <si>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</si>
  <si>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</si>
  <si>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</si>
  <si>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</si>
  <si>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</si>
  <si>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</si>
  <si>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</si>
  <si>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</si>
  <si>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</si>
  <si>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</si>
  <si>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</si>
  <si>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</si>
  <si>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</si>
  <si>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</si>
  <si>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</si>
  <si>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</si>
  <si>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</si>
  <si>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</si>
  <si>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</si>
  <si>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</si>
  <si>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</si>
  <si>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</si>
  <si>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</si>
  <si>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</si>
  <si>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</si>
  <si>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</si>
  <si>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</si>
  <si>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</si>
  <si>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</si>
  <si>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</si>
  <si>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</si>
  <si>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</si>
  <si>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</si>
  <si>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</si>
  <si>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</si>
  <si>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</si>
  <si>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</si>
  <si>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</si>
  <si>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</si>
  <si>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</si>
  <si>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</si>
  <si>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</si>
  <si>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</si>
  <si>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</si>
  <si>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</si>
  <si>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</si>
  <si>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</si>
  <si>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</si>
  <si>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</si>
  <si>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</si>
  <si>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</si>
  <si>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</si>
  <si>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</si>
  <si>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</si>
  <si>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</si>
  <si>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</si>
  <si>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</si>
  <si>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</si>
  <si>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</si>
  <si>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</si>
  <si>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</si>
  <si>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</si>
  <si>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</si>
  <si>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</si>
  <si>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</si>
  <si>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</si>
  <si>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Cook</t>
  </si>
  <si>
    <t>7 Happ Road</t>
  </si>
  <si>
    <t>Northfield</t>
  </si>
  <si>
    <t>johnsonc@newtrier.k12.il.us</t>
  </si>
  <si>
    <t>RSM US LLP</t>
  </si>
  <si>
    <t>Katie Barry</t>
  </si>
  <si>
    <t>1 South Wacker Drive, Suite 800</t>
  </si>
  <si>
    <t>Chicago</t>
  </si>
  <si>
    <t>IL</t>
  </si>
  <si>
    <t>312-634-3400</t>
  </si>
  <si>
    <t>312-634-5518</t>
  </si>
  <si>
    <t>066-03346</t>
  </si>
  <si>
    <t>katie.barry@rsmus.com</t>
  </si>
  <si>
    <t>Paul Sally</t>
  </si>
  <si>
    <t>psally@newtrier.k12.il.us</t>
  </si>
  <si>
    <t>847-784-6109</t>
  </si>
  <si>
    <t>847-784-3115</t>
  </si>
  <si>
    <t>2010 Bonds</t>
  </si>
  <si>
    <t>2012 Bonds</t>
  </si>
  <si>
    <t>2014 Bonds</t>
  </si>
  <si>
    <t xml:space="preserve">2015 Bonds </t>
  </si>
  <si>
    <t>2016A Bonds</t>
  </si>
  <si>
    <t>2016B Bonds</t>
  </si>
  <si>
    <t>2016C Bonds</t>
  </si>
  <si>
    <t>2017 Bonds</t>
  </si>
  <si>
    <t>2018 Bonds</t>
  </si>
  <si>
    <t>Northern Illinios Health Insurance Pool</t>
  </si>
  <si>
    <t>x</t>
  </si>
  <si>
    <t>Collective Liability Insurance Cooperative (CLIC)</t>
  </si>
  <si>
    <t>Northern Suburban Special Education District</t>
  </si>
  <si>
    <t xml:space="preserve">Northern Suburban Education Region Vocational Education </t>
  </si>
  <si>
    <t>none</t>
  </si>
  <si>
    <t>Unmodified</t>
  </si>
  <si>
    <t>84.027A, 84.173A</t>
  </si>
  <si>
    <t>IDEA Special Education Cluster</t>
  </si>
  <si>
    <t>n/a</t>
  </si>
  <si>
    <t>None</t>
  </si>
  <si>
    <t xml:space="preserve">U.S. Department of Education </t>
  </si>
  <si>
    <t>Passed through Illinois State Board of Education:</t>
  </si>
  <si>
    <t>Title II: Teacher Quality</t>
  </si>
  <si>
    <t>84.367A</t>
  </si>
  <si>
    <t>18-4932-00</t>
  </si>
  <si>
    <t>17-4932-00</t>
  </si>
  <si>
    <t>16-4932-00</t>
  </si>
  <si>
    <t>Special Education Cluster (M)</t>
  </si>
  <si>
    <t>IDEA Room &amp; Board</t>
  </si>
  <si>
    <t>84.027A</t>
  </si>
  <si>
    <t>18-4625-00</t>
  </si>
  <si>
    <t>17-4625-00</t>
  </si>
  <si>
    <t>17-4625-XC</t>
  </si>
  <si>
    <t>16-4625-00</t>
  </si>
  <si>
    <t>16-4625-XC</t>
  </si>
  <si>
    <t>Passed through Northern Suburban Special Education District</t>
  </si>
  <si>
    <t>IDEA Flow Through</t>
  </si>
  <si>
    <t>18-4620-00</t>
  </si>
  <si>
    <t>17-4620-00</t>
  </si>
  <si>
    <t>Total Special Education Cluster (M)</t>
  </si>
  <si>
    <t>Passed through Wilmette Public School District 39</t>
  </si>
  <si>
    <t xml:space="preserve">Title III: Lang Inst Prog - Limited Eng LIPLEP </t>
  </si>
  <si>
    <t>84.365A</t>
  </si>
  <si>
    <t>18-4909-00</t>
  </si>
  <si>
    <t>17-4909-00</t>
  </si>
  <si>
    <t>Passed through North Suburban Educaitonal Regional Vocational Education</t>
  </si>
  <si>
    <t>Perkins Title IIC</t>
  </si>
  <si>
    <t>18-4745-00</t>
  </si>
  <si>
    <t>17-4745-00</t>
  </si>
  <si>
    <t>Rehabiliation Services</t>
  </si>
  <si>
    <t>846CWF00449</t>
  </si>
  <si>
    <t>746CVF00449</t>
  </si>
  <si>
    <t>46CUD00449</t>
  </si>
  <si>
    <r>
      <t xml:space="preserve">The accompanying Schedule of Expenditures of Federal Awards includes the federal grant activity of </t>
    </r>
    <r>
      <rPr>
        <b/>
        <sz val="9"/>
        <rFont val="Calibri"/>
        <family val="2"/>
        <scheme val="minor"/>
      </rPr>
      <t>the District</t>
    </r>
    <r>
      <rPr>
        <sz val="9"/>
        <rFont val="Calibri"/>
        <family val="2"/>
        <scheme val="minor"/>
      </rPr>
      <t xml:space="preserve"> and is presented on the Modified Accrual</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</si>
  <si>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the District</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</si>
  <si>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</si>
  <si>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Total US Department of Education / TOTAL FEDERAL AWARDS</t>
  </si>
  <si>
    <t>Quest</t>
  </si>
  <si>
    <t>ISDLAF</t>
  </si>
  <si>
    <t>Alltown and Safeway</t>
  </si>
  <si>
    <t>Sentinel</t>
  </si>
  <si>
    <t>Genesis Technologies</t>
  </si>
  <si>
    <t>Skyward</t>
  </si>
  <si>
    <t>Comcast</t>
  </si>
  <si>
    <t>Instructure</t>
  </si>
  <si>
    <t>10-2660-300</t>
  </si>
  <si>
    <t>10-2520-300</t>
  </si>
  <si>
    <t>10-2620-300</t>
  </si>
  <si>
    <t>10-1000-300</t>
  </si>
  <si>
    <t>New Trier Twp HSD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</si>
</sst>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2</xdr:row>
          <xdr:rowOff>104775</xdr:rowOff>
        </xdr:from>
        <xdr:to>
          <xdr:col>1</xdr:col>
          <xdr:colOff>2085975</xdr:colOff>
          <xdr:row>6</xdr:row>
          <xdr:rowOff>142875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1" t="s">
        <v>424</v>
      </c>
      <c r="J1" s="2002"/>
      <c r="K1" s="2002"/>
      <c r="L1" s="2002"/>
      <c r="M1" s="2002"/>
      <c r="N1" s="2002"/>
      <c r="O1" s="2002"/>
      <c r="P1" s="2002"/>
      <c r="Q1" s="2002"/>
      <c r="R1" s="2002"/>
      <c r="S1" s="2002"/>
    </row>
    <row r="2" spans="1:28" ht="12" customHeight="1" x14ac:dyDescent="0.2">
      <c r="A2" s="47" t="s">
        <v>1683</v>
      </c>
      <c r="D2" s="48"/>
      <c r="I2" s="2003" t="s">
        <v>1035</v>
      </c>
      <c r="J2" s="2002"/>
      <c r="K2" s="2002"/>
      <c r="L2" s="2002"/>
      <c r="M2" s="2002"/>
      <c r="N2" s="2002"/>
      <c r="O2" s="2002"/>
      <c r="P2" s="2002"/>
      <c r="Q2" s="2002"/>
      <c r="R2" s="2002"/>
      <c r="S2" s="2002"/>
    </row>
    <row r="3" spans="1:28" ht="12" customHeight="1" x14ac:dyDescent="0.2">
      <c r="A3" s="155" t="s">
        <v>1684</v>
      </c>
      <c r="B3" s="156"/>
      <c r="C3" s="156"/>
      <c r="D3" s="157"/>
      <c r="I3" s="2003" t="s">
        <v>54</v>
      </c>
      <c r="J3" s="2002"/>
      <c r="K3" s="2002"/>
      <c r="L3" s="2002"/>
      <c r="M3" s="2002"/>
      <c r="N3" s="2002"/>
      <c r="O3" s="2002"/>
      <c r="P3" s="2002"/>
      <c r="Q3" s="2002"/>
      <c r="R3" s="2002"/>
      <c r="S3" s="2002"/>
    </row>
    <row r="4" spans="1:28" ht="12" customHeight="1" x14ac:dyDescent="0.2">
      <c r="A4" s="37"/>
      <c r="I4" s="2003" t="s">
        <v>544</v>
      </c>
      <c r="J4" s="2002"/>
      <c r="K4" s="2002"/>
      <c r="L4" s="2002"/>
      <c r="M4" s="2002"/>
      <c r="N4" s="2002"/>
      <c r="O4" s="2002"/>
      <c r="P4" s="2002"/>
      <c r="Q4" s="2002"/>
      <c r="R4" s="2002"/>
      <c r="S4" s="2002"/>
    </row>
    <row r="5" spans="1:28" ht="14.1" customHeight="1" x14ac:dyDescent="0.2">
      <c r="B5" s="104" t="s">
        <v>2073</v>
      </c>
      <c r="C5" s="26" t="s">
        <v>965</v>
      </c>
      <c r="D5" s="84"/>
      <c r="E5" s="84"/>
      <c r="H5" s="38"/>
      <c r="I5" s="2011" t="s">
        <v>700</v>
      </c>
      <c r="J5" s="2010"/>
      <c r="K5" s="2010"/>
      <c r="L5" s="2010"/>
      <c r="M5" s="2010"/>
      <c r="N5" s="2010"/>
      <c r="O5" s="2010"/>
      <c r="P5" s="2010"/>
      <c r="Q5" s="2010"/>
      <c r="R5" s="2010"/>
      <c r="S5" s="2010"/>
    </row>
    <row r="6" spans="1:28" ht="14.1" customHeight="1" x14ac:dyDescent="0.2">
      <c r="B6" s="104"/>
      <c r="C6" s="26" t="s">
        <v>966</v>
      </c>
      <c r="D6" s="84"/>
      <c r="E6" s="84"/>
      <c r="I6" s="2009" t="s">
        <v>937</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694</v>
      </c>
      <c r="J9" s="2007"/>
      <c r="K9" s="2007"/>
      <c r="L9" s="2007"/>
      <c r="M9" s="2007"/>
      <c r="N9" s="2007"/>
      <c r="O9" s="2007"/>
      <c r="P9" s="2007"/>
      <c r="Q9" s="2007"/>
      <c r="R9" s="2007"/>
      <c r="S9" s="2008"/>
      <c r="T9" s="2022" t="s">
        <v>553</v>
      </c>
      <c r="U9" s="2023"/>
      <c r="V9" s="2023"/>
      <c r="W9" s="2023"/>
      <c r="X9" s="2023"/>
      <c r="Y9" s="2023"/>
      <c r="Z9" s="2023"/>
      <c r="AA9" s="2024"/>
    </row>
    <row r="10" spans="1:28" ht="13.5" customHeight="1" x14ac:dyDescent="0.2">
      <c r="A10" s="2029" t="s">
        <v>695</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1011</v>
      </c>
      <c r="B11" s="2033"/>
      <c r="C11" s="2033"/>
      <c r="D11" s="2033"/>
      <c r="E11" s="2033"/>
      <c r="F11" s="2033"/>
      <c r="G11" s="2033"/>
      <c r="H11" s="2034"/>
      <c r="I11" s="27"/>
      <c r="J11" s="74"/>
      <c r="K11" s="27"/>
      <c r="O11" s="148"/>
      <c r="P11" s="100" t="s">
        <v>210</v>
      </c>
      <c r="Q11" s="30"/>
      <c r="R11" s="28"/>
      <c r="S11" s="27"/>
      <c r="T11" s="2026"/>
      <c r="U11" s="2027"/>
      <c r="V11" s="2027"/>
      <c r="W11" s="2027"/>
      <c r="X11" s="2027"/>
      <c r="Y11" s="2027"/>
      <c r="Z11" s="2027"/>
      <c r="AA11" s="2028"/>
    </row>
    <row r="12" spans="1:28" ht="13.5" customHeight="1" x14ac:dyDescent="0.2">
      <c r="A12" s="85" t="s">
        <v>981</v>
      </c>
      <c r="B12" s="76"/>
      <c r="C12" s="76"/>
      <c r="D12" s="76"/>
      <c r="E12" s="76"/>
      <c r="F12" s="76"/>
      <c r="G12" s="76"/>
      <c r="H12" s="53"/>
      <c r="I12" s="29"/>
      <c r="J12" s="30"/>
      <c r="K12" s="28"/>
      <c r="O12" s="149" t="s">
        <v>2073</v>
      </c>
      <c r="P12" s="100" t="s">
        <v>211</v>
      </c>
      <c r="Q12" s="74"/>
      <c r="R12" s="30"/>
      <c r="S12" s="30"/>
      <c r="T12" s="85" t="s">
        <v>282</v>
      </c>
      <c r="U12" s="51"/>
      <c r="V12" s="51"/>
      <c r="W12" s="51"/>
      <c r="X12" s="51"/>
      <c r="Y12" s="45"/>
      <c r="Z12" s="45"/>
      <c r="AA12" s="46"/>
    </row>
    <row r="13" spans="1:28" ht="13.5" customHeight="1" x14ac:dyDescent="0.2">
      <c r="A13" s="2036">
        <v>5016203017</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5" t="s">
        <v>2074</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5" t="s">
        <v>2160</v>
      </c>
      <c r="B17" s="1996"/>
      <c r="C17" s="1996"/>
      <c r="D17" s="1996"/>
      <c r="E17" s="1996"/>
      <c r="F17" s="1996"/>
      <c r="G17" s="1996"/>
      <c r="H17" s="2021"/>
      <c r="T17" s="2052" t="s">
        <v>2080</v>
      </c>
      <c r="U17" s="2053"/>
      <c r="V17" s="2053"/>
      <c r="W17" s="2053"/>
      <c r="X17" s="2053"/>
      <c r="Y17" s="2053"/>
      <c r="Z17" s="2053"/>
      <c r="AA17" s="2054"/>
    </row>
    <row r="18" spans="1:27" ht="13.5" customHeight="1" x14ac:dyDescent="0.2">
      <c r="A18" s="85" t="s">
        <v>550</v>
      </c>
      <c r="B18" s="76"/>
      <c r="C18" s="72"/>
      <c r="D18" s="76"/>
      <c r="E18" s="76"/>
      <c r="F18" s="76"/>
      <c r="G18" s="76"/>
      <c r="H18" s="56"/>
      <c r="I18" s="2020" t="s">
        <v>696</v>
      </c>
      <c r="J18" s="1971"/>
      <c r="K18" s="1971"/>
      <c r="L18" s="1971"/>
      <c r="M18" s="1971"/>
      <c r="N18" s="1971"/>
      <c r="O18" s="1971"/>
      <c r="P18" s="1971"/>
      <c r="Q18" s="1971"/>
      <c r="R18" s="1971"/>
      <c r="S18" s="1972"/>
      <c r="T18" s="85" t="s">
        <v>734</v>
      </c>
      <c r="U18" s="51"/>
      <c r="V18" s="72"/>
      <c r="W18" s="50"/>
      <c r="X18" s="85" t="s">
        <v>283</v>
      </c>
      <c r="Y18" s="81"/>
      <c r="Z18" s="159" t="s">
        <v>697</v>
      </c>
      <c r="AA18" s="46"/>
    </row>
    <row r="19" spans="1:27" ht="13.5" customHeight="1" x14ac:dyDescent="0.2">
      <c r="A19" s="2035" t="s">
        <v>2075</v>
      </c>
      <c r="B19" s="1981"/>
      <c r="C19" s="1981"/>
      <c r="D19" s="1981"/>
      <c r="E19" s="1981"/>
      <c r="F19" s="1981"/>
      <c r="G19" s="1981"/>
      <c r="H19" s="1961"/>
      <c r="I19" s="30"/>
      <c r="J19" s="99"/>
      <c r="K19" s="40"/>
      <c r="L19" s="38"/>
      <c r="M19" s="112" t="s">
        <v>332</v>
      </c>
      <c r="P19" s="27"/>
      <c r="Q19" s="27"/>
      <c r="R19" s="27"/>
      <c r="S19" s="31"/>
      <c r="T19" s="2035" t="s">
        <v>2081</v>
      </c>
      <c r="U19" s="1960"/>
      <c r="V19" s="1960"/>
      <c r="W19" s="1961"/>
      <c r="X19" s="2050" t="s">
        <v>2082</v>
      </c>
      <c r="Y19" s="2051"/>
      <c r="Z19" s="2048">
        <v>60606</v>
      </c>
      <c r="AA19" s="2049"/>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59" t="s">
        <v>2076</v>
      </c>
      <c r="B21" s="1960"/>
      <c r="C21" s="1960"/>
      <c r="D21" s="1960"/>
      <c r="E21" s="1960"/>
      <c r="F21" s="1960"/>
      <c r="G21" s="1960"/>
      <c r="H21" s="1961"/>
      <c r="I21" s="2015" t="s">
        <v>698</v>
      </c>
      <c r="J21" s="2010"/>
      <c r="K21" s="2010"/>
      <c r="L21" s="2010"/>
      <c r="M21" s="2010"/>
      <c r="N21" s="2010"/>
      <c r="O21" s="2010"/>
      <c r="P21" s="2010"/>
      <c r="Q21" s="2010"/>
      <c r="R21" s="2010"/>
      <c r="S21" s="2016"/>
      <c r="T21" s="2059" t="s">
        <v>2083</v>
      </c>
      <c r="U21" s="2060"/>
      <c r="V21" s="2060"/>
      <c r="W21" s="2060"/>
      <c r="X21" s="2065" t="s">
        <v>2084</v>
      </c>
      <c r="Y21" s="2066"/>
      <c r="Z21" s="2066"/>
      <c r="AA21" s="2067"/>
    </row>
    <row r="22" spans="1:27" ht="13.5" customHeight="1" x14ac:dyDescent="0.2">
      <c r="A22" s="87" t="s">
        <v>551</v>
      </c>
      <c r="B22" s="59"/>
      <c r="C22" s="59"/>
      <c r="D22" s="59"/>
      <c r="E22" s="59"/>
      <c r="F22" s="59"/>
      <c r="G22" s="59"/>
      <c r="H22" s="60"/>
      <c r="I22" s="2017" t="s">
        <v>1503</v>
      </c>
      <c r="J22" s="2018"/>
      <c r="K22" s="2018"/>
      <c r="L22" s="2018"/>
      <c r="M22" s="2018"/>
      <c r="N22" s="2018"/>
      <c r="O22" s="2018"/>
      <c r="P22" s="2018"/>
      <c r="Q22" s="2018"/>
      <c r="R22" s="2018"/>
      <c r="S22" s="2019"/>
      <c r="T22" s="85" t="s">
        <v>1595</v>
      </c>
      <c r="U22" s="51"/>
      <c r="V22" s="72"/>
      <c r="W22" s="51"/>
      <c r="X22" s="160" t="s">
        <v>1384</v>
      </c>
      <c r="Z22" s="45"/>
      <c r="AA22" s="46"/>
    </row>
    <row r="23" spans="1:27" ht="13.5" customHeight="1" x14ac:dyDescent="0.2">
      <c r="A23" s="2012" t="s">
        <v>2077</v>
      </c>
      <c r="B23" s="2013"/>
      <c r="C23" s="2013"/>
      <c r="D23" s="2013"/>
      <c r="E23" s="2013"/>
      <c r="F23" s="2013"/>
      <c r="G23" s="2013"/>
      <c r="H23" s="2014"/>
      <c r="T23" s="1995" t="s">
        <v>2085</v>
      </c>
      <c r="U23" s="2058"/>
      <c r="V23" s="2058"/>
      <c r="W23" s="2058"/>
      <c r="X23" s="2062"/>
      <c r="Y23" s="2063"/>
      <c r="Z23" s="2063"/>
      <c r="AA23" s="2064"/>
    </row>
    <row r="24" spans="1:27" ht="14.1" customHeight="1" x14ac:dyDescent="0.2">
      <c r="A24" s="88" t="s">
        <v>697</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551</v>
      </c>
      <c r="U24" s="106"/>
      <c r="V24" s="106"/>
      <c r="W24" s="106"/>
      <c r="X24" s="107"/>
      <c r="Y24" s="107"/>
      <c r="Z24" s="107"/>
      <c r="AA24" s="108"/>
    </row>
    <row r="25" spans="1:27" ht="14.1" customHeight="1" x14ac:dyDescent="0.2">
      <c r="A25" s="1959">
        <v>60093</v>
      </c>
      <c r="B25" s="1960"/>
      <c r="C25" s="1960"/>
      <c r="D25" s="1960"/>
      <c r="E25" s="1960"/>
      <c r="F25" s="1960"/>
      <c r="G25" s="1960"/>
      <c r="H25" s="1961"/>
      <c r="I25" s="113"/>
      <c r="J25" s="1984"/>
      <c r="K25" s="1984"/>
      <c r="L25" s="1984"/>
      <c r="M25" s="1984"/>
      <c r="N25" s="1984"/>
      <c r="O25" s="1984"/>
      <c r="P25" s="1984"/>
      <c r="Q25" s="1984"/>
      <c r="R25" s="1984"/>
      <c r="S25" s="1985"/>
      <c r="T25" s="2055" t="s">
        <v>2086</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70" t="s">
        <v>1590</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2073</v>
      </c>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2073</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5" t="s">
        <v>2087</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551</v>
      </c>
      <c r="B39" s="1966"/>
      <c r="C39" s="72"/>
      <c r="D39" s="69"/>
      <c r="E39" s="69"/>
      <c r="F39" s="79"/>
      <c r="G39" s="69"/>
      <c r="H39" s="56"/>
      <c r="I39" s="1965" t="s">
        <v>551</v>
      </c>
      <c r="J39" s="1966"/>
      <c r="K39" s="1966"/>
      <c r="L39" s="1966"/>
      <c r="M39" s="1966"/>
      <c r="N39" s="67"/>
      <c r="O39" s="72"/>
      <c r="P39" s="72"/>
      <c r="Q39" s="78"/>
      <c r="R39" s="72"/>
      <c r="S39" s="56"/>
      <c r="T39" s="72" t="s">
        <v>551</v>
      </c>
      <c r="U39" s="51"/>
      <c r="V39" s="72"/>
      <c r="W39" s="50"/>
      <c r="X39" s="78"/>
      <c r="Y39" s="45"/>
      <c r="Z39" s="45"/>
      <c r="AA39" s="46"/>
    </row>
    <row r="40" spans="1:27" ht="13.5" customHeight="1" x14ac:dyDescent="0.2">
      <c r="A40" s="1973" t="s">
        <v>2088</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87" t="s">
        <v>2089</v>
      </c>
      <c r="B42" s="1979"/>
      <c r="C42" s="1980"/>
      <c r="D42" s="1978" t="s">
        <v>2090</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3" sqref="A12:H1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1901</v>
      </c>
      <c r="B2" s="1550" t="s">
        <v>2031</v>
      </c>
      <c r="C2" s="715" t="s">
        <v>1906</v>
      </c>
      <c r="D2" s="715" t="s">
        <v>1907</v>
      </c>
      <c r="E2" s="715" t="s">
        <v>1908</v>
      </c>
      <c r="F2" s="715" t="s">
        <v>1909</v>
      </c>
    </row>
    <row r="3" spans="1:6" ht="12" customHeight="1" x14ac:dyDescent="0.2">
      <c r="A3" s="2202"/>
      <c r="B3" s="1547"/>
      <c r="C3" s="1548"/>
      <c r="D3" s="1549" t="s">
        <v>274</v>
      </c>
      <c r="E3" s="1548"/>
      <c r="F3" s="1549" t="s">
        <v>275</v>
      </c>
    </row>
    <row r="4" spans="1:6" ht="13.7" customHeight="1" x14ac:dyDescent="0.2">
      <c r="A4" s="716" t="s">
        <v>1216</v>
      </c>
      <c r="B4" s="1771">
        <f>'Revenues 9-14'!C5</f>
        <v>83215957</v>
      </c>
      <c r="C4" s="1546">
        <v>45493631</v>
      </c>
      <c r="D4" s="1774">
        <f>B4-C4</f>
        <v>37722326</v>
      </c>
      <c r="E4" s="1546">
        <v>87667650</v>
      </c>
      <c r="F4" s="1774">
        <f>E4-C4</f>
        <v>42174019</v>
      </c>
    </row>
    <row r="5" spans="1:6" ht="13.7" customHeight="1" x14ac:dyDescent="0.2">
      <c r="A5" s="716" t="s">
        <v>924</v>
      </c>
      <c r="B5" s="1772">
        <f>'Revenues 9-14'!D5</f>
        <v>7191910</v>
      </c>
      <c r="C5" s="585">
        <v>3941800</v>
      </c>
      <c r="D5" s="1775">
        <f t="shared" ref="D5:D18" si="0">B5-C5</f>
        <v>3250110</v>
      </c>
      <c r="E5" s="585">
        <v>7595288</v>
      </c>
      <c r="F5" s="1775">
        <f>E5-C5</f>
        <v>3653488</v>
      </c>
    </row>
    <row r="6" spans="1:6" ht="13.7" customHeight="1" x14ac:dyDescent="0.2">
      <c r="A6" s="716" t="s">
        <v>430</v>
      </c>
      <c r="B6" s="1772">
        <f>'Revenues 9-14'!E5</f>
        <v>9552338</v>
      </c>
      <c r="C6" s="585">
        <v>5433077</v>
      </c>
      <c r="D6" s="1775">
        <f t="shared" si="0"/>
        <v>4119261</v>
      </c>
      <c r="E6" s="585">
        <v>10256985</v>
      </c>
      <c r="F6" s="1775">
        <f t="shared" ref="F6:F18" si="1">E6-C6</f>
        <v>4823908</v>
      </c>
    </row>
    <row r="7" spans="1:6" ht="13.7" customHeight="1" x14ac:dyDescent="0.2">
      <c r="A7" s="716" t="s">
        <v>157</v>
      </c>
      <c r="B7" s="1772">
        <f>'Revenues 9-14'!F5</f>
        <v>1336484</v>
      </c>
      <c r="C7" s="585">
        <v>735803</v>
      </c>
      <c r="D7" s="1775">
        <f t="shared" si="0"/>
        <v>600681</v>
      </c>
      <c r="E7" s="585">
        <v>1416070</v>
      </c>
      <c r="F7" s="1775">
        <f t="shared" si="1"/>
        <v>680267</v>
      </c>
    </row>
    <row r="8" spans="1:6" ht="13.7" customHeight="1" x14ac:dyDescent="0.2">
      <c r="A8" s="716" t="s">
        <v>1240</v>
      </c>
      <c r="B8" s="1772">
        <f>'Revenues 9-14'!G5</f>
        <v>1971078</v>
      </c>
      <c r="C8" s="585">
        <v>1072170</v>
      </c>
      <c r="D8" s="1775">
        <f t="shared" si="0"/>
        <v>898908</v>
      </c>
      <c r="E8" s="585">
        <v>2535494</v>
      </c>
      <c r="F8" s="1775">
        <f t="shared" si="1"/>
        <v>1463324</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0</v>
      </c>
      <c r="C10" s="585"/>
      <c r="D10" s="1775">
        <f t="shared" si="0"/>
        <v>0</v>
      </c>
      <c r="E10" s="585"/>
      <c r="F10" s="1775">
        <f t="shared" si="1"/>
        <v>0</v>
      </c>
    </row>
    <row r="11" spans="1:6" x14ac:dyDescent="0.2">
      <c r="A11" s="716" t="s">
        <v>428</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0</v>
      </c>
      <c r="C14" s="585"/>
      <c r="D14" s="1775">
        <f t="shared" si="0"/>
        <v>0</v>
      </c>
      <c r="E14" s="585"/>
      <c r="F14" s="1775">
        <f t="shared" si="1"/>
        <v>0</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2210087</v>
      </c>
      <c r="C16" s="585">
        <v>1313933</v>
      </c>
      <c r="D16" s="1775">
        <f t="shared" si="0"/>
        <v>896154</v>
      </c>
      <c r="E16" s="585">
        <v>2065336</v>
      </c>
      <c r="F16" s="1775">
        <f t="shared" si="1"/>
        <v>751403</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105477854</v>
      </c>
      <c r="C19" s="1773">
        <f>SUM(C4:C18)</f>
        <v>57990414</v>
      </c>
      <c r="D19" s="1773">
        <f>SUM(D4:D18)</f>
        <v>47487440</v>
      </c>
      <c r="E19" s="1773">
        <f>SUM(E4:E18)</f>
        <v>111536823</v>
      </c>
      <c r="F19" s="1773">
        <f>SUM(F4:F18)</f>
        <v>53546409</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90" zoomScaleNormal="90" workbookViewId="0">
      <selection activeCell="A13" sqref="A12:H1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649</v>
      </c>
      <c r="B1" s="2221"/>
      <c r="C1" s="722"/>
    </row>
    <row r="2" spans="1:7" ht="33.75" x14ac:dyDescent="0.2">
      <c r="A2" s="2228" t="s">
        <v>1901</v>
      </c>
      <c r="B2" s="2229"/>
      <c r="C2" s="1909" t="s">
        <v>2032</v>
      </c>
      <c r="D2" s="724" t="s">
        <v>2039</v>
      </c>
      <c r="E2" s="724" t="s">
        <v>2040</v>
      </c>
      <c r="F2" s="1909" t="s">
        <v>2033</v>
      </c>
    </row>
    <row r="3" spans="1:7" ht="15.75" customHeight="1" x14ac:dyDescent="0.2">
      <c r="A3" s="2230" t="s">
        <v>1175</v>
      </c>
      <c r="B3" s="2231"/>
      <c r="C3" s="2224"/>
      <c r="D3" s="2225"/>
      <c r="E3" s="2225"/>
      <c r="F3" s="2226"/>
    </row>
    <row r="4" spans="1:7" ht="12.75" customHeight="1" thickBot="1" x14ac:dyDescent="0.25">
      <c r="A4" s="2218" t="s">
        <v>650</v>
      </c>
      <c r="B4" s="2219"/>
      <c r="C4" s="581"/>
      <c r="D4" s="581"/>
      <c r="E4" s="581"/>
      <c r="F4" s="1777">
        <f>SUM(C4+D4)-E4</f>
        <v>0</v>
      </c>
    </row>
    <row r="5" spans="1:7" ht="15.75" customHeight="1" thickTop="1" x14ac:dyDescent="0.2">
      <c r="A5" s="2222" t="s">
        <v>1171</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14" t="s">
        <v>651</v>
      </c>
      <c r="B15" s="2215"/>
      <c r="C15" s="1777">
        <f>SUM(C6:C14)</f>
        <v>0</v>
      </c>
      <c r="D15" s="1777">
        <f>SUM(D6:D14)</f>
        <v>0</v>
      </c>
      <c r="E15" s="1777">
        <f>SUM(E6:E14)</f>
        <v>0</v>
      </c>
      <c r="F15" s="1777">
        <f>SUM(F6:F14)</f>
        <v>0</v>
      </c>
      <c r="G15" s="552"/>
    </row>
    <row r="16" spans="1:7" s="202" customFormat="1" ht="15.75" customHeight="1" thickTop="1" x14ac:dyDescent="0.2">
      <c r="A16" s="2227" t="s">
        <v>1172</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405</v>
      </c>
      <c r="B19" s="2210"/>
      <c r="C19" s="727"/>
      <c r="D19" s="585"/>
      <c r="E19" s="727"/>
      <c r="F19" s="1777">
        <f>SUM(C19+D19)-E19</f>
        <v>0</v>
      </c>
    </row>
    <row r="20" spans="1:11" ht="12.75" customHeight="1" thickTop="1" thickBot="1" x14ac:dyDescent="0.25">
      <c r="A20" s="2209" t="s">
        <v>467</v>
      </c>
      <c r="B20" s="2210"/>
      <c r="C20" s="727"/>
      <c r="D20" s="585"/>
      <c r="E20" s="727"/>
      <c r="F20" s="1777">
        <f>SUM(C20+D20)-E20</f>
        <v>0</v>
      </c>
    </row>
    <row r="21" spans="1:11" ht="14.25" thickTop="1" thickBot="1" x14ac:dyDescent="0.25">
      <c r="A21" s="2214" t="s">
        <v>652</v>
      </c>
      <c r="B21" s="2215"/>
      <c r="C21" s="1777">
        <f>SUM(C17:C20)</f>
        <v>0</v>
      </c>
      <c r="D21" s="1777">
        <f>SUM(D17:D20)</f>
        <v>0</v>
      </c>
      <c r="E21" s="1777">
        <f>SUM(E17:E20)</f>
        <v>0</v>
      </c>
      <c r="F21" s="1777">
        <f>SUM(F17:F20)</f>
        <v>0</v>
      </c>
      <c r="G21" s="552"/>
    </row>
    <row r="22" spans="1:11" ht="15.75" customHeight="1" thickTop="1" x14ac:dyDescent="0.2">
      <c r="A22" s="2216" t="s">
        <v>1173</v>
      </c>
      <c r="B22" s="2217"/>
      <c r="C22" s="2211"/>
      <c r="D22" s="2212"/>
      <c r="E22" s="2212"/>
      <c r="F22" s="2213"/>
    </row>
    <row r="23" spans="1:11" ht="13.5" thickBot="1" x14ac:dyDescent="0.25">
      <c r="A23" s="2218" t="s">
        <v>653</v>
      </c>
      <c r="B23" s="2219"/>
      <c r="C23" s="581"/>
      <c r="D23" s="581"/>
      <c r="E23" s="581"/>
      <c r="F23" s="1777">
        <f>SUM(C23+D23)-E23</f>
        <v>0</v>
      </c>
      <c r="G23" s="552"/>
    </row>
    <row r="24" spans="1:11" ht="15.75" customHeight="1" thickTop="1" x14ac:dyDescent="0.2">
      <c r="A24" s="2216" t="s">
        <v>1174</v>
      </c>
      <c r="B24" s="2217"/>
      <c r="C24" s="2211"/>
      <c r="D24" s="2212"/>
      <c r="E24" s="2212"/>
      <c r="F24" s="2213"/>
    </row>
    <row r="25" spans="1:11" ht="13.5" thickBot="1" x14ac:dyDescent="0.25">
      <c r="A25" s="2218" t="s">
        <v>654</v>
      </c>
      <c r="B25" s="2219"/>
      <c r="C25" s="581"/>
      <c r="D25" s="581"/>
      <c r="E25" s="581"/>
      <c r="F25" s="1777">
        <f>SUM(C25+D25)-E25</f>
        <v>0</v>
      </c>
      <c r="G25" s="552"/>
    </row>
    <row r="26" spans="1:11" ht="15.75" customHeight="1" thickTop="1" x14ac:dyDescent="0.2">
      <c r="A26" s="2222" t="s">
        <v>677</v>
      </c>
      <c r="B26" s="2217"/>
      <c r="C26" s="728"/>
      <c r="D26" s="728"/>
      <c r="E26" s="728"/>
      <c r="F26" s="729"/>
    </row>
    <row r="27" spans="1:11" ht="13.5" thickBot="1" x14ac:dyDescent="0.25">
      <c r="A27" s="2214" t="s">
        <v>1129</v>
      </c>
      <c r="B27" s="2215"/>
      <c r="C27" s="585"/>
      <c r="D27" s="585"/>
      <c r="E27" s="585"/>
      <c r="F27" s="1777">
        <f>SUM(C27+D27)-E27</f>
        <v>0</v>
      </c>
      <c r="G27" s="552"/>
    </row>
    <row r="28" spans="1:11" ht="7.5" customHeight="1" thickTop="1" x14ac:dyDescent="0.2">
      <c r="A28" s="594"/>
    </row>
    <row r="29" spans="1:11" ht="23.25" customHeight="1" x14ac:dyDescent="0.2">
      <c r="A29" s="2220" t="s">
        <v>602</v>
      </c>
      <c r="B29" s="2221"/>
      <c r="C29" s="730"/>
      <c r="D29" s="730"/>
      <c r="E29" s="730"/>
      <c r="F29" s="730"/>
      <c r="G29" s="730"/>
      <c r="H29" s="730"/>
      <c r="I29" s="730"/>
      <c r="J29" s="730"/>
    </row>
    <row r="30" spans="1:11" ht="33.75" x14ac:dyDescent="0.2">
      <c r="A30" s="1551" t="s">
        <v>1130</v>
      </c>
      <c r="B30" s="731" t="s">
        <v>1185</v>
      </c>
      <c r="C30" s="1910" t="s">
        <v>603</v>
      </c>
      <c r="D30" s="1910" t="s">
        <v>1771</v>
      </c>
      <c r="E30" s="1910" t="s">
        <v>2034</v>
      </c>
      <c r="F30" s="1910" t="s">
        <v>2035</v>
      </c>
      <c r="G30" s="1910" t="s">
        <v>2038</v>
      </c>
      <c r="H30" s="1910" t="s">
        <v>2036</v>
      </c>
      <c r="I30" s="1910" t="s">
        <v>2037</v>
      </c>
      <c r="J30" s="1911" t="s">
        <v>2</v>
      </c>
      <c r="K30" s="732"/>
    </row>
    <row r="31" spans="1:11" ht="12" customHeight="1" x14ac:dyDescent="0.2">
      <c r="A31" s="733" t="s">
        <v>2091</v>
      </c>
      <c r="B31" s="734">
        <v>40287</v>
      </c>
      <c r="C31" s="735">
        <v>8315000</v>
      </c>
      <c r="D31" s="736">
        <v>4</v>
      </c>
      <c r="E31" s="735">
        <v>4030000</v>
      </c>
      <c r="F31" s="735"/>
      <c r="G31" s="735"/>
      <c r="H31" s="735">
        <v>1985000</v>
      </c>
      <c r="I31" s="1778">
        <f>((E31+F31)-H31)+G31</f>
        <v>2045000</v>
      </c>
      <c r="J31" s="735">
        <f>ROUND((98854395/I49)*I31,0)</f>
        <v>1974288</v>
      </c>
      <c r="K31" s="737"/>
    </row>
    <row r="32" spans="1:11" ht="12" customHeight="1" x14ac:dyDescent="0.2">
      <c r="A32" s="733" t="s">
        <v>2092</v>
      </c>
      <c r="B32" s="734">
        <v>41157</v>
      </c>
      <c r="C32" s="735">
        <v>4475000</v>
      </c>
      <c r="D32" s="736">
        <v>3</v>
      </c>
      <c r="E32" s="735">
        <v>1525000</v>
      </c>
      <c r="F32" s="735"/>
      <c r="G32" s="735"/>
      <c r="H32" s="735">
        <v>755000</v>
      </c>
      <c r="I32" s="1778">
        <f>((E32+F32)-H32)+G32</f>
        <v>770000</v>
      </c>
      <c r="J32" s="735">
        <f>ROUND((98854395/I49)*I32,0)</f>
        <v>743375</v>
      </c>
      <c r="K32" s="737"/>
    </row>
    <row r="33" spans="1:11" ht="12" customHeight="1" x14ac:dyDescent="0.2">
      <c r="A33" s="733" t="s">
        <v>2093</v>
      </c>
      <c r="B33" s="734">
        <v>41696</v>
      </c>
      <c r="C33" s="735">
        <v>4150000</v>
      </c>
      <c r="D33" s="736">
        <v>1</v>
      </c>
      <c r="E33" s="735">
        <v>3165000</v>
      </c>
      <c r="F33" s="735"/>
      <c r="G33" s="735"/>
      <c r="H33" s="735"/>
      <c r="I33" s="1778">
        <f t="shared" ref="I33:I48" si="1">((E33+F33)-H33)+G33</f>
        <v>3165000</v>
      </c>
      <c r="J33" s="735">
        <f>ROUND((98854395/I49)*I33,0)</f>
        <v>3055561</v>
      </c>
      <c r="K33" s="737"/>
    </row>
    <row r="34" spans="1:11" ht="12" customHeight="1" x14ac:dyDescent="0.2">
      <c r="A34" s="733" t="s">
        <v>2094</v>
      </c>
      <c r="B34" s="734">
        <v>42038</v>
      </c>
      <c r="C34" s="735">
        <v>86970000</v>
      </c>
      <c r="D34" s="736">
        <v>6</v>
      </c>
      <c r="E34" s="735">
        <v>79110000</v>
      </c>
      <c r="F34" s="735"/>
      <c r="G34" s="735"/>
      <c r="H34" s="735">
        <v>3880000</v>
      </c>
      <c r="I34" s="1778">
        <f t="shared" si="1"/>
        <v>75230000</v>
      </c>
      <c r="J34" s="735">
        <f>ROUND((98854395/I49)*I34,0)</f>
        <v>72628704</v>
      </c>
      <c r="K34" s="738"/>
    </row>
    <row r="35" spans="1:11" ht="12" customHeight="1" x14ac:dyDescent="0.2">
      <c r="A35" s="733" t="s">
        <v>2095</v>
      </c>
      <c r="B35" s="734">
        <v>42401</v>
      </c>
      <c r="C35" s="739">
        <v>4805000</v>
      </c>
      <c r="D35" s="736">
        <v>4</v>
      </c>
      <c r="E35" s="739">
        <v>4480000</v>
      </c>
      <c r="F35" s="739"/>
      <c r="G35" s="739"/>
      <c r="H35" s="739"/>
      <c r="I35" s="1778">
        <f t="shared" si="1"/>
        <v>4480000</v>
      </c>
      <c r="J35" s="739">
        <f>ROUND((98854395/I49)*I35,0)</f>
        <v>4325091</v>
      </c>
      <c r="K35" s="738"/>
    </row>
    <row r="36" spans="1:11" ht="12" customHeight="1" x14ac:dyDescent="0.2">
      <c r="A36" s="733" t="s">
        <v>2096</v>
      </c>
      <c r="B36" s="734">
        <v>42401</v>
      </c>
      <c r="C36" s="735">
        <v>1295000</v>
      </c>
      <c r="D36" s="736">
        <v>2</v>
      </c>
      <c r="E36" s="735">
        <v>1155000</v>
      </c>
      <c r="F36" s="735"/>
      <c r="G36" s="735"/>
      <c r="H36" s="735">
        <v>145000</v>
      </c>
      <c r="I36" s="1778">
        <f t="shared" si="1"/>
        <v>1010000</v>
      </c>
      <c r="J36" s="735">
        <f>ROUND((98854395/I49)*I36,0)</f>
        <v>975076</v>
      </c>
      <c r="K36" s="740"/>
    </row>
    <row r="37" spans="1:11" ht="12" customHeight="1" x14ac:dyDescent="0.2">
      <c r="A37" s="733" t="s">
        <v>2097</v>
      </c>
      <c r="B37" s="734">
        <v>42401</v>
      </c>
      <c r="C37" s="467">
        <v>4235000</v>
      </c>
      <c r="D37" s="741">
        <v>6</v>
      </c>
      <c r="E37" s="467">
        <v>4235000</v>
      </c>
      <c r="F37" s="467"/>
      <c r="G37" s="467"/>
      <c r="H37" s="467"/>
      <c r="I37" s="1778">
        <f t="shared" si="1"/>
        <v>4235000</v>
      </c>
      <c r="J37" s="467">
        <f>ROUND((98854395/I49)*I37,0)</f>
        <v>4088563</v>
      </c>
      <c r="K37" s="738"/>
    </row>
    <row r="38" spans="1:11" ht="12" customHeight="1" x14ac:dyDescent="0.2">
      <c r="A38" s="733" t="s">
        <v>2098</v>
      </c>
      <c r="B38" s="734">
        <v>42776</v>
      </c>
      <c r="C38" s="735">
        <v>5260000</v>
      </c>
      <c r="D38" s="742">
        <v>3</v>
      </c>
      <c r="E38" s="743">
        <v>5260000</v>
      </c>
      <c r="F38" s="743"/>
      <c r="G38" s="743"/>
      <c r="H38" s="743"/>
      <c r="I38" s="1778">
        <f t="shared" si="1"/>
        <v>5260000</v>
      </c>
      <c r="J38" s="744">
        <f>ROUND((98854395/I49)*I38,0)</f>
        <v>5078120</v>
      </c>
      <c r="K38" s="745"/>
    </row>
    <row r="39" spans="1:11" ht="12" customHeight="1" x14ac:dyDescent="0.2">
      <c r="A39" s="733" t="s">
        <v>2099</v>
      </c>
      <c r="B39" s="734">
        <v>43087</v>
      </c>
      <c r="C39" s="735">
        <v>6200000</v>
      </c>
      <c r="D39" s="742">
        <v>1</v>
      </c>
      <c r="E39" s="743"/>
      <c r="F39" s="743">
        <v>6200000</v>
      </c>
      <c r="G39" s="743"/>
      <c r="H39" s="743"/>
      <c r="I39" s="1778">
        <f t="shared" si="1"/>
        <v>6200000</v>
      </c>
      <c r="J39" s="744">
        <f>ROUND((98854395/I49)*I39,0)</f>
        <v>5985617</v>
      </c>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125705000</v>
      </c>
      <c r="D49" s="746"/>
      <c r="E49" s="1778">
        <f t="shared" ref="E49:J49" si="2">SUM(E31:E48)</f>
        <v>102960000</v>
      </c>
      <c r="F49" s="1778">
        <f t="shared" si="2"/>
        <v>6200000</v>
      </c>
      <c r="G49" s="1778">
        <f t="shared" si="2"/>
        <v>0</v>
      </c>
      <c r="H49" s="1778">
        <f t="shared" si="2"/>
        <v>6765000</v>
      </c>
      <c r="I49" s="1778">
        <f t="shared" si="2"/>
        <v>102395000</v>
      </c>
      <c r="J49" s="1778">
        <f t="shared" si="2"/>
        <v>98854395</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03" t="s">
        <v>604</v>
      </c>
      <c r="C52" s="2204"/>
      <c r="D52" s="2204"/>
      <c r="E52" s="750" t="s">
        <v>899</v>
      </c>
      <c r="F52" s="2205"/>
      <c r="G52" s="2206"/>
      <c r="H52" s="737"/>
      <c r="I52" s="737"/>
      <c r="J52" s="747"/>
    </row>
    <row r="53" spans="1:11" ht="11.25" customHeight="1" x14ac:dyDescent="0.2">
      <c r="A53" s="751" t="s">
        <v>968</v>
      </c>
      <c r="B53" s="752" t="s">
        <v>1007</v>
      </c>
      <c r="C53" s="747"/>
      <c r="D53" s="738"/>
      <c r="E53" s="750" t="s">
        <v>517</v>
      </c>
      <c r="F53" s="2207"/>
      <c r="G53" s="2208"/>
      <c r="H53" s="737"/>
      <c r="I53" s="737"/>
      <c r="J53" s="747"/>
    </row>
    <row r="54" spans="1:11" ht="11.25" customHeight="1" x14ac:dyDescent="0.2">
      <c r="A54" s="753" t="s">
        <v>969</v>
      </c>
      <c r="B54" s="748" t="s">
        <v>1008</v>
      </c>
      <c r="C54" s="747"/>
      <c r="D54" s="738"/>
      <c r="E54" s="750" t="s">
        <v>518</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3" sqref="A12: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910</v>
      </c>
      <c r="B1" s="2233"/>
      <c r="C1" s="2233"/>
      <c r="D1" s="2233"/>
      <c r="E1" s="2233"/>
      <c r="F1" s="2233"/>
      <c r="G1" s="2234"/>
      <c r="H1" s="1552"/>
      <c r="I1" s="761"/>
      <c r="J1" s="433"/>
    </row>
    <row r="2" spans="1:11" ht="26.25" x14ac:dyDescent="0.2">
      <c r="A2" s="2251" t="s">
        <v>1775</v>
      </c>
      <c r="B2" s="2252"/>
      <c r="C2" s="2252"/>
      <c r="D2" s="2252"/>
      <c r="E2" s="2253"/>
      <c r="F2" s="762" t="s">
        <v>959</v>
      </c>
      <c r="G2" s="763" t="s">
        <v>1772</v>
      </c>
      <c r="H2" s="763" t="s">
        <v>429</v>
      </c>
      <c r="I2" s="763" t="s">
        <v>1219</v>
      </c>
      <c r="J2" s="763" t="s">
        <v>1915</v>
      </c>
      <c r="K2" s="763" t="s">
        <v>140</v>
      </c>
    </row>
    <row r="3" spans="1:11" x14ac:dyDescent="0.2">
      <c r="A3" s="2254" t="s">
        <v>1697</v>
      </c>
      <c r="B3" s="2255"/>
      <c r="C3" s="2255"/>
      <c r="D3" s="2255"/>
      <c r="E3" s="2256"/>
      <c r="F3" s="764"/>
      <c r="G3" s="765"/>
      <c r="H3" s="765"/>
      <c r="I3" s="765"/>
      <c r="J3" s="766"/>
      <c r="K3" s="766"/>
    </row>
    <row r="4" spans="1:11" x14ac:dyDescent="0.2">
      <c r="A4" s="2257" t="s">
        <v>386</v>
      </c>
      <c r="B4" s="2258"/>
      <c r="C4" s="2258"/>
      <c r="D4" s="2258"/>
      <c r="E4" s="2204"/>
      <c r="F4" s="767"/>
      <c r="G4" s="768"/>
      <c r="H4" s="769"/>
      <c r="I4" s="768"/>
      <c r="J4" s="770"/>
      <c r="K4" s="770"/>
    </row>
    <row r="5" spans="1:11" x14ac:dyDescent="0.2">
      <c r="A5" s="2235" t="s">
        <v>1128</v>
      </c>
      <c r="B5" s="2236"/>
      <c r="C5" s="2236"/>
      <c r="D5" s="2236"/>
      <c r="E5" s="2237"/>
      <c r="F5" s="771" t="s">
        <v>902</v>
      </c>
      <c r="G5" s="772"/>
      <c r="H5" s="765"/>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35" t="s">
        <v>1916</v>
      </c>
      <c r="B10" s="2236"/>
      <c r="C10" s="2236"/>
      <c r="D10" s="2236"/>
      <c r="E10" s="2238"/>
      <c r="F10" s="784" t="s">
        <v>916</v>
      </c>
      <c r="G10" s="783"/>
      <c r="H10" s="785"/>
      <c r="I10" s="765"/>
      <c r="J10" s="766"/>
      <c r="K10" s="766"/>
    </row>
    <row r="11" spans="1:11" x14ac:dyDescent="0.2">
      <c r="A11" s="2235" t="s">
        <v>162</v>
      </c>
      <c r="B11" s="2236"/>
      <c r="C11" s="2236"/>
      <c r="D11" s="2236"/>
      <c r="E11" s="2237"/>
      <c r="F11" s="771" t="s">
        <v>906</v>
      </c>
      <c r="G11" s="772"/>
      <c r="H11" s="765"/>
      <c r="I11" s="765"/>
      <c r="J11" s="766"/>
      <c r="K11" s="774"/>
    </row>
    <row r="12" spans="1:11" ht="13.5" thickBot="1" x14ac:dyDescent="0.25">
      <c r="A12" s="2262" t="s">
        <v>960</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387</v>
      </c>
      <c r="B13" s="2260"/>
      <c r="C13" s="2260"/>
      <c r="D13" s="2260"/>
      <c r="E13" s="2261"/>
      <c r="F13" s="786"/>
      <c r="G13" s="787"/>
      <c r="H13" s="788"/>
      <c r="I13" s="789"/>
      <c r="J13" s="789"/>
      <c r="K13" s="789"/>
    </row>
    <row r="14" spans="1:11" x14ac:dyDescent="0.2">
      <c r="A14" s="2242" t="s">
        <v>475</v>
      </c>
      <c r="B14" s="2242"/>
      <c r="C14" s="2242"/>
      <c r="D14" s="2242"/>
      <c r="E14" s="2243"/>
      <c r="F14" s="790" t="s">
        <v>908</v>
      </c>
      <c r="G14" s="783"/>
      <c r="H14" s="765"/>
      <c r="I14" s="772"/>
      <c r="J14" s="774"/>
      <c r="K14" s="766"/>
    </row>
    <row r="15" spans="1:11" x14ac:dyDescent="0.2">
      <c r="A15" s="2236" t="s">
        <v>4</v>
      </c>
      <c r="B15" s="2236"/>
      <c r="C15" s="2236"/>
      <c r="D15" s="2236"/>
      <c r="E15" s="2237"/>
      <c r="F15" s="790" t="s">
        <v>909</v>
      </c>
      <c r="G15" s="772"/>
      <c r="H15" s="765"/>
      <c r="I15" s="765"/>
      <c r="J15" s="766"/>
      <c r="K15" s="766"/>
    </row>
    <row r="16" spans="1:11" x14ac:dyDescent="0.2">
      <c r="A16" s="2236" t="s">
        <v>315</v>
      </c>
      <c r="B16" s="2236"/>
      <c r="C16" s="2236"/>
      <c r="D16" s="2236"/>
      <c r="E16" s="2237"/>
      <c r="F16" s="790" t="s">
        <v>979</v>
      </c>
      <c r="G16" s="773"/>
      <c r="H16" s="768"/>
      <c r="I16" s="768"/>
      <c r="J16" s="770"/>
      <c r="K16" s="770"/>
    </row>
    <row r="17" spans="1:11" x14ac:dyDescent="0.2">
      <c r="A17" s="2267" t="s">
        <v>991</v>
      </c>
      <c r="B17" s="2267"/>
      <c r="C17" s="2267"/>
      <c r="D17" s="2267"/>
      <c r="E17" s="2268"/>
      <c r="F17" s="791"/>
      <c r="G17" s="792"/>
      <c r="H17" s="793"/>
      <c r="I17" s="793"/>
      <c r="J17" s="794"/>
      <c r="K17" s="795"/>
    </row>
    <row r="18" spans="1:11" x14ac:dyDescent="0.2">
      <c r="A18" s="2246" t="s">
        <v>385</v>
      </c>
      <c r="B18" s="2247"/>
      <c r="C18" s="2247"/>
      <c r="D18" s="2247"/>
      <c r="E18" s="2248"/>
      <c r="F18" s="790" t="s">
        <v>988</v>
      </c>
      <c r="G18" s="783"/>
      <c r="H18" s="783"/>
      <c r="I18" s="783"/>
      <c r="J18" s="766"/>
      <c r="K18" s="796"/>
    </row>
    <row r="19" spans="1:11" ht="21.75" customHeight="1" x14ac:dyDescent="0.2">
      <c r="A19" s="2244" t="s">
        <v>1912</v>
      </c>
      <c r="B19" s="2244"/>
      <c r="C19" s="2244"/>
      <c r="D19" s="2244"/>
      <c r="E19" s="2245"/>
      <c r="F19" s="790" t="s">
        <v>989</v>
      </c>
      <c r="G19" s="783"/>
      <c r="H19" s="783"/>
      <c r="I19" s="783"/>
      <c r="J19" s="766"/>
      <c r="K19" s="796"/>
    </row>
    <row r="20" spans="1:11" x14ac:dyDescent="0.2">
      <c r="A20" s="2246" t="s">
        <v>1917</v>
      </c>
      <c r="B20" s="2247"/>
      <c r="C20" s="2247"/>
      <c r="D20" s="2247"/>
      <c r="E20" s="2248"/>
      <c r="F20" s="790" t="s">
        <v>990</v>
      </c>
      <c r="G20" s="783"/>
      <c r="H20" s="783"/>
      <c r="I20" s="783"/>
      <c r="J20" s="766"/>
      <c r="K20" s="796"/>
    </row>
    <row r="21" spans="1:11" ht="13.5" thickBot="1" x14ac:dyDescent="0.25">
      <c r="A21" s="2265" t="s">
        <v>658</v>
      </c>
      <c r="B21" s="2265"/>
      <c r="C21" s="2265"/>
      <c r="D21" s="2265"/>
      <c r="E21" s="2265"/>
      <c r="F21" s="1781"/>
      <c r="G21" s="793"/>
      <c r="H21" s="797"/>
      <c r="I21" s="797"/>
      <c r="J21" s="1782">
        <f>SUM(J18:J20)</f>
        <v>0</v>
      </c>
      <c r="K21" s="794"/>
    </row>
    <row r="22" spans="1:11" ht="13.5" thickTop="1" x14ac:dyDescent="0.2">
      <c r="A22" s="2236" t="s">
        <v>1918</v>
      </c>
      <c r="B22" s="2236"/>
      <c r="C22" s="2236"/>
      <c r="D22" s="2236"/>
      <c r="E22" s="2237"/>
      <c r="F22" s="790" t="s">
        <v>916</v>
      </c>
      <c r="G22" s="783"/>
      <c r="H22" s="765"/>
      <c r="I22" s="765"/>
      <c r="J22" s="798"/>
      <c r="K22" s="766"/>
    </row>
    <row r="23" spans="1:11" ht="13.5" thickBot="1" x14ac:dyDescent="0.25">
      <c r="A23" s="2266" t="s">
        <v>961</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2020</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2030</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t="s">
        <v>2073</v>
      </c>
      <c r="E30" s="809" t="s">
        <v>791</v>
      </c>
      <c r="F30" s="202"/>
      <c r="G30" s="806"/>
    </row>
    <row r="31" spans="1:11" x14ac:dyDescent="0.2">
      <c r="A31" s="810"/>
      <c r="D31" s="237"/>
      <c r="E31" s="811" t="s">
        <v>792</v>
      </c>
      <c r="F31" s="812" t="s">
        <v>559</v>
      </c>
      <c r="G31" s="765"/>
      <c r="H31" s="2239"/>
      <c r="I31" s="2240"/>
      <c r="J31" s="2240"/>
      <c r="K31" s="2240"/>
    </row>
    <row r="32" spans="1:11" x14ac:dyDescent="0.2">
      <c r="A32" s="810"/>
      <c r="B32" s="237"/>
      <c r="C32" s="237"/>
      <c r="D32" s="237"/>
      <c r="E32" s="806"/>
      <c r="F32" s="812" t="s">
        <v>560</v>
      </c>
      <c r="G32" s="765"/>
      <c r="H32" s="2241"/>
      <c r="I32" s="2240"/>
      <c r="J32" s="2240"/>
      <c r="K32" s="2240"/>
    </row>
    <row r="33" spans="1:11" ht="1.5" customHeight="1" x14ac:dyDescent="0.2">
      <c r="A33" s="813" t="s">
        <v>1230</v>
      </c>
      <c r="B33" s="364"/>
      <c r="C33" s="364"/>
      <c r="D33" s="364"/>
      <c r="E33" s="364"/>
      <c r="F33" s="364"/>
      <c r="G33" s="814"/>
      <c r="H33" s="2241"/>
      <c r="I33" s="2240"/>
      <c r="J33" s="2240"/>
      <c r="K33" s="2240"/>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6" t="s">
        <v>561</v>
      </c>
      <c r="B41" s="2249"/>
      <c r="C41" s="2249"/>
      <c r="D41" s="2249"/>
      <c r="E41" s="2249"/>
      <c r="F41" s="2250"/>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3" sqref="A12:H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2029</v>
      </c>
      <c r="B1" s="2272"/>
      <c r="C1" s="2273"/>
      <c r="D1" s="827"/>
      <c r="E1" s="828"/>
      <c r="F1" s="828"/>
      <c r="G1" s="829"/>
      <c r="H1" s="830"/>
      <c r="I1" s="831"/>
      <c r="J1" s="2269"/>
      <c r="K1" s="2270"/>
      <c r="L1" s="2270"/>
    </row>
    <row r="2" spans="1:14" ht="69.75" customHeight="1" x14ac:dyDescent="0.2">
      <c r="A2" s="832" t="s">
        <v>1776</v>
      </c>
      <c r="B2" s="833" t="s">
        <v>395</v>
      </c>
      <c r="C2" s="834" t="s">
        <v>2024</v>
      </c>
      <c r="D2" s="834" t="s">
        <v>2021</v>
      </c>
      <c r="E2" s="834" t="s">
        <v>2022</v>
      </c>
      <c r="F2" s="834" t="s">
        <v>2023</v>
      </c>
      <c r="G2" s="834" t="s">
        <v>625</v>
      </c>
      <c r="H2" s="834" t="s">
        <v>2025</v>
      </c>
      <c r="I2" s="834" t="s">
        <v>2026</v>
      </c>
      <c r="J2" s="834" t="s">
        <v>2041</v>
      </c>
      <c r="K2" s="834" t="s">
        <v>2027</v>
      </c>
      <c r="L2" s="834" t="s">
        <v>2028</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5170483</v>
      </c>
      <c r="D5" s="842"/>
      <c r="E5" s="842"/>
      <c r="F5" s="1782">
        <f>(C5+D5)-E5</f>
        <v>5170483</v>
      </c>
      <c r="G5" s="838"/>
      <c r="H5" s="843"/>
      <c r="I5" s="843"/>
      <c r="J5" s="843"/>
      <c r="K5" s="794"/>
      <c r="L5" s="1791">
        <f>F5-K5</f>
        <v>5170483</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196962825</v>
      </c>
      <c r="D8" s="845">
        <f>2126211+22377952</f>
        <v>24504163</v>
      </c>
      <c r="E8" s="845"/>
      <c r="F8" s="1782">
        <f>(C8+D8)-E8</f>
        <v>221466988</v>
      </c>
      <c r="G8" s="844">
        <v>50</v>
      </c>
      <c r="H8" s="766">
        <v>80225009</v>
      </c>
      <c r="I8" s="766">
        <f>148565+8709694</f>
        <v>8858259</v>
      </c>
      <c r="J8" s="766"/>
      <c r="K8" s="1791">
        <f>(H8+I8)-J8</f>
        <v>89083268</v>
      </c>
      <c r="L8" s="1791">
        <f>F8-K8</f>
        <v>132383720</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c r="D10" s="847"/>
      <c r="E10" s="847"/>
      <c r="F10" s="1786">
        <f>(C10+D10)-E10</f>
        <v>0</v>
      </c>
      <c r="G10" s="844">
        <v>20</v>
      </c>
      <c r="H10" s="848"/>
      <c r="I10" s="848"/>
      <c r="J10" s="848"/>
      <c r="K10" s="1791">
        <f>(H10+I10)-J10</f>
        <v>0</v>
      </c>
      <c r="L10" s="1791">
        <f>F10-K10</f>
        <v>0</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34238016</v>
      </c>
      <c r="D12" s="845">
        <v>7723577</v>
      </c>
      <c r="E12" s="845"/>
      <c r="F12" s="1782">
        <f>(C12+D12)-E12</f>
        <v>41961593</v>
      </c>
      <c r="G12" s="844">
        <v>10</v>
      </c>
      <c r="H12" s="766">
        <v>22213627</v>
      </c>
      <c r="I12" s="766">
        <v>2767127</v>
      </c>
      <c r="J12" s="766"/>
      <c r="K12" s="1791">
        <f>(H12+I12)-J12</f>
        <v>24980754</v>
      </c>
      <c r="L12" s="1791">
        <f>F12-K12</f>
        <v>16980839</v>
      </c>
    </row>
    <row r="13" spans="1:14" ht="14.25" thickTop="1" thickBot="1" x14ac:dyDescent="0.25">
      <c r="A13" s="849" t="s">
        <v>1183</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11281473</v>
      </c>
      <c r="D15" s="845">
        <v>16875366</v>
      </c>
      <c r="E15" s="845">
        <v>24585206</v>
      </c>
      <c r="F15" s="1782">
        <f>(C15+D15)-E15</f>
        <v>3571633</v>
      </c>
      <c r="G15" s="850" t="s">
        <v>916</v>
      </c>
      <c r="H15" s="782"/>
      <c r="I15" s="782"/>
      <c r="J15" s="782"/>
      <c r="K15" s="782"/>
      <c r="L15" s="1791">
        <f>F15-K15</f>
        <v>3571633</v>
      </c>
    </row>
    <row r="16" spans="1:14" ht="15" customHeight="1" thickTop="1" thickBot="1" x14ac:dyDescent="0.25">
      <c r="A16" s="1787" t="s">
        <v>663</v>
      </c>
      <c r="B16" s="1788">
        <v>200</v>
      </c>
      <c r="C16" s="1782">
        <f>SUM(C3,C5:C6,C8:C10,C12:C15)</f>
        <v>247652797</v>
      </c>
      <c r="D16" s="1782">
        <f>SUM(D3,D5:D6,D8:D10,D12:D15)</f>
        <v>49103106</v>
      </c>
      <c r="E16" s="1782">
        <f>SUM(E3,E5:E6,E8:E10,E12:E15)</f>
        <v>24585206</v>
      </c>
      <c r="F16" s="1782">
        <f>SUM(F3,F5:F6,F8:F10,F12:F15)</f>
        <v>272170697</v>
      </c>
      <c r="G16" s="844"/>
      <c r="H16" s="1782">
        <f>SUM(H3,H6,H8:H10,H12:H14,)</f>
        <v>102438636</v>
      </c>
      <c r="I16" s="1782">
        <f>SUM(I3,I6,I8:I10,I12:I14,)</f>
        <v>11625386</v>
      </c>
      <c r="J16" s="1782">
        <f>SUM(J3,J6,J8:J10,J12:J14,)</f>
        <v>0</v>
      </c>
      <c r="K16" s="1782">
        <f>(H16+I16)-J16</f>
        <v>114064022</v>
      </c>
      <c r="L16" s="1782">
        <f>F16-K16</f>
        <v>158106675</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11625386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13" sqref="A12:H15"/>
      <selection pane="bottomLeft" activeCell="A13" sqref="A12:H1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1698</v>
      </c>
      <c r="B1" s="2278"/>
      <c r="C1" s="2278"/>
      <c r="D1" s="2278"/>
      <c r="E1" s="2278"/>
      <c r="F1" s="2279"/>
      <c r="G1" s="856"/>
    </row>
    <row r="2" spans="1:7" ht="15" customHeight="1" thickBot="1" x14ac:dyDescent="0.25">
      <c r="A2" s="2280" t="s">
        <v>497</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3"/>
      <c r="B5" s="2284"/>
      <c r="C5" s="2284"/>
      <c r="D5" s="2284"/>
      <c r="E5" s="2284"/>
      <c r="F5" s="2284"/>
    </row>
    <row r="6" spans="1:7" ht="13.5" customHeight="1" thickBot="1" x14ac:dyDescent="0.25">
      <c r="A6" s="2274" t="s">
        <v>1165</v>
      </c>
      <c r="B6" s="2275"/>
      <c r="C6" s="2275"/>
      <c r="D6" s="2275"/>
      <c r="E6" s="2275"/>
      <c r="F6" s="2276"/>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89148747</v>
      </c>
      <c r="G8" s="866"/>
    </row>
    <row r="9" spans="1:7" x14ac:dyDescent="0.2">
      <c r="A9" s="870" t="s">
        <v>479</v>
      </c>
      <c r="B9" s="871" t="s">
        <v>1984</v>
      </c>
      <c r="C9" s="872"/>
      <c r="D9" s="870" t="s">
        <v>521</v>
      </c>
      <c r="E9" s="869"/>
      <c r="F9" s="1935">
        <f>'Expenditures 15-22'!K151</f>
        <v>7741982</v>
      </c>
      <c r="G9" s="873"/>
    </row>
    <row r="10" spans="1:7" x14ac:dyDescent="0.2">
      <c r="A10" s="870" t="s">
        <v>519</v>
      </c>
      <c r="B10" s="871" t="s">
        <v>1985</v>
      </c>
      <c r="C10" s="872"/>
      <c r="D10" s="870" t="s">
        <v>521</v>
      </c>
      <c r="E10" s="869"/>
      <c r="F10" s="1935">
        <f>'Expenditures 15-22'!K174</f>
        <v>10007451</v>
      </c>
      <c r="G10" s="873"/>
    </row>
    <row r="11" spans="1:7" x14ac:dyDescent="0.2">
      <c r="A11" s="870" t="s">
        <v>480</v>
      </c>
      <c r="B11" s="871" t="s">
        <v>1986</v>
      </c>
      <c r="C11" s="872"/>
      <c r="D11" s="870" t="s">
        <v>521</v>
      </c>
      <c r="E11" s="869"/>
      <c r="F11" s="1935">
        <f>'Expenditures 15-22'!K210</f>
        <v>1999632</v>
      </c>
      <c r="G11" s="873"/>
    </row>
    <row r="12" spans="1:7" x14ac:dyDescent="0.2">
      <c r="A12" s="870" t="s">
        <v>481</v>
      </c>
      <c r="B12" s="871" t="s">
        <v>1987</v>
      </c>
      <c r="C12" s="872"/>
      <c r="D12" s="870" t="s">
        <v>521</v>
      </c>
      <c r="E12" s="869"/>
      <c r="F12" s="1935">
        <f>'Expenditures 15-22'!K295</f>
        <v>3091067</v>
      </c>
      <c r="G12" s="873"/>
    </row>
    <row r="13" spans="1:7" x14ac:dyDescent="0.2">
      <c r="A13" s="870" t="s">
        <v>108</v>
      </c>
      <c r="B13" s="871" t="s">
        <v>1988</v>
      </c>
      <c r="C13" s="872"/>
      <c r="D13" s="870" t="s">
        <v>521</v>
      </c>
      <c r="E13" s="869"/>
      <c r="F13" s="1935">
        <f>'Expenditures 15-22'!K342</f>
        <v>0</v>
      </c>
      <c r="G13" s="874"/>
    </row>
    <row r="14" spans="1:7" ht="12" customHeight="1" thickBot="1" x14ac:dyDescent="0.25">
      <c r="A14" s="1792"/>
      <c r="B14" s="1793"/>
      <c r="C14" s="1794"/>
      <c r="D14" s="1795" t="s">
        <v>521</v>
      </c>
      <c r="E14" s="1796" t="s">
        <v>1014</v>
      </c>
      <c r="F14" s="1797">
        <f>SUM(F8:F13)</f>
        <v>111988879</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567058</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559732</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3225500</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277537</v>
      </c>
      <c r="G52" s="866"/>
    </row>
    <row r="53" spans="1:7" x14ac:dyDescent="0.2">
      <c r="A53" s="870" t="s">
        <v>478</v>
      </c>
      <c r="B53" s="870" t="s">
        <v>1550</v>
      </c>
      <c r="C53" s="890">
        <f>'Expenditures 15-22'!B102</f>
        <v>4000</v>
      </c>
      <c r="D53" s="889" t="str">
        <f>'Expenditures 15-22'!A102</f>
        <v>Total Payments to Other Govt Units</v>
      </c>
      <c r="E53" s="869"/>
      <c r="F53" s="1939">
        <f>'Expenditures 15-22'!K102</f>
        <v>1504294</v>
      </c>
      <c r="G53" s="866"/>
    </row>
    <row r="54" spans="1:7" x14ac:dyDescent="0.2">
      <c r="A54" s="870" t="s">
        <v>478</v>
      </c>
      <c r="B54" s="870" t="s">
        <v>1551</v>
      </c>
      <c r="C54" s="890" t="s">
        <v>1038</v>
      </c>
      <c r="D54" s="886" t="s">
        <v>1156</v>
      </c>
      <c r="E54" s="869"/>
      <c r="F54" s="1939">
        <f>'Expenditures 15-22'!G114</f>
        <v>2943011</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98827</v>
      </c>
      <c r="G56" s="866"/>
    </row>
    <row r="57" spans="1:7" x14ac:dyDescent="0.2">
      <c r="A57" s="870" t="s">
        <v>479</v>
      </c>
      <c r="B57" s="870" t="s">
        <v>1989</v>
      </c>
      <c r="C57" s="890">
        <f>'Expenditures 15-22'!B139</f>
        <v>4000</v>
      </c>
      <c r="D57" s="888" t="str">
        <f>'Expenditures 15-22'!A139</f>
        <v>Total Payments to Other Govt Units</v>
      </c>
      <c r="E57" s="869"/>
      <c r="F57" s="1939">
        <f>'Expenditures 15-22'!K139</f>
        <v>0</v>
      </c>
      <c r="G57" s="866"/>
    </row>
    <row r="58" spans="1:7" x14ac:dyDescent="0.2">
      <c r="A58" s="870" t="s">
        <v>479</v>
      </c>
      <c r="B58" s="870" t="s">
        <v>1990</v>
      </c>
      <c r="C58" s="887" t="s">
        <v>1038</v>
      </c>
      <c r="D58" s="886" t="s">
        <v>1156</v>
      </c>
      <c r="E58" s="869"/>
      <c r="F58" s="1941">
        <f>'Expenditures 15-22'!G151</f>
        <v>699689</v>
      </c>
      <c r="G58" s="866"/>
    </row>
    <row r="59" spans="1:7" x14ac:dyDescent="0.2">
      <c r="A59" s="894" t="s">
        <v>479</v>
      </c>
      <c r="B59" s="857" t="s">
        <v>1991</v>
      </c>
      <c r="C59" s="895" t="s">
        <v>1038</v>
      </c>
      <c r="D59" s="857" t="s">
        <v>308</v>
      </c>
      <c r="F59" s="1942">
        <f>'Expenditures 15-22'!I151</f>
        <v>0</v>
      </c>
      <c r="G59" s="866"/>
    </row>
    <row r="60" spans="1:7" x14ac:dyDescent="0.2">
      <c r="A60" s="894" t="s">
        <v>519</v>
      </c>
      <c r="B60" s="857" t="s">
        <v>1992</v>
      </c>
      <c r="C60" s="895">
        <v>4000</v>
      </c>
      <c r="D60" s="857" t="s">
        <v>329</v>
      </c>
      <c r="F60" s="1940">
        <f>'Expenditures 15-22'!K160</f>
        <v>0</v>
      </c>
      <c r="G60" s="866"/>
    </row>
    <row r="61" spans="1:7" x14ac:dyDescent="0.2">
      <c r="A61" s="896" t="s">
        <v>519</v>
      </c>
      <c r="B61" s="896" t="s">
        <v>1993</v>
      </c>
      <c r="C61" s="897" t="str">
        <f>'Expenditures 15-22'!B170</f>
        <v>5300</v>
      </c>
      <c r="D61" s="898" t="s">
        <v>328</v>
      </c>
      <c r="E61" s="880"/>
      <c r="F61" s="1939">
        <f>'Expenditures 15-22'!K170</f>
        <v>6765000</v>
      </c>
      <c r="G61" s="866"/>
    </row>
    <row r="62" spans="1:7" x14ac:dyDescent="0.2">
      <c r="A62" s="870" t="s">
        <v>480</v>
      </c>
      <c r="B62" s="870" t="s">
        <v>1994</v>
      </c>
      <c r="C62" s="887">
        <f>'Expenditures 15-22'!B185</f>
        <v>3000</v>
      </c>
      <c r="D62" s="877" t="s">
        <v>468</v>
      </c>
      <c r="E62" s="869"/>
      <c r="F62" s="1939">
        <f>'Expenditures 15-22'!K185-SUM('Expenditures 15-22'!G185,'Expenditures 15-22'!I185)</f>
        <v>0</v>
      </c>
      <c r="G62" s="866"/>
    </row>
    <row r="63" spans="1:7" x14ac:dyDescent="0.2">
      <c r="A63" s="870" t="s">
        <v>480</v>
      </c>
      <c r="B63" s="870" t="s">
        <v>1995</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1996</v>
      </c>
      <c r="C64" s="897" t="str">
        <f>'Expenditures 15-22'!B206</f>
        <v>5300</v>
      </c>
      <c r="D64" s="893" t="s">
        <v>328</v>
      </c>
      <c r="E64" s="869"/>
      <c r="F64" s="1939">
        <f>'Expenditures 15-22'!K206</f>
        <v>0</v>
      </c>
      <c r="G64" s="866"/>
    </row>
    <row r="65" spans="1:8" x14ac:dyDescent="0.2">
      <c r="A65" s="870" t="s">
        <v>480</v>
      </c>
      <c r="B65" s="870" t="s">
        <v>1997</v>
      </c>
      <c r="C65" s="887" t="s">
        <v>1038</v>
      </c>
      <c r="D65" s="886" t="s">
        <v>1156</v>
      </c>
      <c r="E65" s="869"/>
      <c r="F65" s="1939">
        <f>'Expenditures 15-22'!G210</f>
        <v>46182</v>
      </c>
      <c r="G65" s="866"/>
    </row>
    <row r="66" spans="1:8" x14ac:dyDescent="0.2">
      <c r="A66" s="870" t="s">
        <v>480</v>
      </c>
      <c r="B66" s="870" t="s">
        <v>1998</v>
      </c>
      <c r="C66" s="887" t="s">
        <v>1038</v>
      </c>
      <c r="D66" s="886" t="s">
        <v>308</v>
      </c>
      <c r="E66" s="869"/>
      <c r="F66" s="1939">
        <f>'Expenditures 15-22'!I210</f>
        <v>0</v>
      </c>
      <c r="G66" s="866"/>
    </row>
    <row r="67" spans="1:8" x14ac:dyDescent="0.2">
      <c r="A67" s="870" t="s">
        <v>481</v>
      </c>
      <c r="B67" s="870" t="s">
        <v>1999</v>
      </c>
      <c r="C67" s="887" t="str">
        <f>'Expenditures 15-22'!B216</f>
        <v>1125</v>
      </c>
      <c r="D67" s="893" t="str">
        <f>'Expenditures 15-22'!A216</f>
        <v>Pre-K Programs</v>
      </c>
      <c r="E67" s="869"/>
      <c r="F67" s="1939">
        <f>'Expenditures 15-22'!K216</f>
        <v>0</v>
      </c>
      <c r="G67" s="866"/>
    </row>
    <row r="68" spans="1:8" x14ac:dyDescent="0.2">
      <c r="A68" s="870" t="s">
        <v>481</v>
      </c>
      <c r="B68" s="870" t="s">
        <v>1554</v>
      </c>
      <c r="C68" s="887" t="str">
        <f>'Expenditures 15-22'!B218</f>
        <v>1225</v>
      </c>
      <c r="D68" s="893" t="str">
        <f>'Expenditures 15-22'!A218</f>
        <v>Special Education Programs - Pre-K</v>
      </c>
      <c r="E68" s="869"/>
      <c r="F68" s="1939">
        <f>'Expenditures 15-22'!K218</f>
        <v>0</v>
      </c>
      <c r="G68" s="866"/>
    </row>
    <row r="69" spans="1:8" x14ac:dyDescent="0.2">
      <c r="A69" s="870" t="s">
        <v>481</v>
      </c>
      <c r="B69" s="870" t="s">
        <v>2000</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2001</v>
      </c>
      <c r="C70" s="887">
        <f>'Expenditures 15-22'!B221</f>
        <v>1300</v>
      </c>
      <c r="D70" s="888" t="str">
        <f>'Expenditures 15-22'!A221</f>
        <v>Adult/Continuing Education Programs</v>
      </c>
      <c r="E70" s="869"/>
      <c r="F70" s="1939">
        <f>'Expenditures 15-22'!K221</f>
        <v>54752</v>
      </c>
      <c r="G70" s="866"/>
    </row>
    <row r="71" spans="1:8" x14ac:dyDescent="0.2">
      <c r="A71" s="870" t="s">
        <v>481</v>
      </c>
      <c r="B71" s="870" t="s">
        <v>2002</v>
      </c>
      <c r="C71" s="887">
        <f>'Expenditures 15-22'!B224</f>
        <v>1600</v>
      </c>
      <c r="D71" s="888" t="str">
        <f>'Expenditures 15-22'!A224</f>
        <v>Summer School Programs</v>
      </c>
      <c r="E71" s="869"/>
      <c r="F71" s="1939">
        <f>'Expenditures 15-22'!K224</f>
        <v>16103</v>
      </c>
      <c r="G71" s="866"/>
    </row>
    <row r="72" spans="1:8" x14ac:dyDescent="0.2">
      <c r="A72" s="870" t="s">
        <v>481</v>
      </c>
      <c r="B72" s="870" t="s">
        <v>2003</v>
      </c>
      <c r="C72" s="887">
        <f>'Expenditures 15-22'!B280</f>
        <v>3000</v>
      </c>
      <c r="D72" s="877" t="s">
        <v>468</v>
      </c>
      <c r="E72" s="869"/>
      <c r="F72" s="1939">
        <f>'Expenditures 15-22'!K280</f>
        <v>15963</v>
      </c>
      <c r="G72" s="866"/>
    </row>
    <row r="73" spans="1:8" x14ac:dyDescent="0.2">
      <c r="A73" s="870" t="s">
        <v>481</v>
      </c>
      <c r="B73" s="870" t="s">
        <v>2004</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2005</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2006</v>
      </c>
      <c r="E76" s="1796" t="s">
        <v>1014</v>
      </c>
      <c r="F76" s="1800">
        <f>SUM(F18:F74)</f>
        <v>16773648</v>
      </c>
      <c r="G76" s="866"/>
    </row>
    <row r="77" spans="1:8" s="894" customFormat="1" ht="12" customHeight="1" thickTop="1" thickBot="1" x14ac:dyDescent="0.25">
      <c r="A77" s="1801"/>
      <c r="B77" s="1798"/>
      <c r="C77" s="1794"/>
      <c r="D77" s="1799" t="s">
        <v>2007</v>
      </c>
      <c r="E77" s="1796"/>
      <c r="F77" s="1802">
        <f>(F14-F76)</f>
        <v>95215231</v>
      </c>
      <c r="G77" s="870"/>
    </row>
    <row r="78" spans="1:8" s="894" customFormat="1" ht="12" customHeight="1" thickTop="1" x14ac:dyDescent="0.2">
      <c r="A78" s="1803"/>
      <c r="B78" s="1798"/>
      <c r="C78" s="1794"/>
      <c r="D78" s="1799" t="s">
        <v>2053</v>
      </c>
      <c r="E78" s="1796"/>
      <c r="F78" s="899">
        <v>3762</v>
      </c>
      <c r="G78" s="900"/>
      <c r="H78" s="870"/>
    </row>
    <row r="79" spans="1:8" s="894" customFormat="1" ht="12" customHeight="1" thickBot="1" x14ac:dyDescent="0.25">
      <c r="A79" s="1804"/>
      <c r="B79" s="1798"/>
      <c r="C79" s="1794"/>
      <c r="D79" s="1799" t="s">
        <v>2008</v>
      </c>
      <c r="E79" s="1796" t="s">
        <v>1014</v>
      </c>
      <c r="F79" s="1805">
        <f>IF(F78&gt;0,F77/F78," Complete Line 78")</f>
        <v>25309.737107921319</v>
      </c>
      <c r="G79" s="870"/>
    </row>
    <row r="80" spans="1:8" s="894" customFormat="1" ht="8.25" customHeight="1" thickTop="1" x14ac:dyDescent="0.2">
      <c r="A80" s="901"/>
      <c r="B80" s="870"/>
      <c r="C80" s="872"/>
      <c r="D80" s="902"/>
      <c r="E80" s="869"/>
      <c r="F80" s="903"/>
      <c r="G80" s="870"/>
    </row>
    <row r="81" spans="1:7" s="894" customFormat="1" ht="12" thickBot="1" x14ac:dyDescent="0.25">
      <c r="A81" s="2274" t="s">
        <v>1166</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307391</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533000</v>
      </c>
      <c r="G94" s="913"/>
    </row>
    <row r="95" spans="1:7" x14ac:dyDescent="0.2">
      <c r="A95" s="909" t="s">
        <v>142</v>
      </c>
      <c r="B95" s="909" t="s">
        <v>177</v>
      </c>
      <c r="C95" s="911">
        <v>1700</v>
      </c>
      <c r="D95" s="919" t="str">
        <f>'Revenues 9-14'!A82</f>
        <v>Total District/School Activity Income</v>
      </c>
      <c r="E95" s="907"/>
      <c r="F95" s="1811">
        <f>SUM('Revenues 9-14'!C82,'Revenues 9-14'!D82)</f>
        <v>917168</v>
      </c>
      <c r="G95" s="913"/>
    </row>
    <row r="96" spans="1:7" x14ac:dyDescent="0.2">
      <c r="A96" s="909" t="s">
        <v>478</v>
      </c>
      <c r="B96" s="909" t="s">
        <v>178</v>
      </c>
      <c r="C96" s="911">
        <f>'Revenues 9-14'!B84</f>
        <v>1811</v>
      </c>
      <c r="D96" s="912" t="str">
        <f>'Revenues 9-14'!A84</f>
        <v>Rentals - Regular Textbooks</v>
      </c>
      <c r="E96" s="907"/>
      <c r="F96" s="1811">
        <f>'Revenues 9-14'!C84</f>
        <v>85659</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382044</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525885</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79976</v>
      </c>
      <c r="G106" s="913"/>
    </row>
    <row r="107" spans="1:7" x14ac:dyDescent="0.2">
      <c r="A107" s="922" t="s">
        <v>684</v>
      </c>
      <c r="B107" s="909" t="s">
        <v>842</v>
      </c>
      <c r="C107" s="921">
        <v>3300</v>
      </c>
      <c r="D107" s="912" t="str">
        <f>'Revenues 9-14'!A144</f>
        <v>Total Bilingual Ed</v>
      </c>
      <c r="E107" s="907"/>
      <c r="F107" s="1811">
        <f>SUM('Revenues 9-14'!C144,'Revenues 9-14'!G144)</f>
        <v>8065</v>
      </c>
      <c r="G107" s="913"/>
    </row>
    <row r="108" spans="1:7" x14ac:dyDescent="0.2">
      <c r="A108" s="909" t="s">
        <v>478</v>
      </c>
      <c r="B108" s="909" t="s">
        <v>843</v>
      </c>
      <c r="C108" s="921">
        <f>'Revenues 9-14'!B145</f>
        <v>3360</v>
      </c>
      <c r="D108" s="912" t="str">
        <f>'Revenues 9-14'!A145</f>
        <v>State Free Lunch &amp; Breakfast</v>
      </c>
      <c r="E108" s="907"/>
      <c r="F108" s="1811">
        <f>'Revenues 9-14'!C145</f>
        <v>0</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26219</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447877</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5564</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0</v>
      </c>
      <c r="G129" s="931"/>
    </row>
    <row r="130" spans="1:7" x14ac:dyDescent="0.2">
      <c r="A130" s="928" t="s">
        <v>688</v>
      </c>
      <c r="B130" s="928" t="s">
        <v>803</v>
      </c>
      <c r="C130" s="933">
        <v>4300</v>
      </c>
      <c r="D130" s="934" t="str">
        <f>'Revenues 9-14'!A211</f>
        <v>Total Title I</v>
      </c>
      <c r="E130" s="907"/>
      <c r="F130" s="1811">
        <f>SUM('Revenues 9-14'!C211,'Revenues 9-14'!D211,'Revenues 9-14'!F211,'Revenues 9-14'!G211)</f>
        <v>0</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908250</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1506361</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58272</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701</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29817</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1931</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25988</v>
      </c>
      <c r="G174" s="928"/>
    </row>
    <row r="175" spans="1:7" x14ac:dyDescent="0.2">
      <c r="A175" s="1944" t="s">
        <v>5</v>
      </c>
      <c r="B175" s="1945" t="s">
        <v>2052</v>
      </c>
      <c r="C175" s="1946">
        <v>3100</v>
      </c>
      <c r="D175" s="1947" t="s">
        <v>2055</v>
      </c>
      <c r="E175" s="907"/>
      <c r="F175" s="1931"/>
      <c r="G175" s="928"/>
    </row>
    <row r="176" spans="1:7" x14ac:dyDescent="0.2">
      <c r="A176" s="1944" t="s">
        <v>684</v>
      </c>
      <c r="B176" s="1945" t="s">
        <v>2052</v>
      </c>
      <c r="C176" s="1946">
        <v>3300</v>
      </c>
      <c r="D176" s="1947" t="s">
        <v>2056</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2009</v>
      </c>
      <c r="E178" s="1809" t="s">
        <v>1014</v>
      </c>
      <c r="F178" s="1810">
        <f>SUM(F84:F136,F161:F176)</f>
        <v>5850168</v>
      </c>
    </row>
    <row r="179" spans="1:7" ht="12" customHeight="1" x14ac:dyDescent="0.2">
      <c r="A179" s="1792"/>
      <c r="B179" s="1806"/>
      <c r="C179" s="1807"/>
      <c r="D179" s="1808" t="s">
        <v>2010</v>
      </c>
      <c r="E179" s="1809"/>
      <c r="F179" s="1811">
        <f>'PCTC-OEPP 27-28'!F77-F178</f>
        <v>89365063</v>
      </c>
    </row>
    <row r="180" spans="1:7" ht="12" customHeight="1" x14ac:dyDescent="0.2">
      <c r="A180" s="1792"/>
      <c r="B180" s="1806"/>
      <c r="C180" s="1807"/>
      <c r="D180" s="1808" t="s">
        <v>1920</v>
      </c>
      <c r="E180" s="1809"/>
      <c r="F180" s="1811">
        <f>'Cap Outlay Deprec 26'!I18</f>
        <v>11625386</v>
      </c>
    </row>
    <row r="181" spans="1:7" ht="12" customHeight="1" x14ac:dyDescent="0.2">
      <c r="A181" s="1792"/>
      <c r="B181" s="1806"/>
      <c r="C181" s="1807"/>
      <c r="D181" s="1808" t="s">
        <v>2011</v>
      </c>
      <c r="E181" s="1809"/>
      <c r="F181" s="1811">
        <f>F179+F180</f>
        <v>100990449</v>
      </c>
    </row>
    <row r="182" spans="1:7" ht="12" customHeight="1" x14ac:dyDescent="0.2">
      <c r="A182" s="1792"/>
      <c r="B182" s="1812"/>
      <c r="C182" s="1807"/>
      <c r="D182" s="1808" t="str">
        <f>D78</f>
        <v>9 Month ADA from District Average Daily Attendance/Prior General State Aid Inquiry 2017-2018</v>
      </c>
      <c r="E182" s="1809"/>
      <c r="F182" s="1813">
        <f>'PCTC-OEPP 27-28'!F78</f>
        <v>3762</v>
      </c>
      <c r="G182" s="931"/>
    </row>
    <row r="183" spans="1:7" ht="12" customHeight="1" thickBot="1" x14ac:dyDescent="0.25">
      <c r="A183" s="1792"/>
      <c r="B183" s="1812"/>
      <c r="C183" s="1807"/>
      <c r="D183" s="1808" t="s">
        <v>2012</v>
      </c>
      <c r="E183" s="1809" t="s">
        <v>1625</v>
      </c>
      <c r="F183" s="1814">
        <f>F181/F182</f>
        <v>26844.882775119619</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8" customFormat="1" ht="12.2" customHeight="1" x14ac:dyDescent="0.2">
      <c r="A186" s="1948" t="s">
        <v>2059</v>
      </c>
      <c r="B186" s="1949"/>
      <c r="C186" s="1950"/>
      <c r="D186" s="1949"/>
      <c r="E186" s="1950"/>
      <c r="F186" s="1949"/>
      <c r="G186" s="1949"/>
    </row>
    <row r="187" spans="1:7" s="1948" customFormat="1" ht="12.2" customHeight="1" x14ac:dyDescent="0.2">
      <c r="A187" s="1951" t="s">
        <v>2060</v>
      </c>
      <c r="C187" s="1950"/>
      <c r="D187" s="1949"/>
      <c r="E187" s="1950"/>
      <c r="F187" s="1949"/>
      <c r="G187" s="1949"/>
    </row>
    <row r="188" spans="1:7" ht="12" customHeight="1" x14ac:dyDescent="0.2">
      <c r="C188" s="950"/>
      <c r="D188" s="931"/>
      <c r="E188" s="950"/>
      <c r="F188" s="931"/>
      <c r="G188" s="931"/>
    </row>
    <row r="189" spans="1:7" x14ac:dyDescent="0.2">
      <c r="A189" s="1952" t="s">
        <v>2058</v>
      </c>
      <c r="B189" s="1953"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90" zoomScaleNormal="90" workbookViewId="0">
      <pane ySplit="16" topLeftCell="A17" activePane="bottomLeft" state="frozen"/>
      <selection activeCell="A13" sqref="A12:H15"/>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8" t="s">
        <v>1921</v>
      </c>
      <c r="B4" s="2289"/>
      <c r="C4" s="2289"/>
      <c r="D4" s="2289"/>
      <c r="E4" s="2289"/>
      <c r="F4" s="2289"/>
      <c r="G4" s="2290"/>
    </row>
    <row r="5" spans="1:7" x14ac:dyDescent="0.25">
      <c r="A5" s="2291"/>
      <c r="B5" s="2292"/>
      <c r="C5" s="2292"/>
      <c r="D5" s="2292"/>
      <c r="E5" s="2292"/>
      <c r="F5" s="2292"/>
      <c r="G5" s="2293"/>
    </row>
    <row r="6" spans="1:7" ht="18.75" x14ac:dyDescent="0.25">
      <c r="A6" s="1556" t="s">
        <v>1922</v>
      </c>
      <c r="B6" s="1557"/>
      <c r="C6" s="1557"/>
      <c r="D6" s="1557"/>
      <c r="E6" s="1557"/>
      <c r="F6" s="1557"/>
      <c r="G6" s="1558"/>
    </row>
    <row r="7" spans="1:7" ht="30.75" customHeight="1" x14ac:dyDescent="0.25">
      <c r="A7" s="2294" t="s">
        <v>2069</v>
      </c>
      <c r="B7" s="2295"/>
      <c r="C7" s="2295"/>
      <c r="D7" s="2295"/>
      <c r="E7" s="2295"/>
      <c r="F7" s="2295"/>
      <c r="G7" s="2296"/>
    </row>
    <row r="8" spans="1:7" ht="15.75" customHeight="1" x14ac:dyDescent="0.25">
      <c r="A8" s="2297" t="s">
        <v>2018</v>
      </c>
      <c r="B8" s="2298"/>
      <c r="C8" s="2298"/>
      <c r="D8" s="2298"/>
      <c r="E8" s="2298"/>
      <c r="F8" s="2298"/>
      <c r="G8" s="2299"/>
    </row>
    <row r="9" spans="1:7" ht="35.25" customHeight="1" x14ac:dyDescent="0.25">
      <c r="A9" s="2294" t="s">
        <v>2072</v>
      </c>
      <c r="B9" s="2295"/>
      <c r="C9" s="2295"/>
      <c r="D9" s="2295"/>
      <c r="E9" s="2295"/>
      <c r="F9" s="2295"/>
      <c r="G9" s="2296"/>
    </row>
    <row r="10" spans="1:7" ht="15" customHeight="1" x14ac:dyDescent="0.25">
      <c r="A10" s="1559" t="s">
        <v>1923</v>
      </c>
      <c r="B10" s="1560"/>
      <c r="C10" s="1560"/>
      <c r="D10" s="1560"/>
      <c r="E10" s="1560"/>
      <c r="F10" s="1560"/>
      <c r="G10" s="1561"/>
    </row>
    <row r="11" spans="1:7" ht="17.25" customHeight="1" x14ac:dyDescent="0.25">
      <c r="A11" s="2294" t="s">
        <v>2071</v>
      </c>
      <c r="B11" s="2295"/>
      <c r="C11" s="2295"/>
      <c r="D11" s="2295"/>
      <c r="E11" s="2295"/>
      <c r="F11" s="2295"/>
      <c r="G11" s="2296"/>
    </row>
    <row r="12" spans="1:7" ht="15" customHeight="1" x14ac:dyDescent="0.25">
      <c r="A12" s="1559" t="s">
        <v>1928</v>
      </c>
      <c r="B12" s="1560"/>
      <c r="C12" s="1560"/>
      <c r="D12" s="1560"/>
      <c r="E12" s="1560"/>
      <c r="F12" s="1560"/>
      <c r="G12" s="1561"/>
    </row>
    <row r="13" spans="1:7" ht="32.25" customHeight="1" x14ac:dyDescent="0.25">
      <c r="A13" s="2285" t="s">
        <v>1929</v>
      </c>
      <c r="B13" s="2286"/>
      <c r="C13" s="2286"/>
      <c r="D13" s="2286"/>
      <c r="E13" s="2286"/>
      <c r="F13" s="2286"/>
      <c r="G13" s="2287"/>
    </row>
    <row r="14" spans="1:7" x14ac:dyDescent="0.25">
      <c r="A14" s="1683" t="s">
        <v>1937</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1938</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958" t="s">
        <v>2157</v>
      </c>
      <c r="C17" s="1957" t="s">
        <v>2152</v>
      </c>
      <c r="D17" s="1867">
        <v>124405</v>
      </c>
      <c r="E17" s="1562">
        <f t="shared" ref="E17:E141" si="1">IF(D17&lt;=25000,D17,IF(D17&gt;25000,25000,0))</f>
        <v>25000</v>
      </c>
      <c r="F17" s="1815">
        <f t="shared" si="0"/>
        <v>25000</v>
      </c>
      <c r="G17" s="1816">
        <f>IF(F17=0,0,D17-F17)</f>
        <v>99405</v>
      </c>
      <c r="H17" s="1669"/>
    </row>
    <row r="18" spans="1:8" x14ac:dyDescent="0.25">
      <c r="A18" s="1675"/>
      <c r="B18" s="1958" t="s">
        <v>2156</v>
      </c>
      <c r="C18" s="1957" t="s">
        <v>2153</v>
      </c>
      <c r="D18" s="1867">
        <v>31944</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6944</v>
      </c>
    </row>
    <row r="19" spans="1:8" x14ac:dyDescent="0.25">
      <c r="A19" s="1675"/>
      <c r="B19" s="1958" t="s">
        <v>2158</v>
      </c>
      <c r="C19" s="1957" t="s">
        <v>2154</v>
      </c>
      <c r="D19" s="1867">
        <v>97644</v>
      </c>
      <c r="E19" s="1562">
        <f t="shared" si="2"/>
        <v>25000</v>
      </c>
      <c r="F19" s="1815">
        <f t="shared" si="3"/>
        <v>25000</v>
      </c>
      <c r="G19" s="1816">
        <f t="shared" si="4"/>
        <v>72644</v>
      </c>
    </row>
    <row r="20" spans="1:8" x14ac:dyDescent="0.25">
      <c r="A20" s="1675"/>
      <c r="B20" s="1958" t="s">
        <v>2159</v>
      </c>
      <c r="C20" s="1957" t="s">
        <v>2155</v>
      </c>
      <c r="D20" s="1867">
        <v>55400</v>
      </c>
      <c r="E20" s="1562">
        <f t="shared" si="2"/>
        <v>25000</v>
      </c>
      <c r="F20" s="1815">
        <f t="shared" si="3"/>
        <v>25000</v>
      </c>
      <c r="G20" s="1816">
        <f t="shared" si="4"/>
        <v>30400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309393</v>
      </c>
      <c r="E141" s="1563">
        <f t="shared" si="1"/>
        <v>25000</v>
      </c>
      <c r="F141" s="1817">
        <f>SUM(F17:F140)</f>
        <v>100000</v>
      </c>
      <c r="G141" s="1818">
        <f>SUM(G17:G140)</f>
        <v>209393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A13" sqref="A12:H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0" t="s">
        <v>1777</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05" t="s">
        <v>1940</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59076492</v>
      </c>
      <c r="F19" s="1822"/>
      <c r="G19" s="1824">
        <f>'Expenditures 15-22'!K33-SUM('Expenditures 15-22'!G33,'Expenditures 15-22'!I33)+'Expenditures 15-22'!D229</f>
        <v>59076492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11897458</v>
      </c>
      <c r="F21" s="1825"/>
      <c r="G21" s="1828">
        <f>'Expenditures 15-22'!K42-SUM('Expenditures 15-22'!G42,'Expenditures 15-22'!I42)+'Expenditures 15-22'!K120-SUM('Expenditures 15-22'!G120,'Expenditures 15-22'!I120)+'Expenditures 15-22'!K180-SUM('Expenditures 15-22'!G180,'Expenditures 15-22'!I180)+'Expenditures 15-22'!D238</f>
        <v>11897458</v>
      </c>
      <c r="H21" s="988"/>
      <c r="I21" s="162"/>
    </row>
    <row r="22" spans="1:9" s="669" customFormat="1" ht="12" customHeight="1" x14ac:dyDescent="0.2">
      <c r="A22" s="995" t="s">
        <v>584</v>
      </c>
      <c r="B22" s="996"/>
      <c r="C22" s="994">
        <v>2200</v>
      </c>
      <c r="D22" s="1825"/>
      <c r="E22" s="1827">
        <f>'Expenditures 15-22'!K47-SUM('Expenditures 15-22'!G47,'Expenditures 15-22'!I47)+'Expenditures 15-22'!D243</f>
        <v>3930150</v>
      </c>
      <c r="F22" s="1825"/>
      <c r="G22" s="1828">
        <f>'Expenditures 15-22'!K47-SUM('Expenditures 15-22'!G47,'Expenditures 15-22'!I47)+'Expenditures 15-22'!D243</f>
        <v>3930150</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2142227</v>
      </c>
      <c r="F23" s="1825"/>
      <c r="G23" s="1827">
        <f>'Expenditures 15-22'!K53-SUM('Expenditures 15-22'!G53,'Expenditures 15-22'!I53)+'Expenditures 15-22'!D257+'Expenditures 15-22'!K330-SUM('Expenditures 15-22'!G330,'Expenditures 15-22'!I330)</f>
        <v>2142227</v>
      </c>
      <c r="H23" s="988"/>
      <c r="I23" s="162"/>
    </row>
    <row r="24" spans="1:9" s="669" customFormat="1" ht="12" customHeight="1" x14ac:dyDescent="0.2">
      <c r="A24" s="995" t="s">
        <v>586</v>
      </c>
      <c r="B24" s="996"/>
      <c r="C24" s="994">
        <v>2400</v>
      </c>
      <c r="D24" s="1825"/>
      <c r="E24" s="1827">
        <f>'Expenditures 15-22'!K57-SUM('Expenditures 15-22'!G57,'Expenditures 15-22'!I57)+'Expenditures 15-22'!D261</f>
        <v>1706633</v>
      </c>
      <c r="F24" s="1825"/>
      <c r="G24" s="1828">
        <f>'Expenditures 15-22'!K57-SUM('Expenditures 15-22'!G57,'Expenditures 15-22'!I57)+'Expenditures 15-22'!D261</f>
        <v>1706633</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374470</v>
      </c>
      <c r="E26" s="1827">
        <f>'Expenditures 15-22'!K122-SUM('Expenditures 15-22'!G122,'Expenditures 15-22'!I122)+E7</f>
        <v>0</v>
      </c>
      <c r="F26" s="1827">
        <f>'Expenditures 15-22'!K59-SUM('Expenditures 15-22'!G59,'Expenditures 15-22'!I59)+'Expenditures 15-22'!D263-E7</f>
        <v>374470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947774</v>
      </c>
      <c r="E27" s="1827">
        <f>E8</f>
        <v>0</v>
      </c>
      <c r="F27" s="1827">
        <f>'Expenditures 15-22'!K60-SUM('Expenditures 15-22'!G60,'Expenditures 15-22'!I60)+'Expenditures 15-22'!D264-E8</f>
        <v>947774</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11515243</v>
      </c>
      <c r="F28" s="1829">
        <f>'Expenditures 15-22'!K61-SUM('Expenditures 15-22'!G61,'Expenditures 15-22'!I61)+'Expenditures 15-22'!K124-SUM('Expenditures 15-22'!G124,'Expenditures 15-22'!I124)+'Expenditures 15-22'!D266-E9</f>
        <v>11515243</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1964542</v>
      </c>
      <c r="F29" s="1825"/>
      <c r="G29" s="1828">
        <f>'Expenditures 15-22'!K62-SUM('Expenditures 15-22'!G62,'Expenditures 15-22'!I62)+'Expenditures 15-22'!K125-SUM('Expenditures 15-22'!G125,'Expenditures 15-22'!I125)+'Expenditures 15-22'!K182-SUM('Expenditures 15-22'!G182,'Expenditures 15-22'!I182)+'Expenditures 15-22'!D267</f>
        <v>1964542</v>
      </c>
      <c r="H29" s="986"/>
    </row>
    <row r="30" spans="1:9" ht="12" customHeight="1" x14ac:dyDescent="0.2">
      <c r="A30" s="995" t="s">
        <v>102</v>
      </c>
      <c r="B30" s="998"/>
      <c r="C30" s="994">
        <v>2560</v>
      </c>
      <c r="D30" s="1825"/>
      <c r="E30" s="1827">
        <f>'Expenditures 15-22'!K63-SUM('Expenditures 15-22'!G63,'Expenditures 15-22'!I63)+'Expenditures 15-22'!D268-E10</f>
        <v>233039</v>
      </c>
      <c r="F30" s="1825"/>
      <c r="G30" s="1827">
        <f>'Expenditures 15-22'!K63-SUM('Expenditures 15-22'!G63,'Expenditures 15-22'!I63)+'Expenditures 15-22'!D268-E10</f>
        <v>233039</v>
      </c>
    </row>
    <row r="31" spans="1:9" ht="12" customHeight="1" x14ac:dyDescent="0.2">
      <c r="A31" s="995" t="s">
        <v>103</v>
      </c>
      <c r="B31" s="998"/>
      <c r="C31" s="994">
        <v>2570</v>
      </c>
      <c r="D31" s="1827">
        <f>'Expenditures 15-22'!K64-SUM('Expenditures 15-22'!G64,'Expenditures 15-22'!I64)+'Expenditures 15-22'!D269-E12</f>
        <v>130955</v>
      </c>
      <c r="E31" s="1827">
        <f>E12</f>
        <v>0</v>
      </c>
      <c r="F31" s="1827">
        <f>'Expenditures 15-22'!K64-SUM('Expenditures 15-22'!G64,'Expenditures 15-22'!I64)+'Expenditures 15-22'!D269-E12</f>
        <v>130955</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515776</v>
      </c>
      <c r="F34" s="1825"/>
      <c r="G34" s="1827">
        <f>'Expenditures 15-22'!K68-SUM('Expenditures 15-22'!G68,'Expenditures 15-22'!I68)+'Expenditures 15-22'!D273</f>
        <v>515776</v>
      </c>
    </row>
    <row r="35" spans="1:7" ht="12" customHeight="1" x14ac:dyDescent="0.2">
      <c r="A35" s="995" t="s">
        <v>1120</v>
      </c>
      <c r="B35" s="998"/>
      <c r="C35" s="994">
        <v>2630</v>
      </c>
      <c r="D35" s="1825"/>
      <c r="E35" s="1827">
        <f>'Expenditures 15-22'!K69-SUM('Expenditures 15-22'!G69,'Expenditures 15-22'!I69)+'Expenditures 15-22'!D274</f>
        <v>459665</v>
      </c>
      <c r="F35" s="1825"/>
      <c r="G35" s="1827">
        <f>'Expenditures 15-22'!K69-SUM('Expenditures 15-22'!G69,'Expenditures 15-22'!I69)+'Expenditures 15-22'!D274</f>
        <v>459665</v>
      </c>
    </row>
    <row r="36" spans="1:7" ht="12" customHeight="1" x14ac:dyDescent="0.2">
      <c r="A36" s="995" t="s">
        <v>422</v>
      </c>
      <c r="B36" s="998"/>
      <c r="C36" s="994">
        <v>2640</v>
      </c>
      <c r="D36" s="1827">
        <f>'Expenditures 15-22'!K70-SUM('Expenditures 15-22'!G70,'Expenditures 15-22'!I70)+'Expenditures 15-22'!D275-E13</f>
        <v>701130</v>
      </c>
      <c r="E36" s="1827">
        <f>E13</f>
        <v>0</v>
      </c>
      <c r="F36" s="1827">
        <f>'Expenditures 15-22'!K70-SUM('Expenditures 15-22'!G70,'Expenditures 15-22'!I70)+'Expenditures 15-22'!D275-E13</f>
        <v>701130</v>
      </c>
      <c r="G36" s="1827">
        <f>E13</f>
        <v>0</v>
      </c>
    </row>
    <row r="37" spans="1:7" ht="12" customHeight="1" x14ac:dyDescent="0.2">
      <c r="A37" s="995" t="s">
        <v>423</v>
      </c>
      <c r="B37" s="998"/>
      <c r="C37" s="994">
        <v>2660</v>
      </c>
      <c r="D37" s="1827">
        <f>'Expenditures 15-22'!K71-SUM('Expenditures 15-22'!G71,'Expenditures 15-22'!I71)+'Expenditures 15-22'!D276-E14</f>
        <v>687573</v>
      </c>
      <c r="E37" s="1827">
        <f>E14</f>
        <v>0</v>
      </c>
      <c r="F37" s="1827">
        <f>'Expenditures 15-22'!K71-SUM('Expenditures 15-22'!G71,'Expenditures 15-22'!I71)+'Expenditures 15-22'!D276-E14</f>
        <v>687573</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392327</v>
      </c>
      <c r="F39" s="1825"/>
      <c r="G39" s="1827">
        <f>'Expenditures 15-22'!K75-SUM('Expenditures 15-22'!G75,'Expenditures 15-22'!I75)+'Expenditures 15-22'!K130-SUM('Expenditures 15-22'!G130,'Expenditures 15-22'!I130)+'Expenditures 15-22'!K185-SUM('Expenditures 15-22'!G185,'Expenditures 15-22'!I185)+'Expenditures 15-22'!D280</f>
        <v>392327</v>
      </c>
    </row>
    <row r="40" spans="1:7" ht="12" customHeight="1" x14ac:dyDescent="0.2">
      <c r="A40" s="991" t="s">
        <v>1926</v>
      </c>
      <c r="B40" s="992"/>
      <c r="C40" s="994"/>
      <c r="D40" s="1825"/>
      <c r="E40" s="1829">
        <f>-'Contracts Paid in CY 29'!G141</f>
        <v>-209393</v>
      </c>
      <c r="F40" s="1825"/>
      <c r="G40" s="1829">
        <f>-'Contracts Paid in CY 29'!G141</f>
        <v>-209393</v>
      </c>
    </row>
    <row r="41" spans="1:7" ht="12" customHeight="1" x14ac:dyDescent="0.2">
      <c r="A41" s="999" t="s">
        <v>158</v>
      </c>
      <c r="B41" s="1000"/>
      <c r="C41" s="1001"/>
      <c r="D41" s="1829">
        <f>SUM(D19:D39)</f>
        <v>2841902</v>
      </c>
      <c r="E41" s="1829">
        <f>SUM(E19:E40)</f>
        <v>93624159</v>
      </c>
      <c r="F41" s="1829">
        <f>SUM(F19:F39)</f>
        <v>14357145</v>
      </c>
      <c r="G41" s="1829">
        <f>SUM(G19:G40)</f>
        <v>82108916</v>
      </c>
    </row>
    <row r="42" spans="1:7" x14ac:dyDescent="0.2">
      <c r="A42" s="988"/>
      <c r="B42" s="162"/>
      <c r="C42" s="1002"/>
      <c r="D42" s="2303" t="s">
        <v>542</v>
      </c>
      <c r="E42" s="2304"/>
      <c r="F42" s="1003" t="s">
        <v>543</v>
      </c>
      <c r="G42" s="1004"/>
    </row>
    <row r="43" spans="1:7" ht="12" customHeight="1" x14ac:dyDescent="0.2">
      <c r="A43" s="988"/>
      <c r="B43" s="162"/>
      <c r="C43" s="1002"/>
      <c r="D43" s="1830" t="s">
        <v>492</v>
      </c>
      <c r="E43" s="1831">
        <f>D41</f>
        <v>2841902</v>
      </c>
      <c r="F43" s="1830" t="s">
        <v>494</v>
      </c>
      <c r="G43" s="1831">
        <f>F41</f>
        <v>14357145</v>
      </c>
    </row>
    <row r="44" spans="1:7" ht="12" customHeight="1" x14ac:dyDescent="0.2">
      <c r="A44" s="988"/>
      <c r="B44" s="162"/>
      <c r="C44" s="1002"/>
      <c r="D44" s="1830" t="s">
        <v>493</v>
      </c>
      <c r="E44" s="1831">
        <f>E41</f>
        <v>93624159</v>
      </c>
      <c r="F44" s="1830" t="s">
        <v>493</v>
      </c>
      <c r="G44" s="1831">
        <f>G41</f>
        <v>82108916</v>
      </c>
    </row>
    <row r="45" spans="1:7" ht="12" customHeight="1" x14ac:dyDescent="0.2">
      <c r="A45" s="988"/>
      <c r="B45" s="162"/>
      <c r="C45" s="162"/>
      <c r="D45" s="1832" t="s">
        <v>1062</v>
      </c>
      <c r="E45" s="1833">
        <f>(E43/E44)</f>
        <v>3.0354366120394202E-2</v>
      </c>
      <c r="F45" s="1832" t="s">
        <v>1062</v>
      </c>
      <c r="G45" s="1833">
        <f>(G43/G44)</f>
        <v>0.17485488421257442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3" sqref="A12:H1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1445</v>
      </c>
      <c r="B1" s="2322"/>
      <c r="C1" s="2322"/>
      <c r="D1" s="2322"/>
      <c r="E1" s="2322"/>
      <c r="F1" s="2322"/>
    </row>
    <row r="2" spans="1:10" x14ac:dyDescent="0.2">
      <c r="A2" s="1912" t="s">
        <v>2042</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23" t="s">
        <v>1626</v>
      </c>
      <c r="B5" s="2324"/>
      <c r="C5" s="2325"/>
      <c r="D5" s="2325"/>
      <c r="E5" s="2325"/>
      <c r="F5" s="2325"/>
    </row>
    <row r="6" spans="1:10" ht="12" customHeight="1" x14ac:dyDescent="0.25">
      <c r="A6" s="1875"/>
      <c r="B6" s="1876"/>
      <c r="C6" s="2326" t="str">
        <f>COVER!A17</f>
        <v>New Trier Twp HSD 203</v>
      </c>
      <c r="D6" s="2326"/>
      <c r="E6" s="2326"/>
      <c r="F6" s="1877"/>
    </row>
    <row r="7" spans="1:10" ht="11.25" customHeight="1" thickBot="1" x14ac:dyDescent="0.3">
      <c r="A7" s="1875"/>
      <c r="B7" s="1876"/>
      <c r="C7" s="2327">
        <f>COVER!A13</f>
        <v>5016203017</v>
      </c>
      <c r="D7" s="2327"/>
      <c r="E7" s="2327"/>
      <c r="F7" s="1877"/>
    </row>
    <row r="8" spans="1:10" ht="25.5" customHeight="1" thickBot="1" x14ac:dyDescent="0.25">
      <c r="A8" s="1918" t="s">
        <v>2019</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t="s">
        <v>2101</v>
      </c>
      <c r="D14" s="1890" t="s">
        <v>2101</v>
      </c>
      <c r="E14" s="1893"/>
      <c r="F14" s="1892" t="s">
        <v>2100</v>
      </c>
      <c r="H14" s="1903">
        <f t="shared" si="0"/>
        <v>5</v>
      </c>
      <c r="I14" s="1903">
        <f t="shared" si="1"/>
        <v>5</v>
      </c>
      <c r="J14" s="1903">
        <f t="shared" si="2"/>
        <v>0</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t="s">
        <v>2101</v>
      </c>
      <c r="D16" s="1890" t="s">
        <v>2101</v>
      </c>
      <c r="E16" s="1893"/>
      <c r="F16" s="1892" t="s">
        <v>2148</v>
      </c>
      <c r="H16" s="1903">
        <f t="shared" si="0"/>
        <v>5</v>
      </c>
      <c r="I16" s="1903">
        <f t="shared" si="1"/>
        <v>5</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2101</v>
      </c>
      <c r="D19" s="1890" t="s">
        <v>2101</v>
      </c>
      <c r="E19" s="1893"/>
      <c r="F19" s="1892" t="s">
        <v>2102</v>
      </c>
      <c r="H19" s="1903">
        <f t="shared" si="0"/>
        <v>5</v>
      </c>
      <c r="I19" s="1903">
        <f t="shared" si="1"/>
        <v>5</v>
      </c>
      <c r="J19" s="1903">
        <f t="shared" si="2"/>
        <v>0</v>
      </c>
    </row>
    <row r="20" spans="1:12" ht="12" customHeight="1" x14ac:dyDescent="0.2">
      <c r="A20" s="1888" t="s">
        <v>1608</v>
      </c>
      <c r="B20" s="1889"/>
      <c r="C20" s="1890" t="s">
        <v>2101</v>
      </c>
      <c r="D20" s="1890" t="s">
        <v>2101</v>
      </c>
      <c r="E20" s="1893"/>
      <c r="F20" s="1892" t="s">
        <v>2149</v>
      </c>
      <c r="H20" s="1903">
        <f t="shared" si="0"/>
        <v>5</v>
      </c>
      <c r="I20" s="1903">
        <f t="shared" si="1"/>
        <v>5</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c r="D26" s="1890"/>
      <c r="E26" s="1893"/>
      <c r="F26" s="1892"/>
      <c r="H26" s="1903">
        <f t="shared" si="0"/>
        <v>0</v>
      </c>
      <c r="I26" s="1903">
        <f t="shared" si="1"/>
        <v>0</v>
      </c>
      <c r="J26" s="1903">
        <f t="shared" si="2"/>
        <v>0</v>
      </c>
    </row>
    <row r="27" spans="1:12" ht="18.75" x14ac:dyDescent="0.2">
      <c r="A27" s="1888" t="s">
        <v>1615</v>
      </c>
      <c r="B27" s="1889"/>
      <c r="C27" s="1890" t="s">
        <v>2101</v>
      </c>
      <c r="D27" s="1890" t="s">
        <v>2101</v>
      </c>
      <c r="E27" s="1893"/>
      <c r="F27" s="1892" t="s">
        <v>2103</v>
      </c>
      <c r="H27" s="1903">
        <f t="shared" si="0"/>
        <v>5</v>
      </c>
      <c r="I27" s="1903">
        <f t="shared" si="1"/>
        <v>5</v>
      </c>
      <c r="J27" s="1903">
        <f t="shared" si="2"/>
        <v>0</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t="s">
        <v>2101</v>
      </c>
      <c r="D29" s="1890" t="s">
        <v>2101</v>
      </c>
      <c r="E29" s="1893"/>
      <c r="F29" s="1892" t="s">
        <v>2151</v>
      </c>
      <c r="H29" s="1903">
        <f t="shared" si="0"/>
        <v>5</v>
      </c>
      <c r="I29" s="1903">
        <f t="shared" si="1"/>
        <v>5</v>
      </c>
      <c r="J29" s="1903">
        <f t="shared" si="2"/>
        <v>0</v>
      </c>
    </row>
    <row r="30" spans="1:12" ht="12" customHeight="1" x14ac:dyDescent="0.2">
      <c r="A30" s="1888" t="s">
        <v>1618</v>
      </c>
      <c r="B30" s="1889"/>
      <c r="C30" s="1890" t="s">
        <v>2101</v>
      </c>
      <c r="D30" s="1890" t="s">
        <v>2101</v>
      </c>
      <c r="E30" s="1893"/>
      <c r="F30" s="1892" t="s">
        <v>2150</v>
      </c>
      <c r="H30" s="1903">
        <f t="shared" si="0"/>
        <v>5</v>
      </c>
      <c r="I30" s="1903">
        <f t="shared" si="1"/>
        <v>5</v>
      </c>
      <c r="J30" s="1903">
        <f t="shared" si="2"/>
        <v>0</v>
      </c>
    </row>
    <row r="31" spans="1:12" ht="12" customHeight="1" x14ac:dyDescent="0.2">
      <c r="A31" s="1888" t="s">
        <v>1619</v>
      </c>
      <c r="B31" s="1889"/>
      <c r="C31" s="1890"/>
      <c r="D31" s="1890"/>
      <c r="E31" s="1893"/>
      <c r="F31" s="1892"/>
      <c r="H31" s="1903">
        <f t="shared" si="0"/>
        <v>0</v>
      </c>
      <c r="I31" s="1903">
        <f t="shared" si="1"/>
        <v>0</v>
      </c>
      <c r="J31" s="1903">
        <f t="shared" si="2"/>
        <v>0</v>
      </c>
      <c r="L31" s="1894"/>
    </row>
    <row r="32" spans="1:12" ht="12" customHeight="1" x14ac:dyDescent="0.2">
      <c r="A32" s="1888" t="s">
        <v>1620</v>
      </c>
      <c r="B32" s="1889"/>
      <c r="C32" s="1890" t="s">
        <v>2101</v>
      </c>
      <c r="D32" s="1890" t="s">
        <v>2101</v>
      </c>
      <c r="E32" s="1893"/>
      <c r="F32" s="1892" t="s">
        <v>2104</v>
      </c>
      <c r="H32" s="1903">
        <f t="shared" si="0"/>
        <v>5</v>
      </c>
      <c r="I32" s="1903">
        <f t="shared" si="1"/>
        <v>5</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40</v>
      </c>
      <c r="I34" s="1903">
        <f>SUM(I11:I32)</f>
        <v>40</v>
      </c>
      <c r="J34" s="1903">
        <f>SUM(J11:J32)</f>
        <v>0</v>
      </c>
      <c r="K34" s="1903">
        <f>SUM(H34:J34)</f>
        <v>80</v>
      </c>
    </row>
    <row r="35" spans="1:11" ht="12" customHeight="1" x14ac:dyDescent="0.2">
      <c r="A35" s="1896" t="s">
        <v>1458</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1457</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3" sqref="A12: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5" t="str">
        <f>COVER!A17</f>
        <v>New Trier Twp HSD 203</v>
      </c>
      <c r="J6" s="2336"/>
      <c r="Q6" s="1686"/>
    </row>
    <row r="7" spans="1:17" x14ac:dyDescent="0.2">
      <c r="A7" s="2337" t="s">
        <v>923</v>
      </c>
      <c r="B7" s="2338"/>
      <c r="C7" s="2338"/>
      <c r="D7" s="2338"/>
      <c r="E7" s="2339"/>
      <c r="F7" s="1018"/>
      <c r="G7" s="1010"/>
      <c r="H7" s="1017" t="s">
        <v>389</v>
      </c>
      <c r="I7" s="2340">
        <f>COVER!A13</f>
        <v>5016203017</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1" t="s">
        <v>501</v>
      </c>
      <c r="B11" s="2342"/>
      <c r="C11" s="2343"/>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552643</v>
      </c>
      <c r="F12" s="1040"/>
      <c r="G12" s="1834">
        <f t="shared" ref="G12:G18" si="0">SUM(E12:F12)</f>
        <v>552643</v>
      </c>
      <c r="H12" s="1041">
        <v>503278</v>
      </c>
      <c r="I12" s="1040"/>
      <c r="J12" s="1834">
        <f t="shared" ref="J12:J18" si="1">SUM(H12:I12)</f>
        <v>503278</v>
      </c>
    </row>
    <row r="13" spans="1:17" ht="15" customHeight="1" x14ac:dyDescent="0.2">
      <c r="A13" s="1036">
        <v>2</v>
      </c>
      <c r="B13" s="1037" t="s">
        <v>44</v>
      </c>
      <c r="C13" s="1038"/>
      <c r="D13" s="1039">
        <v>2330</v>
      </c>
      <c r="E13" s="1834">
        <f>'Expenditures 15-22'!K51</f>
        <v>18</v>
      </c>
      <c r="F13" s="1040"/>
      <c r="G13" s="1834">
        <f t="shared" si="0"/>
        <v>18</v>
      </c>
      <c r="H13" s="1041">
        <v>500</v>
      </c>
      <c r="I13" s="1040"/>
      <c r="J13" s="1834">
        <f t="shared" si="1"/>
        <v>500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338659</v>
      </c>
      <c r="F15" s="1834">
        <f>'Expenditures 15-22'!K122</f>
        <v>0</v>
      </c>
      <c r="G15" s="1834">
        <f t="shared" si="0"/>
        <v>338659</v>
      </c>
      <c r="H15" s="1041">
        <v>296529</v>
      </c>
      <c r="I15" s="1041"/>
      <c r="J15" s="1834">
        <f t="shared" si="1"/>
        <v>296529</v>
      </c>
    </row>
    <row r="16" spans="1:17" ht="15" customHeight="1" x14ac:dyDescent="0.2">
      <c r="A16" s="1036">
        <v>5</v>
      </c>
      <c r="B16" s="1037" t="s">
        <v>103</v>
      </c>
      <c r="C16" s="1038"/>
      <c r="D16" s="1039">
        <v>2570</v>
      </c>
      <c r="E16" s="1834">
        <f>'Expenditures 15-22'!K64</f>
        <v>124820</v>
      </c>
      <c r="F16" s="1040"/>
      <c r="G16" s="1834">
        <f t="shared" si="0"/>
        <v>124820</v>
      </c>
      <c r="H16" s="1041">
        <v>131421</v>
      </c>
      <c r="I16" s="1040"/>
      <c r="J16" s="1834">
        <f t="shared" si="1"/>
        <v>131421</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1016140</v>
      </c>
      <c r="F19" s="1836">
        <f t="shared" si="2"/>
        <v>0</v>
      </c>
      <c r="G19" s="1836">
        <f t="shared" si="2"/>
        <v>1016140</v>
      </c>
      <c r="H19" s="1836">
        <f t="shared" si="2"/>
        <v>931728</v>
      </c>
      <c r="I19" s="1836">
        <f t="shared" si="2"/>
        <v>0</v>
      </c>
      <c r="J19" s="1836">
        <f t="shared" si="2"/>
        <v>931728</v>
      </c>
    </row>
    <row r="20" spans="1:10" ht="13.5" thickTop="1" x14ac:dyDescent="0.2">
      <c r="A20" s="1036">
        <v>9</v>
      </c>
      <c r="B20" s="2347" t="s">
        <v>1702</v>
      </c>
      <c r="C20" s="2347"/>
      <c r="D20" s="2348"/>
      <c r="E20" s="1047"/>
      <c r="F20" s="1047"/>
      <c r="G20" s="1047"/>
      <c r="H20" s="1047"/>
      <c r="I20" s="1047"/>
      <c r="J20" s="1837">
        <f>IF(AND(G19&gt;0,J19&gt;0),(((J19-G19)/G19)),"Enter Budget Data")</f>
        <v>-8.3071230342275676E-2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1092</v>
      </c>
      <c r="D27" s="1053"/>
      <c r="E27" s="1054"/>
      <c r="F27" s="2349" t="s">
        <v>1588</v>
      </c>
      <c r="G27" s="2349"/>
    </row>
    <row r="28" spans="1:10" ht="28.5" customHeight="1" x14ac:dyDescent="0.2">
      <c r="B28" s="1048"/>
      <c r="C28" s="2351"/>
      <c r="D28" s="2351"/>
      <c r="E28" s="1055"/>
      <c r="F28" s="2351"/>
      <c r="G28" s="2351"/>
    </row>
    <row r="29" spans="1:10" x14ac:dyDescent="0.2">
      <c r="B29" s="1048"/>
      <c r="C29" s="1056" t="s">
        <v>1641</v>
      </c>
      <c r="E29" s="1057"/>
      <c r="F29" s="2350" t="s">
        <v>1589</v>
      </c>
      <c r="G29" s="2350"/>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1939</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936</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3" sqref="A12:H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New Trier Twp HSD 203</v>
      </c>
    </row>
    <row r="65" spans="2:2" x14ac:dyDescent="0.2">
      <c r="B65" s="1071">
        <f>COVER!A13</f>
        <v>5016203017</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13" sqref="A12:H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1707</v>
      </c>
    </row>
    <row r="22" spans="1:5" x14ac:dyDescent="0.2">
      <c r="A22" s="168"/>
      <c r="B22" s="162" t="s">
        <v>1963</v>
      </c>
      <c r="C22" s="162" t="s">
        <v>1230</v>
      </c>
      <c r="D22" s="167" t="s">
        <v>1965</v>
      </c>
      <c r="E22" s="1859" t="s">
        <v>1708</v>
      </c>
    </row>
    <row r="23" spans="1:5" x14ac:dyDescent="0.2">
      <c r="A23" s="168"/>
      <c r="B23" s="162" t="s">
        <v>1964</v>
      </c>
      <c r="D23" s="167" t="s">
        <v>657</v>
      </c>
      <c r="E23" s="1859" t="s">
        <v>1015</v>
      </c>
    </row>
    <row r="24" spans="1:5" x14ac:dyDescent="0.2">
      <c r="A24" s="168" t="s">
        <v>1706</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1601</v>
      </c>
      <c r="C31" s="162" t="s">
        <v>1230</v>
      </c>
      <c r="D31" s="167"/>
      <c r="E31" s="171"/>
    </row>
    <row r="32" spans="1:5" x14ac:dyDescent="0.2">
      <c r="B32" s="167" t="s">
        <v>1983</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1" t="s">
        <v>1124</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714</v>
      </c>
      <c r="B40" s="2068"/>
      <c r="C40" s="2068"/>
      <c r="D40" s="2068"/>
      <c r="E40" s="2068"/>
    </row>
    <row r="41" spans="1:5" x14ac:dyDescent="0.2">
      <c r="A41" s="2069" t="s">
        <v>1705</v>
      </c>
      <c r="B41" s="2069"/>
      <c r="C41" s="2069"/>
      <c r="D41" s="2069"/>
      <c r="E41" s="2069"/>
    </row>
    <row r="42" spans="1:5" ht="12.75" customHeight="1" x14ac:dyDescent="0.2">
      <c r="A42" s="2070" t="s">
        <v>1079</v>
      </c>
      <c r="B42" s="2070"/>
      <c r="C42" s="2070"/>
      <c r="D42" s="2070"/>
      <c r="E42" s="2070"/>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3" sqref="A12:H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4" t="s">
        <v>1783</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1171575</xdr:colOff>
                <xdr:row>2</xdr:row>
                <xdr:rowOff>104775</xdr:rowOff>
              </from>
              <to>
                <xdr:col>1</xdr:col>
                <xdr:colOff>2085975</xdr:colOff>
                <xdr:row>6</xdr:row>
                <xdr:rowOff>142875</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3" sqref="A12:H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1789</v>
      </c>
      <c r="B1" s="2356"/>
      <c r="C1" s="2356"/>
      <c r="D1" s="2356"/>
      <c r="E1" s="2356"/>
      <c r="F1" s="2357"/>
    </row>
    <row r="2" spans="1:8" ht="45" customHeight="1" x14ac:dyDescent="0.2">
      <c r="A2" s="2365" t="s">
        <v>1790</v>
      </c>
      <c r="B2" s="2366"/>
      <c r="C2" s="2366"/>
      <c r="D2" s="2366"/>
      <c r="E2" s="2366"/>
      <c r="F2" s="2367"/>
      <c r="G2" s="1075"/>
      <c r="H2" s="1075"/>
    </row>
    <row r="3" spans="1:8" ht="57" customHeight="1" x14ac:dyDescent="0.2">
      <c r="A3" s="2368" t="s">
        <v>1785</v>
      </c>
      <c r="B3" s="2369"/>
      <c r="C3" s="2369"/>
      <c r="D3" s="2369"/>
      <c r="E3" s="2369"/>
      <c r="F3" s="2370"/>
      <c r="G3" s="1075"/>
      <c r="H3" s="1075"/>
    </row>
    <row r="4" spans="1:8" ht="14.25" customHeight="1" x14ac:dyDescent="0.2">
      <c r="A4" s="2374" t="s">
        <v>2050</v>
      </c>
      <c r="B4" s="2375"/>
      <c r="C4" s="2375"/>
      <c r="D4" s="2375"/>
      <c r="E4" s="2375"/>
      <c r="F4" s="2376"/>
      <c r="G4" s="1075"/>
      <c r="H4" s="1075"/>
    </row>
    <row r="5" spans="1:8" ht="14.25" customHeight="1" x14ac:dyDescent="0.2">
      <c r="A5" s="2377" t="s">
        <v>2051</v>
      </c>
      <c r="B5" s="2378"/>
      <c r="C5" s="2378"/>
      <c r="D5" s="2378"/>
      <c r="E5" s="2378"/>
      <c r="F5" s="2379"/>
      <c r="G5" s="1075"/>
      <c r="H5" s="1075"/>
    </row>
    <row r="6" spans="1:8" s="1076" customFormat="1" ht="41.25" customHeight="1" x14ac:dyDescent="0.2">
      <c r="A6" s="2371" t="s">
        <v>1791</v>
      </c>
      <c r="B6" s="2372"/>
      <c r="C6" s="2372"/>
      <c r="D6" s="2372"/>
      <c r="E6" s="2372"/>
      <c r="F6" s="2373"/>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92643353</v>
      </c>
      <c r="C8" s="1838">
        <f>'Acct Summary 7-8'!D8</f>
        <v>8801754</v>
      </c>
      <c r="D8" s="1838">
        <f>'Acct Summary 7-8'!F8</f>
        <v>2139308</v>
      </c>
      <c r="E8" s="1838">
        <f>'Acct Summary 7-8'!I8</f>
        <v>43476</v>
      </c>
      <c r="F8" s="1838">
        <f>SUM(B8:E8)</f>
        <v>103627891</v>
      </c>
    </row>
    <row r="9" spans="1:8" s="1080" customFormat="1" ht="14.25" customHeight="1" thickBot="1" x14ac:dyDescent="0.25">
      <c r="A9" s="1079" t="s">
        <v>1435</v>
      </c>
      <c r="B9" s="1839">
        <f>'Acct Summary 7-8'!C17</f>
        <v>89148747</v>
      </c>
      <c r="C9" s="1839">
        <f>'Acct Summary 7-8'!D17</f>
        <v>7741982</v>
      </c>
      <c r="D9" s="1839">
        <f>'Acct Summary 7-8'!F17</f>
        <v>1999632</v>
      </c>
      <c r="E9" s="1838"/>
      <c r="F9" s="1838">
        <f>SUM(B9:E9)</f>
        <v>98890361</v>
      </c>
    </row>
    <row r="10" spans="1:8" s="1080" customFormat="1" ht="14.25" thickTop="1" thickBot="1" x14ac:dyDescent="0.25">
      <c r="A10" s="1081" t="s">
        <v>1436</v>
      </c>
      <c r="B10" s="1840">
        <f>(B8-B9)</f>
        <v>3494606</v>
      </c>
      <c r="C10" s="1840">
        <f>(C8-C9)</f>
        <v>1059772</v>
      </c>
      <c r="D10" s="1840">
        <f>(D8-D9)</f>
        <v>139676</v>
      </c>
      <c r="E10" s="1839">
        <f>(E8-E9)</f>
        <v>43476</v>
      </c>
      <c r="F10" s="1841">
        <f>SUM(F8-F9)</f>
        <v>4737530</v>
      </c>
    </row>
    <row r="11" spans="1:8" s="1080" customFormat="1" ht="14.25" thickTop="1" thickBot="1" x14ac:dyDescent="0.25">
      <c r="A11" s="1082" t="s">
        <v>1784</v>
      </c>
      <c r="B11" s="1842">
        <f>'Acct Summary 7-8'!C81</f>
        <v>68100143</v>
      </c>
      <c r="C11" s="1842">
        <f>'Acct Summary 7-8'!D81</f>
        <v>5702499</v>
      </c>
      <c r="D11" s="1842">
        <f>'Acct Summary 7-8'!F81</f>
        <v>3323665</v>
      </c>
      <c r="E11" s="1842">
        <f>'Acct Summary 7-8'!I81</f>
        <v>3330943</v>
      </c>
      <c r="F11" s="1843">
        <f>SUM(B11:E11)</f>
        <v>80457250</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1786</v>
      </c>
      <c r="B16" s="2358"/>
      <c r="C16" s="2358"/>
      <c r="D16" s="2358"/>
      <c r="E16" s="2358"/>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685</v>
      </c>
      <c r="B3" s="2381"/>
      <c r="C3" s="2381"/>
      <c r="D3" s="2382"/>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1" t="s">
        <v>1583</v>
      </c>
      <c r="D7" s="2392"/>
    </row>
    <row r="8" spans="1:4" s="669" customFormat="1" ht="12.75" x14ac:dyDescent="0.2">
      <c r="A8" s="1139"/>
      <c r="B8" s="1094"/>
      <c r="C8" s="1097" t="s">
        <v>1582</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3" t="s">
        <v>1064</v>
      </c>
      <c r="B15" s="2384"/>
      <c r="C15" s="2384"/>
      <c r="D15" s="2385"/>
    </row>
    <row r="16" spans="1:4" s="669" customFormat="1" ht="24" customHeight="1" x14ac:dyDescent="0.2">
      <c r="A16" s="2386" t="s">
        <v>683</v>
      </c>
      <c r="B16" s="2387"/>
      <c r="C16" s="2387"/>
      <c r="D16" s="238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5" t="s">
        <v>331</v>
      </c>
      <c r="D21" s="2396"/>
    </row>
    <row r="22" spans="1:10" ht="12.75" x14ac:dyDescent="0.2">
      <c r="A22" s="1140"/>
      <c r="B22" s="1141">
        <v>2</v>
      </c>
      <c r="C22" s="2393" t="s">
        <v>1604</v>
      </c>
      <c r="D22" s="2394"/>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7" t="s">
        <v>556</v>
      </c>
      <c r="D43" s="2398"/>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9" t="s">
        <v>816</v>
      </c>
      <c r="D56" s="2390"/>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1078</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389" t="s">
        <v>1796</v>
      </c>
      <c r="D70" s="2390"/>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5016203017</v>
      </c>
    </row>
    <row r="3" spans="1:2" x14ac:dyDescent="0.2">
      <c r="A3" t="s">
        <v>1012</v>
      </c>
      <c r="B3" s="138" t="str">
        <f>COVER!A15</f>
        <v>Cook</v>
      </c>
    </row>
    <row r="4" spans="1:2" x14ac:dyDescent="0.2">
      <c r="A4" t="s">
        <v>1063</v>
      </c>
      <c r="B4" s="138" t="str">
        <f>COVER!A17</f>
        <v>New Trier Twp HSD 203</v>
      </c>
    </row>
    <row r="5" spans="1:2" x14ac:dyDescent="0.2">
      <c r="A5" t="s">
        <v>727</v>
      </c>
      <c r="B5" s="138" t="str">
        <f>COVER!A38</f>
        <v>Paul Sally</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066-03346</v>
      </c>
    </row>
    <row r="16" spans="1:2" x14ac:dyDescent="0.2">
      <c r="A16" t="s">
        <v>441</v>
      </c>
      <c r="B16" s="138" t="str">
        <f>COVER!T13</f>
        <v>RSM US LLP</v>
      </c>
    </row>
    <row r="17" spans="1:2" x14ac:dyDescent="0.2">
      <c r="A17" t="s">
        <v>938</v>
      </c>
      <c r="B17" s="138" t="str">
        <f>COVER!T15</f>
        <v>Katie Barry</v>
      </c>
    </row>
    <row r="18" spans="1:2" x14ac:dyDescent="0.2">
      <c r="A18" t="s">
        <v>1211</v>
      </c>
      <c r="B18" s="138" t="str">
        <f>COVER!T17</f>
        <v>1 South Wacker Drive, Suite 800</v>
      </c>
    </row>
    <row r="19" spans="1:2" x14ac:dyDescent="0.2">
      <c r="A19" t="s">
        <v>940</v>
      </c>
      <c r="B19" s="138" t="str">
        <f>COVER!T25</f>
        <v>katie.barry@rsmus.com</v>
      </c>
    </row>
    <row r="20" spans="1:2" x14ac:dyDescent="0.2">
      <c r="A20" t="s">
        <v>941</v>
      </c>
      <c r="B20" s="138" t="str">
        <f>COVER!T19</f>
        <v>Chicago</v>
      </c>
    </row>
    <row r="21" spans="1:2" x14ac:dyDescent="0.2">
      <c r="A21" t="s">
        <v>499</v>
      </c>
      <c r="B21" s="138" t="str">
        <f>COVER!X19</f>
        <v>IL</v>
      </c>
    </row>
    <row r="22" spans="1:2" x14ac:dyDescent="0.2">
      <c r="A22" t="s">
        <v>942</v>
      </c>
      <c r="B22" s="138">
        <f>COVER!Z19</f>
        <v>60606</v>
      </c>
    </row>
    <row r="23" spans="1:2" x14ac:dyDescent="0.2">
      <c r="A23" t="s">
        <v>1213</v>
      </c>
      <c r="B23" s="138" t="str">
        <f>COVER!T21</f>
        <v>312-634-3400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34700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40772322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71926104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117759012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42070146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49658869</v>
      </c>
      <c r="C91" s="2" t="s">
        <v>593</v>
      </c>
      <c r="D91" s="2" t="str">
        <f t="shared" si="0"/>
        <v>Error?</v>
      </c>
    </row>
    <row r="92" spans="1:4" x14ac:dyDescent="0.2">
      <c r="A92" s="5">
        <v>31</v>
      </c>
      <c r="B92" s="138">
        <f>'Assets-Liab 5-6'!C39</f>
        <v>68100143</v>
      </c>
      <c r="D92" s="2" t="str">
        <f t="shared" si="0"/>
        <v>Error?</v>
      </c>
    </row>
    <row r="93" spans="1:4" x14ac:dyDescent="0.2">
      <c r="A93" s="5">
        <v>32</v>
      </c>
      <c r="B93" s="138">
        <f>'Assets-Liab 5-6'!C41</f>
        <v>117759012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3532404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2230625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9444427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3645825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3741928</v>
      </c>
      <c r="C122" s="2" t="s">
        <v>593</v>
      </c>
      <c r="D122" s="2" t="str">
        <f t="shared" si="0"/>
        <v>Error?</v>
      </c>
    </row>
    <row r="123" spans="1:4" x14ac:dyDescent="0.2">
      <c r="A123" s="5">
        <v>62</v>
      </c>
      <c r="B123" s="138">
        <f>'Assets-Liab 5-6'!D39</f>
        <v>5153903</v>
      </c>
      <c r="D123" s="2" t="str">
        <f t="shared" si="0"/>
        <v>Error?</v>
      </c>
    </row>
    <row r="124" spans="1:4" x14ac:dyDescent="0.2">
      <c r="A124" s="5">
        <v>63</v>
      </c>
      <c r="B124" s="138">
        <f>'Assets-Liab 5-6'!D41</f>
        <v>9444427</v>
      </c>
      <c r="C124" s="2" t="s">
        <v>593</v>
      </c>
      <c r="D124" s="2" t="str">
        <f t="shared" si="0"/>
        <v>Error?</v>
      </c>
    </row>
    <row r="125" spans="1:4" x14ac:dyDescent="0.2">
      <c r="A125" s="10">
        <v>64</v>
      </c>
      <c r="D125" s="2" t="str">
        <f t="shared" si="0"/>
        <v>OK</v>
      </c>
    </row>
    <row r="126" spans="1:4" x14ac:dyDescent="0.2">
      <c r="A126" s="5">
        <v>65</v>
      </c>
      <c r="B126" s="138">
        <f>'Assets-Liab 5-6'!E6</f>
        <v>4770301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967196</v>
      </c>
      <c r="D129" s="2" t="str">
        <f t="shared" si="1"/>
        <v>Error?</v>
      </c>
    </row>
    <row r="130" spans="1:4" x14ac:dyDescent="0.2">
      <c r="A130" s="5">
        <v>69</v>
      </c>
      <c r="B130" s="138">
        <f>'Assets-Liab 5-6'!E12</f>
        <v>0</v>
      </c>
      <c r="D130" s="2" t="str">
        <f t="shared" si="1"/>
        <v>Error?</v>
      </c>
    </row>
    <row r="131" spans="1:4" x14ac:dyDescent="0.2">
      <c r="A131" s="5">
        <v>70</v>
      </c>
      <c r="B131" s="138">
        <f>'Assets-Liab 5-6'!E13</f>
        <v>8362431</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4802066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4821826</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8362431</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658583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967406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4276260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921470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952595</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4276260</v>
      </c>
      <c r="C171" s="2" t="s">
        <v>593</v>
      </c>
      <c r="D171" s="2" t="str">
        <f t="shared" si="1"/>
        <v>Error?</v>
      </c>
    </row>
    <row r="172" spans="1:4" x14ac:dyDescent="0.2">
      <c r="A172" s="10">
        <v>111</v>
      </c>
      <c r="D172" s="2" t="str">
        <f t="shared" si="1"/>
        <v>OK</v>
      </c>
    </row>
    <row r="173" spans="1:4" x14ac:dyDescent="0.2">
      <c r="A173" s="5">
        <v>112</v>
      </c>
      <c r="B173" s="138">
        <f>'Assets-Liab 5-6'!G6</f>
        <v>2139747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672706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4852182</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2154009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2166836</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4852182</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4574277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11075894</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31343</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2998377</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11075894</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5170483</v>
      </c>
      <c r="D273" s="2" t="str">
        <f t="shared" si="3"/>
        <v>Error?</v>
      </c>
    </row>
    <row r="274" spans="1:4" x14ac:dyDescent="0.2">
      <c r="A274" s="5">
        <v>213</v>
      </c>
      <c r="B274" s="138">
        <f>'Assets-Liab 5-6'!M17</f>
        <v>132383720</v>
      </c>
      <c r="D274" s="2" t="str">
        <f t="shared" si="3"/>
        <v>Error?</v>
      </c>
    </row>
    <row r="275" spans="1:4" x14ac:dyDescent="0.2">
      <c r="A275" s="5">
        <v>214</v>
      </c>
      <c r="B275" s="138">
        <f>'Assets-Liab 5-6'!M18</f>
        <v>0</v>
      </c>
      <c r="D275" s="2" t="str">
        <f t="shared" si="3"/>
        <v>Error?</v>
      </c>
    </row>
    <row r="276" spans="1:4" x14ac:dyDescent="0.2">
      <c r="A276" s="5">
        <v>215</v>
      </c>
      <c r="B276" s="138">
        <f>'Assets-Liab 5-6'!M19</f>
        <v>16980839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158106675</v>
      </c>
      <c r="C279" s="2" t="s">
        <v>593</v>
      </c>
      <c r="D279" s="2" t="str">
        <f t="shared" si="3"/>
        <v>Error?</v>
      </c>
    </row>
    <row r="280" spans="1:4" x14ac:dyDescent="0.2">
      <c r="A280" s="5">
        <v>219</v>
      </c>
      <c r="B280" s="138">
        <f>'Assets-Liab 5-6'!M40</f>
        <v>158106675</v>
      </c>
      <c r="D280" s="2" t="str">
        <f t="shared" si="3"/>
        <v>Error?</v>
      </c>
    </row>
    <row r="281" spans="1:4" x14ac:dyDescent="0.2">
      <c r="A281" s="5">
        <v>220</v>
      </c>
      <c r="B281" s="138">
        <f>'Assets-Liab 5-6'!M41</f>
        <v>158106675</v>
      </c>
      <c r="C281" s="2" t="s">
        <v>593</v>
      </c>
      <c r="D281" s="2" t="str">
        <f t="shared" si="3"/>
        <v>Error?</v>
      </c>
    </row>
    <row r="282" spans="1:4" x14ac:dyDescent="0.2">
      <c r="A282" s="5">
        <v>221</v>
      </c>
      <c r="B282" s="138">
        <f>'Assets-Liab 5-6'!N21</f>
        <v>3540605</v>
      </c>
      <c r="D282" s="2" t="str">
        <f t="shared" si="3"/>
        <v>Error?</v>
      </c>
    </row>
    <row r="283" spans="1:4" x14ac:dyDescent="0.2">
      <c r="A283" s="5">
        <v>222</v>
      </c>
      <c r="B283" s="138">
        <f>'Assets-Liab 5-6'!N22</f>
        <v>98854395</v>
      </c>
      <c r="D283" s="2" t="str">
        <f t="shared" si="3"/>
        <v>Error?</v>
      </c>
    </row>
    <row r="284" spans="1:4" x14ac:dyDescent="0.2">
      <c r="A284" s="5">
        <v>223</v>
      </c>
      <c r="B284" s="138">
        <f>'Assets-Liab 5-6'!N23</f>
        <v>102395000</v>
      </c>
      <c r="C284" s="2" t="s">
        <v>593</v>
      </c>
      <c r="D284" s="2" t="str">
        <f t="shared" si="3"/>
        <v>Error?</v>
      </c>
    </row>
    <row r="285" spans="1:4" x14ac:dyDescent="0.2">
      <c r="A285" s="5">
        <v>224</v>
      </c>
      <c r="B285" s="138">
        <f>'Assets-Liab 5-6'!N36</f>
        <v>102395000</v>
      </c>
      <c r="D285" s="2" t="str">
        <f t="shared" si="3"/>
        <v>Error?</v>
      </c>
    </row>
    <row r="286" spans="1:4" x14ac:dyDescent="0.2">
      <c r="A286" s="10">
        <v>225</v>
      </c>
      <c r="D286" s="2" t="str">
        <f t="shared" si="3"/>
        <v>OK</v>
      </c>
    </row>
    <row r="287" spans="1:4" x14ac:dyDescent="0.2">
      <c r="A287" s="5">
        <v>226</v>
      </c>
      <c r="B287" s="138">
        <f>'Assets-Liab 5-6'!N37</f>
        <v>102395000</v>
      </c>
      <c r="C287" s="2" t="s">
        <v>593</v>
      </c>
      <c r="D287" s="2" t="str">
        <f t="shared" si="3"/>
        <v>Error?</v>
      </c>
    </row>
    <row r="288" spans="1:4" x14ac:dyDescent="0.2">
      <c r="A288" s="5">
        <v>227</v>
      </c>
      <c r="B288" s="138">
        <f>'Assets-Liab 5-6'!N41</f>
        <v>102395000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6200000</v>
      </c>
      <c r="D651" s="2" t="str">
        <f t="shared" si="9"/>
        <v>Error?</v>
      </c>
    </row>
    <row r="652" spans="1:4" x14ac:dyDescent="0.2">
      <c r="A652" s="5">
        <v>591</v>
      </c>
      <c r="B652" s="138">
        <f>'Acct Summary 7-8'!I34</f>
        <v>841073</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32219801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226733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467906</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5428544</v>
      </c>
      <c r="D718" s="2" t="str">
        <f t="shared" si="10"/>
        <v>Error?</v>
      </c>
    </row>
    <row r="719" spans="1:4" x14ac:dyDescent="0.2">
      <c r="A719" s="5">
        <v>658</v>
      </c>
      <c r="B719" s="138">
        <f>'Expenditures 15-22'!C15</f>
        <v>508866</v>
      </c>
      <c r="D719" s="2" t="str">
        <f t="shared" si="10"/>
        <v>Error?</v>
      </c>
    </row>
    <row r="720" spans="1:4" x14ac:dyDescent="0.2">
      <c r="A720" s="5">
        <v>659</v>
      </c>
      <c r="B720" s="138">
        <f>'Expenditures 15-22'!C33</f>
        <v>46253463</v>
      </c>
      <c r="C720" s="2" t="s">
        <v>593</v>
      </c>
      <c r="D720" s="2" t="str">
        <f t="shared" si="10"/>
        <v>Error?</v>
      </c>
    </row>
    <row r="721" spans="1:4" x14ac:dyDescent="0.2">
      <c r="A721" s="5">
        <v>660</v>
      </c>
      <c r="B721" s="138">
        <f>'Expenditures 15-22'!C36</f>
        <v>1325414</v>
      </c>
      <c r="D721" s="2" t="str">
        <f t="shared" si="10"/>
        <v>Error?</v>
      </c>
    </row>
    <row r="722" spans="1:4" x14ac:dyDescent="0.2">
      <c r="A722" s="5">
        <v>661</v>
      </c>
      <c r="B722" s="138">
        <f>'Expenditures 15-22'!C37</f>
        <v>7258858</v>
      </c>
      <c r="D722" s="2" t="str">
        <f t="shared" si="10"/>
        <v>Error?</v>
      </c>
    </row>
    <row r="723" spans="1:4" x14ac:dyDescent="0.2">
      <c r="A723" s="5">
        <v>662</v>
      </c>
      <c r="B723" s="138">
        <f>'Expenditures 15-22'!C38</f>
        <v>487057</v>
      </c>
      <c r="D723" s="2" t="str">
        <f t="shared" si="10"/>
        <v>Error?</v>
      </c>
    </row>
    <row r="724" spans="1:4" x14ac:dyDescent="0.2">
      <c r="A724" s="5">
        <v>663</v>
      </c>
      <c r="B724" s="138">
        <f>'Expenditures 15-22'!C39</f>
        <v>477691</v>
      </c>
      <c r="D724" s="2" t="str">
        <f t="shared" si="10"/>
        <v>Error?</v>
      </c>
    </row>
    <row r="725" spans="1:4" x14ac:dyDescent="0.2">
      <c r="A725" s="5">
        <v>664</v>
      </c>
      <c r="B725" s="138">
        <f>'Expenditures 15-22'!C40</f>
        <v>340123</v>
      </c>
      <c r="D725" s="2" t="str">
        <f t="shared" si="10"/>
        <v>Error?</v>
      </c>
    </row>
    <row r="726" spans="1:4" x14ac:dyDescent="0.2">
      <c r="A726" s="5">
        <v>665</v>
      </c>
      <c r="B726" s="138">
        <f>'Expenditures 15-22'!C41</f>
        <v>113343</v>
      </c>
      <c r="D726" s="2" t="str">
        <f t="shared" si="10"/>
        <v>Error?</v>
      </c>
    </row>
    <row r="727" spans="1:4" x14ac:dyDescent="0.2">
      <c r="A727" s="5">
        <v>666</v>
      </c>
      <c r="B727" s="138">
        <f>'Expenditures 15-22'!C42</f>
        <v>10002486</v>
      </c>
      <c r="C727" s="2" t="s">
        <v>593</v>
      </c>
      <c r="D727" s="2" t="str">
        <f t="shared" si="10"/>
        <v>Error?</v>
      </c>
    </row>
    <row r="728" spans="1:4" x14ac:dyDescent="0.2">
      <c r="A728" s="5">
        <v>667</v>
      </c>
      <c r="B728" s="138">
        <f>'Expenditures 15-22'!C44</f>
        <v>487199</v>
      </c>
      <c r="D728" s="2" t="str">
        <f t="shared" si="10"/>
        <v>Error?</v>
      </c>
    </row>
    <row r="729" spans="1:4" x14ac:dyDescent="0.2">
      <c r="A729" s="5">
        <v>668</v>
      </c>
      <c r="B729" s="138">
        <f>'Expenditures 15-22'!C45</f>
        <v>1681345</v>
      </c>
      <c r="D729" s="2" t="str">
        <f t="shared" si="10"/>
        <v>Error?</v>
      </c>
    </row>
    <row r="730" spans="1:4" x14ac:dyDescent="0.2">
      <c r="A730" s="5">
        <v>669</v>
      </c>
      <c r="B730" s="138">
        <f>'Expenditures 15-22'!C46</f>
        <v>171991</v>
      </c>
      <c r="D730" s="2" t="str">
        <f t="shared" si="10"/>
        <v>Error?</v>
      </c>
    </row>
    <row r="731" spans="1:4" x14ac:dyDescent="0.2">
      <c r="A731" s="5">
        <v>670</v>
      </c>
      <c r="B731" s="138">
        <f>'Expenditures 15-22'!C47</f>
        <v>2340535</v>
      </c>
      <c r="C731" s="2" t="s">
        <v>593</v>
      </c>
      <c r="D731" s="2" t="str">
        <f t="shared" si="10"/>
        <v>Error?</v>
      </c>
    </row>
    <row r="732" spans="1:4" x14ac:dyDescent="0.2">
      <c r="A732" s="5">
        <v>671</v>
      </c>
      <c r="B732" s="138">
        <f>'Expenditures 15-22'!C49</f>
        <v>600</v>
      </c>
      <c r="D732" s="2" t="str">
        <f t="shared" si="10"/>
        <v>Error?</v>
      </c>
    </row>
    <row r="733" spans="1:4" x14ac:dyDescent="0.2">
      <c r="A733" s="5">
        <v>672</v>
      </c>
      <c r="B733" s="138">
        <f>'Expenditures 15-22'!C50</f>
        <v>343334</v>
      </c>
      <c r="D733" s="2" t="str">
        <f t="shared" si="10"/>
        <v>Error?</v>
      </c>
    </row>
    <row r="734" spans="1:4" x14ac:dyDescent="0.2">
      <c r="A734" s="5">
        <v>673</v>
      </c>
      <c r="B734" s="138">
        <f>'Expenditures 15-22'!C53</f>
        <v>343934</v>
      </c>
      <c r="C734" s="2" t="s">
        <v>593</v>
      </c>
      <c r="D734" s="2" t="str">
        <f t="shared" si="10"/>
        <v>Error?</v>
      </c>
    </row>
    <row r="735" spans="1:4" x14ac:dyDescent="0.2">
      <c r="A735" s="5">
        <v>674</v>
      </c>
      <c r="B735" s="138">
        <f>'Expenditures 15-22'!C55</f>
        <v>1245159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1245159</v>
      </c>
      <c r="C737" s="2" t="s">
        <v>593</v>
      </c>
      <c r="D737" s="2" t="str">
        <f t="shared" si="10"/>
        <v>Error?</v>
      </c>
    </row>
    <row r="738" spans="1:4" x14ac:dyDescent="0.2">
      <c r="A738" s="5">
        <v>677</v>
      </c>
      <c r="B738" s="138">
        <f>'Expenditures 15-22'!C59</f>
        <v>251580</v>
      </c>
      <c r="D738" s="2" t="str">
        <f t="shared" si="10"/>
        <v>Error?</v>
      </c>
    </row>
    <row r="739" spans="1:4" x14ac:dyDescent="0.2">
      <c r="A739" s="5">
        <v>678</v>
      </c>
      <c r="B739" s="138">
        <f>'Expenditures 15-22'!C60</f>
        <v>486896</v>
      </c>
      <c r="D739" s="2" t="str">
        <f t="shared" si="10"/>
        <v>Error?</v>
      </c>
    </row>
    <row r="740" spans="1:4" x14ac:dyDescent="0.2">
      <c r="A740" s="5">
        <v>679</v>
      </c>
      <c r="B740" s="138">
        <f>'Expenditures 15-22'!C61</f>
        <v>1126909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50775</v>
      </c>
      <c r="D742" s="2" t="str">
        <f t="shared" si="10"/>
        <v>Error?</v>
      </c>
    </row>
    <row r="743" spans="1:4" x14ac:dyDescent="0.2">
      <c r="A743" s="5">
        <v>682</v>
      </c>
      <c r="B743" s="138">
        <f>'Expenditures 15-22'!C64</f>
        <v>40335</v>
      </c>
      <c r="D743" s="2" t="str">
        <f t="shared" si="10"/>
        <v>Error?</v>
      </c>
    </row>
    <row r="744" spans="1:4" x14ac:dyDescent="0.2">
      <c r="A744" s="10">
        <v>683</v>
      </c>
      <c r="D744" s="2" t="str">
        <f t="shared" si="10"/>
        <v>OK</v>
      </c>
    </row>
    <row r="745" spans="1:4" x14ac:dyDescent="0.2">
      <c r="A745" s="5">
        <v>684</v>
      </c>
      <c r="B745" s="138">
        <f>'Expenditures 15-22'!C65</f>
        <v>1956495</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246238</v>
      </c>
      <c r="D747" s="2" t="str">
        <f t="shared" si="10"/>
        <v>Error?</v>
      </c>
    </row>
    <row r="748" spans="1:4" x14ac:dyDescent="0.2">
      <c r="A748" s="5">
        <v>687</v>
      </c>
      <c r="B748" s="138">
        <f>'Expenditures 15-22'!C69</f>
        <v>189657</v>
      </c>
      <c r="D748" s="2" t="str">
        <f t="shared" si="10"/>
        <v>Error?</v>
      </c>
    </row>
    <row r="749" spans="1:4" x14ac:dyDescent="0.2">
      <c r="A749" s="5">
        <v>688</v>
      </c>
      <c r="B749" s="138">
        <f>'Expenditures 15-22'!C70</f>
        <v>506230</v>
      </c>
      <c r="D749" s="2" t="str">
        <f t="shared" si="10"/>
        <v>Error?</v>
      </c>
    </row>
    <row r="750" spans="1:4" x14ac:dyDescent="0.2">
      <c r="A750" s="10">
        <v>689</v>
      </c>
      <c r="D750" s="2" t="str">
        <f t="shared" si="10"/>
        <v>OK</v>
      </c>
    </row>
    <row r="751" spans="1:4" x14ac:dyDescent="0.2">
      <c r="A751" s="5">
        <v>690</v>
      </c>
      <c r="B751" s="138">
        <f>'Expenditures 15-22'!C71</f>
        <v>255474</v>
      </c>
      <c r="D751" s="2" t="str">
        <f t="shared" si="10"/>
        <v>Error?</v>
      </c>
    </row>
    <row r="752" spans="1:4" x14ac:dyDescent="0.2">
      <c r="A752" s="10">
        <v>691</v>
      </c>
      <c r="D752" s="2" t="str">
        <f t="shared" si="10"/>
        <v>OK</v>
      </c>
    </row>
    <row r="753" spans="1:4" x14ac:dyDescent="0.2">
      <c r="A753" s="5">
        <v>692</v>
      </c>
      <c r="B753" s="138">
        <f>'Expenditures 15-22'!C72</f>
        <v>1197599</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17086208</v>
      </c>
      <c r="C755" s="2" t="s">
        <v>593</v>
      </c>
      <c r="D755" s="2" t="str">
        <f t="shared" si="10"/>
        <v>Error?</v>
      </c>
    </row>
    <row r="756" spans="1:4" x14ac:dyDescent="0.2">
      <c r="A756" s="5">
        <v>695</v>
      </c>
      <c r="B756" s="138">
        <f>'Expenditures 15-22'!C75</f>
        <v>212992</v>
      </c>
      <c r="D756" s="2" t="str">
        <f t="shared" si="10"/>
        <v>Error?</v>
      </c>
    </row>
    <row r="757" spans="1:4" x14ac:dyDescent="0.2">
      <c r="A757" s="5">
        <v>696</v>
      </c>
      <c r="B757" s="138">
        <f>'Expenditures 15-22'!C114</f>
        <v>63552663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4316530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38678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13674</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195601</v>
      </c>
      <c r="D776" s="2" t="str">
        <f t="shared" si="11"/>
        <v>Error?</v>
      </c>
    </row>
    <row r="777" spans="1:4" x14ac:dyDescent="0.2">
      <c r="A777" s="5">
        <v>716</v>
      </c>
      <c r="B777" s="138">
        <f>'Expenditures 15-22'!D15</f>
        <v>5596</v>
      </c>
      <c r="D777" s="2" t="str">
        <f t="shared" si="11"/>
        <v>Error?</v>
      </c>
    </row>
    <row r="778" spans="1:4" x14ac:dyDescent="0.2">
      <c r="A778" s="5">
        <v>717</v>
      </c>
      <c r="B778" s="138">
        <f>'Expenditures 15-22'!D33</f>
        <v>5671183</v>
      </c>
      <c r="C778" s="2" t="s">
        <v>593</v>
      </c>
      <c r="D778" s="2" t="str">
        <f t="shared" si="11"/>
        <v>Error?</v>
      </c>
    </row>
    <row r="779" spans="1:4" x14ac:dyDescent="0.2">
      <c r="A779" s="5">
        <v>718</v>
      </c>
      <c r="B779" s="138">
        <f>'Expenditures 15-22'!D36</f>
        <v>165510</v>
      </c>
      <c r="D779" s="2" t="str">
        <f t="shared" si="11"/>
        <v>Error?</v>
      </c>
    </row>
    <row r="780" spans="1:4" x14ac:dyDescent="0.2">
      <c r="A780" s="5">
        <v>719</v>
      </c>
      <c r="B780" s="138">
        <f>'Expenditures 15-22'!D37</f>
        <v>905966</v>
      </c>
      <c r="D780" s="2" t="str">
        <f t="shared" si="11"/>
        <v>Error?</v>
      </c>
    </row>
    <row r="781" spans="1:4" x14ac:dyDescent="0.2">
      <c r="A781" s="5">
        <v>720</v>
      </c>
      <c r="B781" s="138">
        <f>'Expenditures 15-22'!D38</f>
        <v>59549</v>
      </c>
      <c r="D781" s="2" t="str">
        <f t="shared" si="11"/>
        <v>Error?</v>
      </c>
    </row>
    <row r="782" spans="1:4" x14ac:dyDescent="0.2">
      <c r="A782" s="5">
        <v>721</v>
      </c>
      <c r="B782" s="138">
        <f>'Expenditures 15-22'!D39</f>
        <v>51017</v>
      </c>
      <c r="D782" s="2" t="str">
        <f t="shared" si="11"/>
        <v>Error?</v>
      </c>
    </row>
    <row r="783" spans="1:4" x14ac:dyDescent="0.2">
      <c r="A783" s="5">
        <v>722</v>
      </c>
      <c r="B783" s="138">
        <f>'Expenditures 15-22'!D40</f>
        <v>52556</v>
      </c>
      <c r="D783" s="2" t="str">
        <f t="shared" si="11"/>
        <v>Error?</v>
      </c>
    </row>
    <row r="784" spans="1:4" x14ac:dyDescent="0.2">
      <c r="A784" s="5">
        <v>723</v>
      </c>
      <c r="B784" s="138">
        <f>'Expenditures 15-22'!D41</f>
        <v>28897</v>
      </c>
      <c r="D784" s="2" t="str">
        <f t="shared" si="11"/>
        <v>Error?</v>
      </c>
    </row>
    <row r="785" spans="1:4" x14ac:dyDescent="0.2">
      <c r="A785" s="5">
        <v>724</v>
      </c>
      <c r="B785" s="138">
        <f>'Expenditures 15-22'!D42</f>
        <v>1263495</v>
      </c>
      <c r="C785" s="2" t="s">
        <v>593</v>
      </c>
      <c r="D785" s="2" t="str">
        <f t="shared" si="11"/>
        <v>Error?</v>
      </c>
    </row>
    <row r="786" spans="1:4" x14ac:dyDescent="0.2">
      <c r="A786" s="5">
        <v>725</v>
      </c>
      <c r="B786" s="138">
        <f>'Expenditures 15-22'!D44</f>
        <v>81695</v>
      </c>
      <c r="D786" s="2" t="str">
        <f t="shared" si="11"/>
        <v>Error?</v>
      </c>
    </row>
    <row r="787" spans="1:4" x14ac:dyDescent="0.2">
      <c r="A787" s="5">
        <v>726</v>
      </c>
      <c r="B787" s="138">
        <f>'Expenditures 15-22'!D45</f>
        <v>247868</v>
      </c>
      <c r="D787" s="2" t="str">
        <f t="shared" si="11"/>
        <v>Error?</v>
      </c>
    </row>
    <row r="788" spans="1:4" x14ac:dyDescent="0.2">
      <c r="A788" s="5">
        <v>727</v>
      </c>
      <c r="B788" s="138">
        <f>'Expenditures 15-22'!D46</f>
        <v>31595</v>
      </c>
      <c r="D788" s="2" t="str">
        <f t="shared" si="11"/>
        <v>Error?</v>
      </c>
    </row>
    <row r="789" spans="1:4" x14ac:dyDescent="0.2">
      <c r="A789" s="5">
        <v>728</v>
      </c>
      <c r="B789" s="138">
        <f>'Expenditures 15-22'!D47</f>
        <v>361158</v>
      </c>
      <c r="C789" s="2" t="s">
        <v>593</v>
      </c>
      <c r="D789" s="2" t="str">
        <f t="shared" si="11"/>
        <v>Error?</v>
      </c>
    </row>
    <row r="790" spans="1:4" x14ac:dyDescent="0.2">
      <c r="A790" s="5">
        <v>729</v>
      </c>
      <c r="B790" s="138">
        <f>'Expenditures 15-22'!D49</f>
        <v>3</v>
      </c>
      <c r="D790" s="2" t="str">
        <f t="shared" si="11"/>
        <v>Error?</v>
      </c>
    </row>
    <row r="791" spans="1:4" x14ac:dyDescent="0.2">
      <c r="A791" s="5">
        <v>730</v>
      </c>
      <c r="B791" s="138">
        <f>'Expenditures 15-22'!D50</f>
        <v>135973</v>
      </c>
      <c r="D791" s="2" t="str">
        <f t="shared" si="11"/>
        <v>Error?</v>
      </c>
    </row>
    <row r="792" spans="1:4" x14ac:dyDescent="0.2">
      <c r="A792" s="5">
        <v>731</v>
      </c>
      <c r="B792" s="138">
        <f>'Expenditures 15-22'!D53</f>
        <v>135976</v>
      </c>
      <c r="C792" s="2" t="s">
        <v>593</v>
      </c>
      <c r="D792" s="2" t="str">
        <f t="shared" si="11"/>
        <v>Error?</v>
      </c>
    </row>
    <row r="793" spans="1:4" x14ac:dyDescent="0.2">
      <c r="A793" s="5">
        <v>732</v>
      </c>
      <c r="B793" s="138">
        <f>'Expenditures 15-22'!D55</f>
        <v>197269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197269</v>
      </c>
      <c r="C795" s="2" t="s">
        <v>593</v>
      </c>
      <c r="D795" s="2" t="str">
        <f t="shared" si="11"/>
        <v>Error?</v>
      </c>
    </row>
    <row r="796" spans="1:4" x14ac:dyDescent="0.2">
      <c r="A796" s="5">
        <v>735</v>
      </c>
      <c r="B796" s="138">
        <f>'Expenditures 15-22'!D59</f>
        <v>26130</v>
      </c>
      <c r="D796" s="2" t="str">
        <f t="shared" si="11"/>
        <v>Error?</v>
      </c>
    </row>
    <row r="797" spans="1:4" x14ac:dyDescent="0.2">
      <c r="A797" s="5">
        <v>736</v>
      </c>
      <c r="B797" s="138">
        <f>'Expenditures 15-22'!D60</f>
        <v>71108</v>
      </c>
      <c r="D797" s="2" t="str">
        <f t="shared" si="11"/>
        <v>Error?</v>
      </c>
    </row>
    <row r="798" spans="1:4" x14ac:dyDescent="0.2">
      <c r="A798" s="5">
        <v>737</v>
      </c>
      <c r="B798" s="138">
        <f>'Expenditures 15-22'!D61</f>
        <v>235361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445</v>
      </c>
      <c r="D800" s="2" t="str">
        <f t="shared" si="11"/>
        <v>Error?</v>
      </c>
    </row>
    <row r="801" spans="1:4" x14ac:dyDescent="0.2">
      <c r="A801" s="5">
        <v>740</v>
      </c>
      <c r="B801" s="138">
        <f>'Expenditures 15-22'!D64</f>
        <v>6869</v>
      </c>
      <c r="D801" s="2" t="str">
        <f t="shared" si="11"/>
        <v>Error?</v>
      </c>
    </row>
    <row r="802" spans="1:4" x14ac:dyDescent="0.2">
      <c r="A802" s="10">
        <v>741</v>
      </c>
      <c r="D802" s="2" t="str">
        <f t="shared" si="11"/>
        <v>OK</v>
      </c>
    </row>
    <row r="803" spans="1:4" x14ac:dyDescent="0.2">
      <c r="A803" s="5">
        <v>742</v>
      </c>
      <c r="B803" s="138">
        <f>'Expenditures 15-22'!D65</f>
        <v>339913</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51182</v>
      </c>
      <c r="D805" s="2" t="str">
        <f t="shared" si="11"/>
        <v>Error?</v>
      </c>
    </row>
    <row r="806" spans="1:4" x14ac:dyDescent="0.2">
      <c r="A806" s="5">
        <v>745</v>
      </c>
      <c r="B806" s="138">
        <f>'Expenditures 15-22'!D69</f>
        <v>22282</v>
      </c>
      <c r="D806" s="2" t="str">
        <f t="shared" si="11"/>
        <v>Error?</v>
      </c>
    </row>
    <row r="807" spans="1:4" x14ac:dyDescent="0.2">
      <c r="A807" s="5">
        <v>746</v>
      </c>
      <c r="B807" s="138">
        <f>'Expenditures 15-22'!D70</f>
        <v>109690</v>
      </c>
      <c r="D807" s="2" t="str">
        <f t="shared" si="11"/>
        <v>Error?</v>
      </c>
    </row>
    <row r="808" spans="1:4" x14ac:dyDescent="0.2">
      <c r="A808" s="10">
        <v>747</v>
      </c>
      <c r="D808" s="2" t="str">
        <f t="shared" si="11"/>
        <v>OK</v>
      </c>
    </row>
    <row r="809" spans="1:4" x14ac:dyDescent="0.2">
      <c r="A809" s="5">
        <v>748</v>
      </c>
      <c r="B809" s="138">
        <f>'Expenditures 15-22'!D71</f>
        <v>39439</v>
      </c>
      <c r="D809" s="2" t="str">
        <f t="shared" si="11"/>
        <v>Error?</v>
      </c>
    </row>
    <row r="810" spans="1:4" x14ac:dyDescent="0.2">
      <c r="A810" s="10">
        <v>749</v>
      </c>
      <c r="D810" s="2" t="str">
        <f t="shared" si="11"/>
        <v>OK</v>
      </c>
    </row>
    <row r="811" spans="1:4" x14ac:dyDescent="0.2">
      <c r="A811" s="5">
        <v>750</v>
      </c>
      <c r="B811" s="138">
        <f>'Expenditures 15-22'!D72</f>
        <v>222593</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2520404</v>
      </c>
      <c r="C813" s="2" t="s">
        <v>593</v>
      </c>
      <c r="D813" s="2" t="str">
        <f t="shared" si="11"/>
        <v>Error?</v>
      </c>
    </row>
    <row r="814" spans="1:4" x14ac:dyDescent="0.2">
      <c r="A814" s="5">
        <v>753</v>
      </c>
      <c r="B814" s="138">
        <f>'Expenditures 15-22'!D75</f>
        <v>45100</v>
      </c>
      <c r="D814" s="2" t="str">
        <f t="shared" si="11"/>
        <v>Error?</v>
      </c>
    </row>
    <row r="815" spans="1:4" x14ac:dyDescent="0.2">
      <c r="A815" s="5">
        <v>754</v>
      </c>
      <c r="B815" s="138">
        <f>'Expenditures 15-22'!D114</f>
        <v>8236687</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361033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3964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76844</v>
      </c>
      <c r="D832" s="2" t="str">
        <f t="shared" si="12"/>
        <v>Error?</v>
      </c>
    </row>
    <row r="833" spans="1:4" x14ac:dyDescent="0.2">
      <c r="A833" s="5">
        <v>772</v>
      </c>
      <c r="B833" s="138">
        <f>'Expenditures 15-22'!E13</f>
        <v>3450</v>
      </c>
      <c r="D833" s="2" t="str">
        <f t="shared" si="12"/>
        <v>Error?</v>
      </c>
    </row>
    <row r="834" spans="1:4" x14ac:dyDescent="0.2">
      <c r="A834" s="5">
        <v>773</v>
      </c>
      <c r="B834" s="138">
        <f>'Expenditures 15-22'!E14</f>
        <v>647818</v>
      </c>
      <c r="D834" s="2" t="str">
        <f t="shared" si="12"/>
        <v>Error?</v>
      </c>
    </row>
    <row r="835" spans="1:4" x14ac:dyDescent="0.2">
      <c r="A835" s="5">
        <v>774</v>
      </c>
      <c r="B835" s="138">
        <f>'Expenditures 15-22'!E15</f>
        <v>7015</v>
      </c>
      <c r="D835" s="2" t="str">
        <f t="shared" si="12"/>
        <v>Error?</v>
      </c>
    </row>
    <row r="836" spans="1:4" x14ac:dyDescent="0.2">
      <c r="A836" s="5">
        <v>775</v>
      </c>
      <c r="B836" s="138">
        <f>'Expenditures 15-22'!E33</f>
        <v>1215192</v>
      </c>
      <c r="C836" s="2" t="s">
        <v>593</v>
      </c>
      <c r="D836" s="2" t="str">
        <f t="shared" si="12"/>
        <v>Error?</v>
      </c>
    </row>
    <row r="837" spans="1:4" x14ac:dyDescent="0.2">
      <c r="A837" s="5">
        <v>776</v>
      </c>
      <c r="B837" s="138">
        <f>'Expenditures 15-22'!E36</f>
        <v>17561</v>
      </c>
      <c r="D837" s="2" t="str">
        <f t="shared" si="12"/>
        <v>Error?</v>
      </c>
    </row>
    <row r="838" spans="1:4" x14ac:dyDescent="0.2">
      <c r="A838" s="5">
        <v>777</v>
      </c>
      <c r="B838" s="138">
        <f>'Expenditures 15-22'!E37</f>
        <v>109357</v>
      </c>
      <c r="D838" s="2" t="str">
        <f t="shared" si="12"/>
        <v>Error?</v>
      </c>
    </row>
    <row r="839" spans="1:4" x14ac:dyDescent="0.2">
      <c r="A839" s="5">
        <v>778</v>
      </c>
      <c r="B839" s="138">
        <f>'Expenditures 15-22'!E38</f>
        <v>79796</v>
      </c>
      <c r="D839" s="2" t="str">
        <f t="shared" si="12"/>
        <v>Error?</v>
      </c>
    </row>
    <row r="840" spans="1:4" x14ac:dyDescent="0.2">
      <c r="A840" s="5">
        <v>779</v>
      </c>
      <c r="B840" s="138">
        <f>'Expenditures 15-22'!E39</f>
        <v>5316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2505</v>
      </c>
      <c r="D842" s="2" t="str">
        <f t="shared" si="12"/>
        <v>Error?</v>
      </c>
    </row>
    <row r="843" spans="1:4" x14ac:dyDescent="0.2">
      <c r="A843" s="5">
        <v>782</v>
      </c>
      <c r="B843" s="138">
        <f>'Expenditures 15-22'!E42</f>
        <v>214535</v>
      </c>
      <c r="C843" s="2" t="s">
        <v>593</v>
      </c>
      <c r="D843" s="2" t="str">
        <f t="shared" si="12"/>
        <v>Error?</v>
      </c>
    </row>
    <row r="844" spans="1:4" x14ac:dyDescent="0.2">
      <c r="A844" s="5">
        <v>783</v>
      </c>
      <c r="B844" s="138">
        <f>'Expenditures 15-22'!E44</f>
        <v>295613</v>
      </c>
      <c r="D844" s="2" t="str">
        <f t="shared" si="12"/>
        <v>Error?</v>
      </c>
    </row>
    <row r="845" spans="1:4" x14ac:dyDescent="0.2">
      <c r="A845" s="5">
        <v>784</v>
      </c>
      <c r="B845" s="138">
        <f>'Expenditures 15-22'!E45</f>
        <v>456990</v>
      </c>
      <c r="D845" s="2" t="str">
        <f t="shared" si="12"/>
        <v>Error?</v>
      </c>
    </row>
    <row r="846" spans="1:4" x14ac:dyDescent="0.2">
      <c r="A846" s="5">
        <v>785</v>
      </c>
      <c r="B846" s="138">
        <f>'Expenditures 15-22'!E46</f>
        <v>38923</v>
      </c>
      <c r="D846" s="2" t="str">
        <f t="shared" si="12"/>
        <v>Error?</v>
      </c>
    </row>
    <row r="847" spans="1:4" x14ac:dyDescent="0.2">
      <c r="A847" s="5">
        <v>786</v>
      </c>
      <c r="B847" s="138">
        <f>'Expenditures 15-22'!E47</f>
        <v>791526</v>
      </c>
      <c r="C847" s="2" t="s">
        <v>593</v>
      </c>
      <c r="D847" s="2" t="str">
        <f t="shared" si="12"/>
        <v>Error?</v>
      </c>
    </row>
    <row r="848" spans="1:4" x14ac:dyDescent="0.2">
      <c r="A848" s="5">
        <v>787</v>
      </c>
      <c r="B848" s="138">
        <f>'Expenditures 15-22'!E49</f>
        <v>1411260</v>
      </c>
      <c r="D848" s="2" t="str">
        <f t="shared" si="12"/>
        <v>Error?</v>
      </c>
    </row>
    <row r="849" spans="1:4" x14ac:dyDescent="0.2">
      <c r="A849" s="5">
        <v>788</v>
      </c>
      <c r="B849" s="138">
        <f>'Expenditures 15-22'!E50</f>
        <v>40687</v>
      </c>
      <c r="D849" s="2" t="str">
        <f t="shared" si="12"/>
        <v>Error?</v>
      </c>
    </row>
    <row r="850" spans="1:4" x14ac:dyDescent="0.2">
      <c r="A850" s="5">
        <v>789</v>
      </c>
      <c r="B850" s="138">
        <f>'Expenditures 15-22'!E53</f>
        <v>1451947</v>
      </c>
      <c r="C850" s="2" t="s">
        <v>593</v>
      </c>
      <c r="D850" s="2" t="str">
        <f t="shared" si="12"/>
        <v>Error?</v>
      </c>
    </row>
    <row r="851" spans="1:4" x14ac:dyDescent="0.2">
      <c r="A851" s="5">
        <v>790</v>
      </c>
      <c r="B851" s="138">
        <f>'Expenditures 15-22'!E55</f>
        <v>90443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90443</v>
      </c>
      <c r="C853" s="2" t="s">
        <v>593</v>
      </c>
      <c r="D853" s="2" t="str">
        <f t="shared" si="12"/>
        <v>Error?</v>
      </c>
    </row>
    <row r="854" spans="1:4" x14ac:dyDescent="0.2">
      <c r="A854" s="5">
        <v>793</v>
      </c>
      <c r="B854" s="138">
        <f>'Expenditures 15-22'!E59</f>
        <v>51288</v>
      </c>
      <c r="D854" s="2" t="str">
        <f t="shared" si="12"/>
        <v>Error?</v>
      </c>
    </row>
    <row r="855" spans="1:4" x14ac:dyDescent="0.2">
      <c r="A855" s="5">
        <v>794</v>
      </c>
      <c r="B855" s="138">
        <f>'Expenditures 15-22'!E60</f>
        <v>138264</v>
      </c>
      <c r="D855" s="2" t="str">
        <f t="shared" si="12"/>
        <v>Error?</v>
      </c>
    </row>
    <row r="856" spans="1:4" x14ac:dyDescent="0.2">
      <c r="A856" s="5">
        <v>795</v>
      </c>
      <c r="B856" s="138">
        <f>'Expenditures 15-22'!E61</f>
        <v>634153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178332</v>
      </c>
      <c r="D858" s="2" t="str">
        <f t="shared" si="12"/>
        <v>Error?</v>
      </c>
    </row>
    <row r="859" spans="1:4" x14ac:dyDescent="0.2">
      <c r="A859" s="5">
        <v>798</v>
      </c>
      <c r="B859" s="138">
        <f>'Expenditures 15-22'!E64</f>
        <v>11660</v>
      </c>
      <c r="D859" s="2" t="str">
        <f t="shared" si="12"/>
        <v>Error?</v>
      </c>
    </row>
    <row r="860" spans="1:4" x14ac:dyDescent="0.2">
      <c r="A860" s="10">
        <v>799</v>
      </c>
      <c r="D860" s="2" t="str">
        <f t="shared" si="12"/>
        <v>OK</v>
      </c>
    </row>
    <row r="861" spans="1:4" x14ac:dyDescent="0.2">
      <c r="A861" s="5">
        <v>800</v>
      </c>
      <c r="B861" s="138">
        <f>'Expenditures 15-22'!E65</f>
        <v>1013697</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184918</v>
      </c>
      <c r="D863" s="2" t="str">
        <f t="shared" si="12"/>
        <v>Error?</v>
      </c>
    </row>
    <row r="864" spans="1:4" x14ac:dyDescent="0.2">
      <c r="A864" s="5">
        <v>803</v>
      </c>
      <c r="B864" s="138">
        <f>'Expenditures 15-22'!E69</f>
        <v>205531</v>
      </c>
      <c r="D864" s="2" t="str">
        <f t="shared" si="12"/>
        <v>Error?</v>
      </c>
    </row>
    <row r="865" spans="1:4" x14ac:dyDescent="0.2">
      <c r="A865" s="5">
        <v>804</v>
      </c>
      <c r="B865" s="138">
        <f>'Expenditures 15-22'!E70</f>
        <v>13794</v>
      </c>
      <c r="D865" s="2" t="str">
        <f t="shared" si="12"/>
        <v>Error?</v>
      </c>
    </row>
    <row r="866" spans="1:4" x14ac:dyDescent="0.2">
      <c r="A866" s="10">
        <v>805</v>
      </c>
      <c r="D866" s="2" t="str">
        <f t="shared" si="12"/>
        <v>OK</v>
      </c>
    </row>
    <row r="867" spans="1:4" x14ac:dyDescent="0.2">
      <c r="A867" s="5">
        <v>806</v>
      </c>
      <c r="B867" s="138">
        <f>'Expenditures 15-22'!E71</f>
        <v>354723</v>
      </c>
      <c r="D867" s="2" t="str">
        <f t="shared" si="12"/>
        <v>Error?</v>
      </c>
    </row>
    <row r="868" spans="1:4" x14ac:dyDescent="0.2">
      <c r="A868" s="10">
        <v>807</v>
      </c>
      <c r="D868" s="2" t="str">
        <f t="shared" si="12"/>
        <v>OK</v>
      </c>
    </row>
    <row r="869" spans="1:4" x14ac:dyDescent="0.2">
      <c r="A869" s="5">
        <v>808</v>
      </c>
      <c r="B869" s="138">
        <f>'Expenditures 15-22'!E72</f>
        <v>758966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4321114</v>
      </c>
      <c r="C871" s="2" t="s">
        <v>593</v>
      </c>
      <c r="D871" s="2" t="str">
        <f t="shared" si="12"/>
        <v>Error?</v>
      </c>
    </row>
    <row r="872" spans="1:4" x14ac:dyDescent="0.2">
      <c r="A872" s="5">
        <v>811</v>
      </c>
      <c r="B872" s="138">
        <f>'Expenditures 15-22'!E75</f>
        <v>1700</v>
      </c>
      <c r="D872" s="2" t="str">
        <f t="shared" si="12"/>
        <v>Error?</v>
      </c>
    </row>
    <row r="873" spans="1:4" x14ac:dyDescent="0.2">
      <c r="A873" s="5">
        <v>812</v>
      </c>
      <c r="B873" s="138">
        <f>'Expenditures 15-22'!E114</f>
        <v>5538006</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703696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4471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8199</v>
      </c>
      <c r="D890" s="2" t="str">
        <f t="shared" si="12"/>
        <v>Error?</v>
      </c>
    </row>
    <row r="891" spans="1:4" x14ac:dyDescent="0.2">
      <c r="A891" s="5">
        <v>830</v>
      </c>
      <c r="B891" s="138">
        <f>'Expenditures 15-22'!F13</f>
        <v>1197</v>
      </c>
      <c r="D891" s="2" t="str">
        <f t="shared" si="12"/>
        <v>Error?</v>
      </c>
    </row>
    <row r="892" spans="1:4" x14ac:dyDescent="0.2">
      <c r="A892" s="5">
        <v>831</v>
      </c>
      <c r="B892" s="138">
        <f>'Expenditures 15-22'!F14</f>
        <v>311380</v>
      </c>
      <c r="D892" s="2" t="str">
        <f t="shared" si="12"/>
        <v>Error?</v>
      </c>
    </row>
    <row r="893" spans="1:4" x14ac:dyDescent="0.2">
      <c r="A893" s="5">
        <v>832</v>
      </c>
      <c r="B893" s="138">
        <f>'Expenditures 15-22'!F15</f>
        <v>31850</v>
      </c>
      <c r="D893" s="2" t="str">
        <f t="shared" si="12"/>
        <v>Error?</v>
      </c>
    </row>
    <row r="894" spans="1:4" x14ac:dyDescent="0.2">
      <c r="A894" s="5">
        <v>833</v>
      </c>
      <c r="B894" s="138">
        <f>'Expenditures 15-22'!F33</f>
        <v>1113144</v>
      </c>
      <c r="C894" s="2" t="s">
        <v>593</v>
      </c>
      <c r="D894" s="2" t="str">
        <f t="shared" si="12"/>
        <v>Error?</v>
      </c>
    </row>
    <row r="895" spans="1:4" x14ac:dyDescent="0.2">
      <c r="A895" s="5">
        <v>834</v>
      </c>
      <c r="B895" s="138">
        <f>'Expenditures 15-22'!F36</f>
        <v>12109</v>
      </c>
      <c r="D895" s="2" t="str">
        <f t="shared" ref="D895:D958" si="13">IF(ISBLANK(B895),"OK",IF(A895-B895=0,"OK","Error?"))</f>
        <v>Error?</v>
      </c>
    </row>
    <row r="896" spans="1:4" x14ac:dyDescent="0.2">
      <c r="A896" s="5">
        <v>835</v>
      </c>
      <c r="B896" s="138">
        <f>'Expenditures 15-22'!F37</f>
        <v>71465</v>
      </c>
      <c r="D896" s="2" t="str">
        <f t="shared" si="13"/>
        <v>Error?</v>
      </c>
    </row>
    <row r="897" spans="1:4" x14ac:dyDescent="0.2">
      <c r="A897" s="5">
        <v>836</v>
      </c>
      <c r="B897" s="138">
        <f>'Expenditures 15-22'!F38</f>
        <v>12723</v>
      </c>
      <c r="D897" s="2" t="str">
        <f t="shared" si="13"/>
        <v>Error?</v>
      </c>
    </row>
    <row r="898" spans="1:4" x14ac:dyDescent="0.2">
      <c r="A898" s="5">
        <v>837</v>
      </c>
      <c r="B898" s="138">
        <f>'Expenditures 15-22'!F39</f>
        <v>1361</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44502</v>
      </c>
      <c r="D900" s="2" t="str">
        <f t="shared" si="13"/>
        <v>Error?</v>
      </c>
    </row>
    <row r="901" spans="1:4" x14ac:dyDescent="0.2">
      <c r="A901" s="5">
        <v>840</v>
      </c>
      <c r="B901" s="138">
        <f>'Expenditures 15-22'!F42</f>
        <v>142160</v>
      </c>
      <c r="C901" s="2" t="s">
        <v>593</v>
      </c>
      <c r="D901" s="2" t="str">
        <f t="shared" si="13"/>
        <v>Error?</v>
      </c>
    </row>
    <row r="902" spans="1:4" x14ac:dyDescent="0.2">
      <c r="A902" s="5">
        <v>841</v>
      </c>
      <c r="B902" s="138">
        <f>'Expenditures 15-22'!F44</f>
        <v>64793</v>
      </c>
      <c r="D902" s="2" t="str">
        <f t="shared" si="13"/>
        <v>Error?</v>
      </c>
    </row>
    <row r="903" spans="1:4" x14ac:dyDescent="0.2">
      <c r="A903" s="5">
        <v>842</v>
      </c>
      <c r="B903" s="138">
        <f>'Expenditures 15-22'!F45</f>
        <v>54275</v>
      </c>
      <c r="D903" s="2" t="str">
        <f t="shared" si="13"/>
        <v>Error?</v>
      </c>
    </row>
    <row r="904" spans="1:4" x14ac:dyDescent="0.2">
      <c r="A904" s="5">
        <v>843</v>
      </c>
      <c r="B904" s="138">
        <f>'Expenditures 15-22'!F46</f>
        <v>117061</v>
      </c>
      <c r="D904" s="2" t="str">
        <f t="shared" si="13"/>
        <v>Error?</v>
      </c>
    </row>
    <row r="905" spans="1:4" x14ac:dyDescent="0.2">
      <c r="A905" s="5">
        <v>844</v>
      </c>
      <c r="B905" s="138">
        <f>'Expenditures 15-22'!F47</f>
        <v>236129</v>
      </c>
      <c r="C905" s="2" t="s">
        <v>593</v>
      </c>
      <c r="D905" s="2" t="str">
        <f t="shared" si="13"/>
        <v>Error?</v>
      </c>
    </row>
    <row r="906" spans="1:4" x14ac:dyDescent="0.2">
      <c r="A906" s="5">
        <v>845</v>
      </c>
      <c r="B906" s="138">
        <f>'Expenditures 15-22'!F49</f>
        <v>27198</v>
      </c>
      <c r="D906" s="2" t="str">
        <f t="shared" si="13"/>
        <v>Error?</v>
      </c>
    </row>
    <row r="907" spans="1:4" x14ac:dyDescent="0.2">
      <c r="A907" s="5">
        <v>846</v>
      </c>
      <c r="B907" s="138">
        <f>'Expenditures 15-22'!F50</f>
        <v>13145</v>
      </c>
      <c r="D907" s="2" t="str">
        <f t="shared" si="13"/>
        <v>Error?</v>
      </c>
    </row>
    <row r="908" spans="1:4" x14ac:dyDescent="0.2">
      <c r="A908" s="5">
        <v>847</v>
      </c>
      <c r="B908" s="138">
        <f>'Expenditures 15-22'!F53</f>
        <v>40361</v>
      </c>
      <c r="C908" s="2" t="s">
        <v>593</v>
      </c>
      <c r="D908" s="2" t="str">
        <f t="shared" si="13"/>
        <v>Error?</v>
      </c>
    </row>
    <row r="909" spans="1:4" x14ac:dyDescent="0.2">
      <c r="A909" s="5">
        <v>848</v>
      </c>
      <c r="B909" s="138">
        <f>'Expenditures 15-22'!F55</f>
        <v>103166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103166</v>
      </c>
      <c r="C911" s="2" t="s">
        <v>593</v>
      </c>
      <c r="D911" s="2" t="str">
        <f t="shared" si="13"/>
        <v>Error?</v>
      </c>
    </row>
    <row r="912" spans="1:4" x14ac:dyDescent="0.2">
      <c r="A912" s="5">
        <v>851</v>
      </c>
      <c r="B912" s="138">
        <f>'Expenditures 15-22'!F59</f>
        <v>5186</v>
      </c>
      <c r="D912" s="2" t="str">
        <f t="shared" si="13"/>
        <v>Error?</v>
      </c>
    </row>
    <row r="913" spans="1:4" x14ac:dyDescent="0.2">
      <c r="A913" s="5">
        <v>852</v>
      </c>
      <c r="B913" s="138">
        <f>'Expenditures 15-22'!F60</f>
        <v>5990</v>
      </c>
      <c r="D913" s="2" t="str">
        <f t="shared" si="13"/>
        <v>Error?</v>
      </c>
    </row>
    <row r="914" spans="1:4" x14ac:dyDescent="0.2">
      <c r="A914" s="5">
        <v>853</v>
      </c>
      <c r="B914" s="138">
        <f>'Expenditures 15-22'!F61</f>
        <v>1903912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65956</v>
      </c>
      <c r="D917" s="2" t="str">
        <f t="shared" si="13"/>
        <v>Error?</v>
      </c>
    </row>
    <row r="918" spans="1:4" x14ac:dyDescent="0.2">
      <c r="A918" s="10">
        <v>857</v>
      </c>
      <c r="D918" s="2" t="str">
        <f t="shared" si="13"/>
        <v>OK</v>
      </c>
    </row>
    <row r="919" spans="1:4" x14ac:dyDescent="0.2">
      <c r="A919" s="5">
        <v>858</v>
      </c>
      <c r="B919" s="138">
        <f>'Expenditures 15-22'!F65</f>
        <v>1981044</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17597</v>
      </c>
      <c r="D921" s="2" t="str">
        <f t="shared" si="13"/>
        <v>Error?</v>
      </c>
    </row>
    <row r="922" spans="1:4" x14ac:dyDescent="0.2">
      <c r="A922" s="5">
        <v>861</v>
      </c>
      <c r="B922" s="138">
        <f>'Expenditures 15-22'!F69</f>
        <v>6854</v>
      </c>
      <c r="D922" s="2" t="str">
        <f t="shared" si="13"/>
        <v>Error?</v>
      </c>
    </row>
    <row r="923" spans="1:4" x14ac:dyDescent="0.2">
      <c r="A923" s="5">
        <v>862</v>
      </c>
      <c r="B923" s="138">
        <f>'Expenditures 15-22'!F70</f>
        <v>7616</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32067</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2534927</v>
      </c>
      <c r="C929" s="2" t="s">
        <v>593</v>
      </c>
      <c r="D929" s="2" t="str">
        <f t="shared" si="13"/>
        <v>Error?</v>
      </c>
    </row>
    <row r="930" spans="1:4" x14ac:dyDescent="0.2">
      <c r="A930" s="5">
        <v>869</v>
      </c>
      <c r="B930" s="138">
        <f>'Expenditures 15-22'!F75</f>
        <v>17745</v>
      </c>
      <c r="D930" s="2" t="str">
        <f t="shared" si="13"/>
        <v>Error?</v>
      </c>
    </row>
    <row r="931" spans="1:4" x14ac:dyDescent="0.2">
      <c r="A931" s="5">
        <v>870</v>
      </c>
      <c r="B931" s="138">
        <f>'Expenditures 15-22'!F114</f>
        <v>3665816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193483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15378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232635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3323</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3323</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1673093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1673093</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26096</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26096</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9636</v>
      </c>
      <c r="D971" s="2" t="str">
        <f t="shared" si="14"/>
        <v>Error?</v>
      </c>
    </row>
    <row r="972" spans="1:4" x14ac:dyDescent="0.2">
      <c r="A972" s="5">
        <v>911</v>
      </c>
      <c r="B972" s="138">
        <f>'Expenditures 15-22'!G61</f>
        <v>697498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707134</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226239</v>
      </c>
      <c r="D979" s="2" t="str">
        <f t="shared" si="14"/>
        <v>Error?</v>
      </c>
    </row>
    <row r="980" spans="1:4" x14ac:dyDescent="0.2">
      <c r="A980" s="5">
        <v>919</v>
      </c>
      <c r="B980" s="138">
        <f>'Expenditures 15-22'!G69</f>
        <v>119</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74372</v>
      </c>
      <c r="D983" s="2" t="str">
        <f t="shared" si="14"/>
        <v>Error?</v>
      </c>
    </row>
    <row r="984" spans="1:4" x14ac:dyDescent="0.2">
      <c r="A984" s="10">
        <v>923</v>
      </c>
      <c r="D984" s="2" t="str">
        <f t="shared" si="14"/>
        <v>OK</v>
      </c>
    </row>
    <row r="985" spans="1:4" x14ac:dyDescent="0.2">
      <c r="A985" s="5">
        <v>924</v>
      </c>
      <c r="B985" s="138">
        <f>'Expenditures 15-22'!G72</f>
        <v>300730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2710376</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2943011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8559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435</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120077</v>
      </c>
      <c r="D1008" s="2" t="str">
        <f t="shared" si="14"/>
        <v>Error?</v>
      </c>
    </row>
    <row r="1009" spans="1:4" x14ac:dyDescent="0.2">
      <c r="A1009" s="5">
        <v>948</v>
      </c>
      <c r="B1009" s="138">
        <f>'Expenditures 15-22'!H15</f>
        <v>6405</v>
      </c>
      <c r="D1009" s="2" t="str">
        <f t="shared" si="14"/>
        <v>Error?</v>
      </c>
    </row>
    <row r="1010" spans="1:4" x14ac:dyDescent="0.2">
      <c r="A1010" s="5">
        <v>949</v>
      </c>
      <c r="B1010" s="138">
        <f>'Expenditures 15-22'!H33</f>
        <v>3362825</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3175</v>
      </c>
      <c r="D1012" s="2" t="str">
        <f t="shared" si="14"/>
        <v>Error?</v>
      </c>
    </row>
    <row r="1013" spans="1:4" x14ac:dyDescent="0.2">
      <c r="A1013" s="5">
        <v>952</v>
      </c>
      <c r="B1013" s="138">
        <f>'Expenditures 15-22'!H38</f>
        <v>432</v>
      </c>
      <c r="D1013" s="2" t="str">
        <f t="shared" si="14"/>
        <v>Error?</v>
      </c>
    </row>
    <row r="1014" spans="1:4" x14ac:dyDescent="0.2">
      <c r="A1014" s="5">
        <v>953</v>
      </c>
      <c r="B1014" s="138">
        <f>'Expenditures 15-22'!H39</f>
        <v>840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4447</v>
      </c>
      <c r="C1017" s="2" t="s">
        <v>593</v>
      </c>
      <c r="D1017" s="2" t="str">
        <f t="shared" si="14"/>
        <v>Error?</v>
      </c>
    </row>
    <row r="1018" spans="1:4" x14ac:dyDescent="0.2">
      <c r="A1018" s="5">
        <v>957</v>
      </c>
      <c r="B1018" s="138">
        <f>'Expenditures 15-22'!H44</f>
        <v>8615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140</v>
      </c>
      <c r="D1020" s="2" t="str">
        <f t="shared" si="14"/>
        <v>Error?</v>
      </c>
    </row>
    <row r="1021" spans="1:4" x14ac:dyDescent="0.2">
      <c r="A1021" s="5">
        <v>960</v>
      </c>
      <c r="B1021" s="138">
        <f>'Expenditures 15-22'!H47</f>
        <v>8755</v>
      </c>
      <c r="C1021" s="2" t="s">
        <v>593</v>
      </c>
      <c r="D1021" s="2" t="str">
        <f t="shared" si="14"/>
        <v>Error?</v>
      </c>
    </row>
    <row r="1022" spans="1:4" x14ac:dyDescent="0.2">
      <c r="A1022" s="5">
        <v>961</v>
      </c>
      <c r="B1022" s="138">
        <f>'Expenditures 15-22'!H49</f>
        <v>128689</v>
      </c>
      <c r="D1022" s="2" t="str">
        <f t="shared" si="14"/>
        <v>Error?</v>
      </c>
    </row>
    <row r="1023" spans="1:4" x14ac:dyDescent="0.2">
      <c r="A1023" s="5">
        <v>962</v>
      </c>
      <c r="B1023" s="138">
        <f>'Expenditures 15-22'!H50</f>
        <v>19504</v>
      </c>
      <c r="D1023" s="2" t="str">
        <f t="shared" ref="D1023:D1086" si="15">IF(ISBLANK(B1023),"OK",IF(A1023-B1023=0,"OK","Error?"))</f>
        <v>Error?</v>
      </c>
    </row>
    <row r="1024" spans="1:4" x14ac:dyDescent="0.2">
      <c r="A1024" s="5">
        <v>963</v>
      </c>
      <c r="B1024" s="138">
        <f>'Expenditures 15-22'!H53</f>
        <v>148193</v>
      </c>
      <c r="C1024" s="2" t="s">
        <v>593</v>
      </c>
      <c r="D1024" s="2" t="str">
        <f t="shared" si="15"/>
        <v>Error?</v>
      </c>
    </row>
    <row r="1025" spans="1:4" x14ac:dyDescent="0.2">
      <c r="A1025" s="5">
        <v>964</v>
      </c>
      <c r="B1025" s="138">
        <f>'Expenditures 15-22'!H55</f>
        <v>6380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6380</v>
      </c>
      <c r="C1027" s="2" t="s">
        <v>593</v>
      </c>
      <c r="D1027" s="2" t="str">
        <f t="shared" si="15"/>
        <v>Error?</v>
      </c>
    </row>
    <row r="1028" spans="1:4" x14ac:dyDescent="0.2">
      <c r="A1028" s="5">
        <v>967</v>
      </c>
      <c r="B1028" s="138">
        <f>'Expenditures 15-22'!H59</f>
        <v>4475</v>
      </c>
      <c r="D1028" s="2" t="str">
        <f t="shared" si="15"/>
        <v>Error?</v>
      </c>
    </row>
    <row r="1029" spans="1:4" x14ac:dyDescent="0.2">
      <c r="A1029" s="5">
        <v>968</v>
      </c>
      <c r="B1029" s="138">
        <f>'Expenditures 15-22'!H60</f>
        <v>172445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176920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750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750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345445</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1504294</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5212564</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37803102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273846</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567058</v>
      </c>
      <c r="C1104" s="2" t="s">
        <v>593</v>
      </c>
      <c r="D1104" s="2" t="str">
        <f t="shared" si="16"/>
        <v>Error?</v>
      </c>
    </row>
    <row r="1105" spans="1:4" x14ac:dyDescent="0.2">
      <c r="A1105" s="5">
        <v>1044</v>
      </c>
      <c r="B1105" s="138">
        <f>'Expenditures 15-22'!K13</f>
        <v>4647</v>
      </c>
      <c r="C1105" s="2" t="s">
        <v>593</v>
      </c>
      <c r="D1105" s="2" t="str">
        <f t="shared" si="16"/>
        <v>Error?</v>
      </c>
    </row>
    <row r="1106" spans="1:4" x14ac:dyDescent="0.2">
      <c r="A1106" s="5">
        <v>1045</v>
      </c>
      <c r="B1106" s="138">
        <f>'Expenditures 15-22'!K14</f>
        <v>6718798</v>
      </c>
      <c r="C1106" s="2" t="s">
        <v>593</v>
      </c>
      <c r="D1106" s="2" t="str">
        <f t="shared" si="16"/>
        <v>Error?</v>
      </c>
    </row>
    <row r="1107" spans="1:4" x14ac:dyDescent="0.2">
      <c r="A1107" s="5">
        <v>1046</v>
      </c>
      <c r="B1107" s="138">
        <f>'Expenditures 15-22'!K15</f>
        <v>559732</v>
      </c>
      <c r="C1107" s="2" t="s">
        <v>593</v>
      </c>
      <c r="D1107" s="2" t="str">
        <f t="shared" si="16"/>
        <v>Error?</v>
      </c>
    </row>
    <row r="1108" spans="1:4" x14ac:dyDescent="0.2">
      <c r="A1108" s="5">
        <v>1047</v>
      </c>
      <c r="B1108" s="138">
        <f>'Expenditures 15-22'!K33</f>
        <v>57848442</v>
      </c>
      <c r="C1108" s="2" t="s">
        <v>593</v>
      </c>
      <c r="D1108" s="2" t="str">
        <f t="shared" si="16"/>
        <v>Error?</v>
      </c>
    </row>
    <row r="1109" spans="1:4" x14ac:dyDescent="0.2">
      <c r="A1109" s="5">
        <v>1048</v>
      </c>
      <c r="B1109" s="138">
        <f>'Expenditures 15-22'!K36</f>
        <v>1520594</v>
      </c>
      <c r="C1109" s="2" t="s">
        <v>593</v>
      </c>
      <c r="D1109" s="2" t="str">
        <f t="shared" si="16"/>
        <v>Error?</v>
      </c>
    </row>
    <row r="1110" spans="1:4" x14ac:dyDescent="0.2">
      <c r="A1110" s="5">
        <v>1049</v>
      </c>
      <c r="B1110" s="138">
        <f>'Expenditures 15-22'!K37</f>
        <v>8348821</v>
      </c>
      <c r="C1110" s="2" t="s">
        <v>593</v>
      </c>
      <c r="D1110" s="2" t="str">
        <f t="shared" si="16"/>
        <v>Error?</v>
      </c>
    </row>
    <row r="1111" spans="1:4" x14ac:dyDescent="0.2">
      <c r="A1111" s="5">
        <v>1050</v>
      </c>
      <c r="B1111" s="138">
        <f>'Expenditures 15-22'!K38</f>
        <v>642880</v>
      </c>
      <c r="C1111" s="2" t="s">
        <v>593</v>
      </c>
      <c r="D1111" s="2" t="str">
        <f t="shared" si="16"/>
        <v>Error?</v>
      </c>
    </row>
    <row r="1112" spans="1:4" x14ac:dyDescent="0.2">
      <c r="A1112" s="5">
        <v>1051</v>
      </c>
      <c r="B1112" s="138">
        <f>'Expenditures 15-22'!K39</f>
        <v>536225</v>
      </c>
      <c r="C1112" s="2" t="s">
        <v>593</v>
      </c>
      <c r="D1112" s="2" t="str">
        <f t="shared" si="16"/>
        <v>Error?</v>
      </c>
    </row>
    <row r="1113" spans="1:4" x14ac:dyDescent="0.2">
      <c r="A1113" s="5">
        <v>1052</v>
      </c>
      <c r="B1113" s="138">
        <f>'Expenditures 15-22'!K40</f>
        <v>392679</v>
      </c>
      <c r="C1113" s="2" t="s">
        <v>593</v>
      </c>
      <c r="D1113" s="2" t="str">
        <f t="shared" si="16"/>
        <v>Error?</v>
      </c>
    </row>
    <row r="1114" spans="1:4" x14ac:dyDescent="0.2">
      <c r="A1114" s="5">
        <v>1053</v>
      </c>
      <c r="B1114" s="138">
        <f>'Expenditures 15-22'!K41</f>
        <v>189247</v>
      </c>
      <c r="C1114" s="2" t="s">
        <v>593</v>
      </c>
      <c r="D1114" s="2" t="str">
        <f t="shared" si="16"/>
        <v>Error?</v>
      </c>
    </row>
    <row r="1115" spans="1:4" x14ac:dyDescent="0.2">
      <c r="A1115" s="5">
        <v>1054</v>
      </c>
      <c r="B1115" s="138">
        <f>'Expenditures 15-22'!K42</f>
        <v>11630446</v>
      </c>
      <c r="C1115" s="2" t="s">
        <v>593</v>
      </c>
      <c r="D1115" s="2" t="str">
        <f t="shared" si="16"/>
        <v>Error?</v>
      </c>
    </row>
    <row r="1116" spans="1:4" x14ac:dyDescent="0.2">
      <c r="A1116" s="5">
        <v>1055</v>
      </c>
      <c r="B1116" s="138">
        <f>'Expenditures 15-22'!K44</f>
        <v>937915</v>
      </c>
      <c r="C1116" s="2" t="s">
        <v>593</v>
      </c>
      <c r="D1116" s="2" t="str">
        <f t="shared" si="16"/>
        <v>Error?</v>
      </c>
    </row>
    <row r="1117" spans="1:4" x14ac:dyDescent="0.2">
      <c r="A1117" s="5">
        <v>1056</v>
      </c>
      <c r="B1117" s="138">
        <f>'Expenditures 15-22'!K45</f>
        <v>4113571</v>
      </c>
      <c r="C1117" s="2" t="s">
        <v>593</v>
      </c>
      <c r="D1117" s="2" t="str">
        <f t="shared" si="16"/>
        <v>Error?</v>
      </c>
    </row>
    <row r="1118" spans="1:4" x14ac:dyDescent="0.2">
      <c r="A1118" s="5">
        <v>1057</v>
      </c>
      <c r="B1118" s="138">
        <f>'Expenditures 15-22'!K46</f>
        <v>359710</v>
      </c>
      <c r="C1118" s="2" t="s">
        <v>593</v>
      </c>
      <c r="D1118" s="2" t="str">
        <f t="shared" si="16"/>
        <v>Error?</v>
      </c>
    </row>
    <row r="1119" spans="1:4" x14ac:dyDescent="0.2">
      <c r="A1119" s="5">
        <v>1058</v>
      </c>
      <c r="B1119" s="138">
        <f>'Expenditures 15-22'!K47</f>
        <v>5411196</v>
      </c>
      <c r="C1119" s="2" t="s">
        <v>593</v>
      </c>
      <c r="D1119" s="2" t="str">
        <f t="shared" si="16"/>
        <v>Error?</v>
      </c>
    </row>
    <row r="1120" spans="1:4" x14ac:dyDescent="0.2">
      <c r="A1120" s="5">
        <v>1059</v>
      </c>
      <c r="B1120" s="138">
        <f>'Expenditures 15-22'!K49</f>
        <v>1567750</v>
      </c>
      <c r="C1120" s="2" t="s">
        <v>593</v>
      </c>
      <c r="D1120" s="2" t="str">
        <f t="shared" si="16"/>
        <v>Error?</v>
      </c>
    </row>
    <row r="1121" spans="1:4" x14ac:dyDescent="0.2">
      <c r="A1121" s="5">
        <v>1060</v>
      </c>
      <c r="B1121" s="138">
        <f>'Expenditures 15-22'!K50</f>
        <v>552643</v>
      </c>
      <c r="C1121" s="2" t="s">
        <v>593</v>
      </c>
      <c r="D1121" s="2" t="str">
        <f t="shared" si="16"/>
        <v>Error?</v>
      </c>
    </row>
    <row r="1122" spans="1:4" x14ac:dyDescent="0.2">
      <c r="A1122" s="5">
        <v>1061</v>
      </c>
      <c r="B1122" s="138">
        <f>'Expenditures 15-22'!K53</f>
        <v>2120411</v>
      </c>
      <c r="C1122" s="2" t="s">
        <v>593</v>
      </c>
      <c r="D1122" s="2" t="str">
        <f t="shared" si="16"/>
        <v>Error?</v>
      </c>
    </row>
    <row r="1123" spans="1:4" x14ac:dyDescent="0.2">
      <c r="A1123" s="5">
        <v>1062</v>
      </c>
      <c r="B1123" s="138">
        <f>'Expenditures 15-22'!K55</f>
        <v>1668513</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1668513</v>
      </c>
      <c r="C1125" s="2" t="s">
        <v>593</v>
      </c>
      <c r="D1125" s="2" t="str">
        <f t="shared" si="16"/>
        <v>Error?</v>
      </c>
    </row>
    <row r="1126" spans="1:4" x14ac:dyDescent="0.2">
      <c r="A1126" s="5">
        <v>1065</v>
      </c>
      <c r="B1126" s="138">
        <f>'Expenditures 15-22'!K59</f>
        <v>338659</v>
      </c>
      <c r="C1126" s="2" t="s">
        <v>593</v>
      </c>
      <c r="D1126" s="2" t="str">
        <f t="shared" si="16"/>
        <v>Error?</v>
      </c>
    </row>
    <row r="1127" spans="1:4" x14ac:dyDescent="0.2">
      <c r="A1127" s="5">
        <v>1066</v>
      </c>
      <c r="B1127" s="138">
        <f>'Expenditures 15-22'!K60</f>
        <v>884339</v>
      </c>
      <c r="C1127" s="2" t="s">
        <v>593</v>
      </c>
      <c r="D1127" s="2" t="str">
        <f t="shared" si="16"/>
        <v>Error?</v>
      </c>
    </row>
    <row r="1128" spans="1:4" x14ac:dyDescent="0.2">
      <c r="A1128" s="5">
        <v>1067</v>
      </c>
      <c r="B1128" s="138">
        <f>'Expenditures 15-22'!K61</f>
        <v>4597833</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229552</v>
      </c>
      <c r="C1130" s="2" t="s">
        <v>593</v>
      </c>
      <c r="D1130" s="2" t="str">
        <f t="shared" si="16"/>
        <v>Error?</v>
      </c>
    </row>
    <row r="1131" spans="1:4" x14ac:dyDescent="0.2">
      <c r="A1131" s="5">
        <v>1070</v>
      </c>
      <c r="B1131" s="138">
        <f>'Expenditures 15-22'!K64</f>
        <v>124820</v>
      </c>
      <c r="C1131" s="2" t="s">
        <v>593</v>
      </c>
      <c r="D1131" s="2" t="str">
        <f t="shared" si="16"/>
        <v>Error?</v>
      </c>
    </row>
    <row r="1132" spans="1:4" x14ac:dyDescent="0.2">
      <c r="A1132" s="10">
        <v>1071</v>
      </c>
      <c r="D1132" s="2" t="str">
        <f t="shared" si="16"/>
        <v>OK</v>
      </c>
    </row>
    <row r="1133" spans="1:4" x14ac:dyDescent="0.2">
      <c r="A1133" s="5">
        <v>1072</v>
      </c>
      <c r="B1133" s="138">
        <f>'Expenditures 15-22'!K65</f>
        <v>6175203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726174</v>
      </c>
      <c r="C1135" s="2" t="s">
        <v>593</v>
      </c>
      <c r="D1135" s="2" t="str">
        <f t="shared" si="16"/>
        <v>Error?</v>
      </c>
    </row>
    <row r="1136" spans="1:4" x14ac:dyDescent="0.2">
      <c r="A1136" s="5">
        <v>1075</v>
      </c>
      <c r="B1136" s="138">
        <f>'Expenditures 15-22'!K69</f>
        <v>424443</v>
      </c>
      <c r="C1136" s="2" t="s">
        <v>593</v>
      </c>
      <c r="D1136" s="2" t="str">
        <f t="shared" si="16"/>
        <v>Error?</v>
      </c>
    </row>
    <row r="1137" spans="1:4" x14ac:dyDescent="0.2">
      <c r="A1137" s="5">
        <v>1076</v>
      </c>
      <c r="B1137" s="138">
        <f>'Expenditures 15-22'!K70</f>
        <v>638080</v>
      </c>
      <c r="C1137" s="2" t="s">
        <v>593</v>
      </c>
      <c r="D1137" s="2" t="str">
        <f t="shared" si="16"/>
        <v>Error?</v>
      </c>
    </row>
    <row r="1138" spans="1:4" x14ac:dyDescent="0.2">
      <c r="A1138" s="10">
        <v>1077</v>
      </c>
      <c r="D1138" s="2" t="str">
        <f t="shared" si="16"/>
        <v>OK</v>
      </c>
    </row>
    <row r="1139" spans="1:4" x14ac:dyDescent="0.2">
      <c r="A1139" s="5">
        <v>1078</v>
      </c>
      <c r="B1139" s="138">
        <f>'Expenditures 15-22'!K71</f>
        <v>724008</v>
      </c>
      <c r="C1139" s="2" t="s">
        <v>593</v>
      </c>
      <c r="D1139" s="2" t="str">
        <f t="shared" si="16"/>
        <v>Error?</v>
      </c>
    </row>
    <row r="1140" spans="1:4" x14ac:dyDescent="0.2">
      <c r="A1140" s="10">
        <v>1079</v>
      </c>
      <c r="D1140" s="2" t="str">
        <f t="shared" si="16"/>
        <v>OK</v>
      </c>
    </row>
    <row r="1141" spans="1:4" x14ac:dyDescent="0.2">
      <c r="A1141" s="5">
        <v>1080</v>
      </c>
      <c r="B1141" s="138">
        <f>'Expenditures 15-22'!K72</f>
        <v>2512705</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29518474</v>
      </c>
      <c r="C1143" s="2" t="s">
        <v>593</v>
      </c>
      <c r="D1143" s="2" t="str">
        <f t="shared" si="16"/>
        <v>Error?</v>
      </c>
    </row>
    <row r="1144" spans="1:4" x14ac:dyDescent="0.2">
      <c r="A1144" s="5">
        <v>1083</v>
      </c>
      <c r="B1144" s="138">
        <f>'Expenditures 15-22'!K75</f>
        <v>277537</v>
      </c>
      <c r="C1144" s="2" t="s">
        <v>593</v>
      </c>
      <c r="D1144" s="2" t="str">
        <f t="shared" si="16"/>
        <v>Error?</v>
      </c>
    </row>
    <row r="1145" spans="1:4" x14ac:dyDescent="0.2">
      <c r="A1145" s="5">
        <v>1084</v>
      </c>
      <c r="B1145" s="138">
        <f>'Expenditures 15-22'!K102</f>
        <v>1504294</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89148747</v>
      </c>
      <c r="C1152" s="2" t="s">
        <v>593</v>
      </c>
      <c r="D1152" s="2" t="str">
        <f t="shared" si="17"/>
        <v>Error?</v>
      </c>
    </row>
    <row r="1153" spans="1:4" x14ac:dyDescent="0.2">
      <c r="A1153" s="5">
        <v>1092</v>
      </c>
      <c r="B1153" s="138">
        <f>'Expenditures 15-22'!K115</f>
        <v>3494606</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4136231</v>
      </c>
      <c r="D1221" s="2" t="str">
        <f t="shared" si="18"/>
        <v>Error?</v>
      </c>
    </row>
    <row r="1222" spans="1:4" x14ac:dyDescent="0.2">
      <c r="A1222" s="10">
        <v>1161</v>
      </c>
      <c r="D1222" s="2" t="str">
        <f t="shared" si="18"/>
        <v>OK</v>
      </c>
    </row>
    <row r="1223" spans="1:4" x14ac:dyDescent="0.2">
      <c r="A1223" s="5">
        <v>1162</v>
      </c>
      <c r="B1223" s="138">
        <f>'Expenditures 15-22'!C127</f>
        <v>4136231</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4136231</v>
      </c>
      <c r="C1225" s="2" t="s">
        <v>593</v>
      </c>
      <c r="D1225" s="2" t="str">
        <f t="shared" si="18"/>
        <v>Error?</v>
      </c>
    </row>
    <row r="1226" spans="1:4" x14ac:dyDescent="0.2">
      <c r="A1226" s="5">
        <v>1165</v>
      </c>
      <c r="B1226" s="138">
        <f>'Expenditures 15-22'!C151</f>
        <v>4235058</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812469</v>
      </c>
      <c r="D1229" s="2" t="str">
        <f t="shared" si="18"/>
        <v>Error?</v>
      </c>
    </row>
    <row r="1230" spans="1:4" x14ac:dyDescent="0.2">
      <c r="A1230" s="10">
        <v>1169</v>
      </c>
      <c r="D1230" s="2" t="str">
        <f t="shared" si="18"/>
        <v>OK</v>
      </c>
    </row>
    <row r="1231" spans="1:4" x14ac:dyDescent="0.2">
      <c r="A1231" s="5">
        <v>1170</v>
      </c>
      <c r="B1231" s="138">
        <f>'Expenditures 15-22'!D127</f>
        <v>812469</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812469</v>
      </c>
      <c r="C1233" s="2" t="s">
        <v>593</v>
      </c>
      <c r="D1233" s="2" t="str">
        <f t="shared" si="18"/>
        <v>Error?</v>
      </c>
    </row>
    <row r="1234" spans="1:4" x14ac:dyDescent="0.2">
      <c r="A1234" s="5">
        <v>1173</v>
      </c>
      <c r="B1234" s="138">
        <f>'Expenditures 15-22'!D151</f>
        <v>812469</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112798</v>
      </c>
      <c r="D1236" s="2" t="str">
        <f t="shared" si="18"/>
        <v>Error?</v>
      </c>
    </row>
    <row r="1237" spans="1:4" x14ac:dyDescent="0.2">
      <c r="A1237" s="5">
        <v>1176</v>
      </c>
      <c r="B1237" s="138">
        <f>'Expenditures 15-22'!E124</f>
        <v>1169062</v>
      </c>
      <c r="D1237" s="2" t="str">
        <f t="shared" si="18"/>
        <v>Error?</v>
      </c>
    </row>
    <row r="1238" spans="1:4" x14ac:dyDescent="0.2">
      <c r="A1238" s="10">
        <v>1177</v>
      </c>
      <c r="D1238" s="2" t="str">
        <f t="shared" si="18"/>
        <v>OK</v>
      </c>
    </row>
    <row r="1239" spans="1:4" x14ac:dyDescent="0.2">
      <c r="A1239" s="5">
        <v>1178</v>
      </c>
      <c r="B1239" s="138">
        <f>'Expenditures 15-22'!E127</f>
        <v>1281860</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1281860</v>
      </c>
      <c r="C1241" s="2" t="s">
        <v>593</v>
      </c>
      <c r="D1241" s="2" t="str">
        <f t="shared" si="18"/>
        <v>Error?</v>
      </c>
    </row>
    <row r="1242" spans="1:4" x14ac:dyDescent="0.2">
      <c r="A1242" s="5">
        <v>1181</v>
      </c>
      <c r="B1242" s="138">
        <f>'Expenditures 15-22'!E151</f>
        <v>1281860</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709464</v>
      </c>
      <c r="D1245" s="2" t="str">
        <f t="shared" si="18"/>
        <v>Error?</v>
      </c>
    </row>
    <row r="1246" spans="1:4" x14ac:dyDescent="0.2">
      <c r="A1246" s="10">
        <v>1185</v>
      </c>
      <c r="D1246" s="2" t="str">
        <f t="shared" si="18"/>
        <v>OK</v>
      </c>
    </row>
    <row r="1247" spans="1:4" x14ac:dyDescent="0.2">
      <c r="A1247" s="5">
        <v>1186</v>
      </c>
      <c r="B1247" s="138">
        <f>'Expenditures 15-22'!F127</f>
        <v>709464</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709464</v>
      </c>
      <c r="C1249" s="2" t="s">
        <v>593</v>
      </c>
      <c r="D1249" s="2" t="str">
        <f t="shared" si="18"/>
        <v>Error?</v>
      </c>
    </row>
    <row r="1250" spans="1:4" x14ac:dyDescent="0.2">
      <c r="A1250" s="5">
        <v>1189</v>
      </c>
      <c r="B1250" s="138">
        <f>'Expenditures 15-22'!F151</f>
        <v>709464</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699689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699689</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699689</v>
      </c>
      <c r="C1258" s="2" t="s">
        <v>593</v>
      </c>
      <c r="D1258" s="2" t="str">
        <f t="shared" si="18"/>
        <v>Error?</v>
      </c>
    </row>
    <row r="1259" spans="1:4" x14ac:dyDescent="0.2">
      <c r="A1259" s="5">
        <v>1198</v>
      </c>
      <c r="B1259" s="138">
        <f>'Expenditures 15-22'!G151</f>
        <v>699689</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3442</v>
      </c>
      <c r="D1262" s="2" t="str">
        <f t="shared" si="18"/>
        <v>Error?</v>
      </c>
    </row>
    <row r="1263" spans="1:4" x14ac:dyDescent="0.2">
      <c r="A1263" s="10">
        <v>1202</v>
      </c>
      <c r="D1263" s="2" t="str">
        <f t="shared" si="18"/>
        <v>OK</v>
      </c>
    </row>
    <row r="1264" spans="1:4" x14ac:dyDescent="0.2">
      <c r="A1264" s="5">
        <v>1203</v>
      </c>
      <c r="B1264" s="138">
        <f>'Expenditures 15-22'!H127</f>
        <v>3442</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3442</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3442</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112798</v>
      </c>
      <c r="C1275" s="2" t="s">
        <v>593</v>
      </c>
      <c r="D1275" s="2" t="str">
        <f t="shared" si="18"/>
        <v>Error?</v>
      </c>
    </row>
    <row r="1276" spans="1:4" x14ac:dyDescent="0.2">
      <c r="A1276" s="5">
        <v>1215</v>
      </c>
      <c r="B1276" s="138">
        <f>'Expenditures 15-22'!K124</f>
        <v>7530357</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7643155</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7643155</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7741982</v>
      </c>
      <c r="C1288" s="2" t="s">
        <v>593</v>
      </c>
      <c r="D1288" s="2" t="str">
        <f t="shared" si="19"/>
        <v>Error?</v>
      </c>
    </row>
    <row r="1289" spans="1:4" x14ac:dyDescent="0.2">
      <c r="A1289" s="5">
        <v>1228</v>
      </c>
      <c r="B1289" s="138">
        <f>'Expenditures 15-22'!K152</f>
        <v>1059772</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3237212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6765000</v>
      </c>
      <c r="D1315" s="2" t="str">
        <f t="shared" si="19"/>
        <v>Error?</v>
      </c>
    </row>
    <row r="1316" spans="1:4" x14ac:dyDescent="0.2">
      <c r="A1316" s="5">
        <v>1255</v>
      </c>
      <c r="B1316" s="138">
        <f>'Expenditures 15-22'!H171</f>
        <v>5239</v>
      </c>
      <c r="D1316" s="2" t="str">
        <f t="shared" si="19"/>
        <v>Error?</v>
      </c>
    </row>
    <row r="1317" spans="1:4" x14ac:dyDescent="0.2">
      <c r="A1317" s="5">
        <v>1256</v>
      </c>
      <c r="B1317" s="138">
        <f>'Expenditures 15-22'!H172</f>
        <v>10007451</v>
      </c>
      <c r="C1317" s="2" t="s">
        <v>593</v>
      </c>
      <c r="D1317" s="2" t="str">
        <f t="shared" si="19"/>
        <v>Error?</v>
      </c>
    </row>
    <row r="1318" spans="1:4" x14ac:dyDescent="0.2">
      <c r="A1318" s="5">
        <v>1257</v>
      </c>
      <c r="B1318" s="138">
        <f>'Expenditures 15-22'!H174</f>
        <v>10007451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3237212</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6765000</v>
      </c>
      <c r="C1329" s="2" t="s">
        <v>593</v>
      </c>
      <c r="D1329" s="2" t="str">
        <f t="shared" si="19"/>
        <v>Error?</v>
      </c>
    </row>
    <row r="1330" spans="1:4" x14ac:dyDescent="0.2">
      <c r="A1330" s="5">
        <v>1269</v>
      </c>
      <c r="B1330" s="138">
        <f>'Expenditures 15-22'!K171</f>
        <v>5239</v>
      </c>
      <c r="C1330" s="2" t="s">
        <v>593</v>
      </c>
      <c r="D1330" s="2" t="str">
        <f t="shared" si="19"/>
        <v>Error?</v>
      </c>
    </row>
    <row r="1331" spans="1:4" x14ac:dyDescent="0.2">
      <c r="A1331" s="5">
        <v>1270</v>
      </c>
      <c r="B1331" s="138">
        <f>'Expenditures 15-22'!K172</f>
        <v>10007451</v>
      </c>
      <c r="C1331" s="2" t="s">
        <v>593</v>
      </c>
      <c r="D1331" s="2" t="str">
        <f t="shared" si="19"/>
        <v>Error?</v>
      </c>
    </row>
    <row r="1332" spans="1:4" x14ac:dyDescent="0.2">
      <c r="A1332" s="5">
        <v>1271</v>
      </c>
      <c r="B1332" s="138">
        <f>'Expenditures 15-22'!K174</f>
        <v>10007451</v>
      </c>
      <c r="C1332" s="2" t="s">
        <v>593</v>
      </c>
      <c r="D1332" s="2" t="str">
        <f t="shared" si="19"/>
        <v>Error?</v>
      </c>
    </row>
    <row r="1333" spans="1:4" x14ac:dyDescent="0.2">
      <c r="A1333" s="5">
        <v>1272</v>
      </c>
      <c r="B1333" s="138">
        <f>'Expenditures 15-22'!K175</f>
        <v>-454280</v>
      </c>
      <c r="C1333" s="2" t="s">
        <v>593</v>
      </c>
      <c r="D1333" s="2" t="str">
        <f t="shared" si="19"/>
        <v>Error?</v>
      </c>
    </row>
    <row r="1334" spans="1:4" x14ac:dyDescent="0.2">
      <c r="A1334" s="10">
        <v>1273</v>
      </c>
      <c r="D1334" s="2" t="str">
        <f t="shared" si="19"/>
        <v>OK</v>
      </c>
    </row>
    <row r="1335" spans="1:4" x14ac:dyDescent="0.2">
      <c r="A1335" s="5">
        <v>1274</v>
      </c>
      <c r="B1335" s="138">
        <f>'Expenditures 15-22'!C182</f>
        <v>74160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74160</v>
      </c>
      <c r="C1339" s="2" t="s">
        <v>593</v>
      </c>
      <c r="D1339" s="2" t="str">
        <f t="shared" si="19"/>
        <v>Error?</v>
      </c>
    </row>
    <row r="1340" spans="1:4" x14ac:dyDescent="0.2">
      <c r="A1340" s="5">
        <v>1279</v>
      </c>
      <c r="B1340" s="138">
        <f>'Expenditures 15-22'!C210</f>
        <v>74160</v>
      </c>
      <c r="C1340" s="2" t="s">
        <v>593</v>
      </c>
      <c r="D1340" s="2" t="str">
        <f t="shared" si="19"/>
        <v>Error?</v>
      </c>
    </row>
    <row r="1341" spans="1:4" x14ac:dyDescent="0.2">
      <c r="A1341" s="5">
        <v>1280</v>
      </c>
      <c r="B1341" s="138">
        <f>'Expenditures 15-22'!D182</f>
        <v>16262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16262</v>
      </c>
      <c r="C1345" s="2" t="s">
        <v>593</v>
      </c>
      <c r="D1345" s="2" t="str">
        <f t="shared" si="20"/>
        <v>Error?</v>
      </c>
    </row>
    <row r="1346" spans="1:4" x14ac:dyDescent="0.2">
      <c r="A1346" s="5">
        <v>1285</v>
      </c>
      <c r="B1346" s="138">
        <f>'Expenditures 15-22'!D210</f>
        <v>16262</v>
      </c>
      <c r="C1346" s="2" t="s">
        <v>593</v>
      </c>
      <c r="D1346" s="2" t="str">
        <f t="shared" si="20"/>
        <v>Error?</v>
      </c>
    </row>
    <row r="1347" spans="1:4" x14ac:dyDescent="0.2">
      <c r="A1347" s="5">
        <v>1286</v>
      </c>
      <c r="B1347" s="138">
        <f>'Expenditures 15-22'!E182</f>
        <v>1817045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1817045</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1817045</v>
      </c>
      <c r="C1353" s="2" t="s">
        <v>593</v>
      </c>
      <c r="D1353" s="2" t="str">
        <f t="shared" si="20"/>
        <v>Error?</v>
      </c>
    </row>
    <row r="1354" spans="1:4" x14ac:dyDescent="0.2">
      <c r="A1354" s="5">
        <v>1293</v>
      </c>
      <c r="B1354" s="138">
        <f>'Expenditures 15-22'!F182</f>
        <v>45983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45983</v>
      </c>
      <c r="C1358" s="2" t="s">
        <v>593</v>
      </c>
      <c r="D1358" s="2" t="str">
        <f t="shared" si="20"/>
        <v>Error?</v>
      </c>
    </row>
    <row r="1359" spans="1:4" x14ac:dyDescent="0.2">
      <c r="A1359" s="5">
        <v>1298</v>
      </c>
      <c r="B1359" s="138">
        <f>'Expenditures 15-22'!F210</f>
        <v>45983</v>
      </c>
      <c r="C1359" s="2" t="s">
        <v>593</v>
      </c>
      <c r="D1359" s="2" t="str">
        <f t="shared" si="20"/>
        <v>Error?</v>
      </c>
    </row>
    <row r="1360" spans="1:4" x14ac:dyDescent="0.2">
      <c r="A1360" s="5">
        <v>1299</v>
      </c>
      <c r="B1360" s="138">
        <f>'Expenditures 15-22'!G182</f>
        <v>46182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46182</v>
      </c>
      <c r="C1364" s="2" t="s">
        <v>593</v>
      </c>
      <c r="D1364" s="2" t="str">
        <f t="shared" si="20"/>
        <v>Error?</v>
      </c>
    </row>
    <row r="1365" spans="1:4" x14ac:dyDescent="0.2">
      <c r="A1365" s="5">
        <v>1304</v>
      </c>
      <c r="B1365" s="138">
        <f>'Expenditures 15-22'!G210</f>
        <v>46182</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1999632</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1999632</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1999632</v>
      </c>
      <c r="C1388" s="2" t="s">
        <v>593</v>
      </c>
      <c r="D1388" s="2" t="str">
        <f t="shared" si="20"/>
        <v>Error?</v>
      </c>
    </row>
    <row r="1389" spans="1:4" x14ac:dyDescent="0.2">
      <c r="A1389" s="5">
        <v>1328</v>
      </c>
      <c r="B1389" s="138">
        <f>'Expenditures 15-22'!K211</f>
        <v>139676</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18302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54752</v>
      </c>
      <c r="D1406" s="2" t="str">
        <f t="shared" si="20"/>
        <v>Error?</v>
      </c>
    </row>
    <row r="1407" spans="1:4" x14ac:dyDescent="0.2">
      <c r="A1407" s="5">
        <v>1346</v>
      </c>
      <c r="B1407" s="138">
        <f>'Expenditures 15-22'!D222</f>
        <v>38</v>
      </c>
      <c r="D1407" s="2" t="str">
        <f t="shared" ref="D1407:D1470" si="21">IF(ISBLANK(B1407),"OK",IF(A1407-B1407=0,"OK","Error?"))</f>
        <v>Error?</v>
      </c>
    </row>
    <row r="1408" spans="1:4" x14ac:dyDescent="0.2">
      <c r="A1408" s="5">
        <v>1347</v>
      </c>
      <c r="B1408" s="138">
        <f>'Expenditures 15-22'!D223</f>
        <v>284905</v>
      </c>
      <c r="D1408" s="2" t="str">
        <f t="shared" si="21"/>
        <v>Error?</v>
      </c>
    </row>
    <row r="1409" spans="1:4" x14ac:dyDescent="0.2">
      <c r="A1409" s="5">
        <v>1348</v>
      </c>
      <c r="B1409" s="138">
        <f>'Expenditures 15-22'!D224</f>
        <v>16103</v>
      </c>
      <c r="D1409" s="2" t="str">
        <f t="shared" si="21"/>
        <v>Error?</v>
      </c>
    </row>
    <row r="1410" spans="1:4" x14ac:dyDescent="0.2">
      <c r="A1410" s="5">
        <v>1349</v>
      </c>
      <c r="B1410" s="138">
        <f>'Expenditures 15-22'!D229</f>
        <v>1460685</v>
      </c>
      <c r="C1410" s="2" t="s">
        <v>593</v>
      </c>
      <c r="D1410" s="2" t="str">
        <f t="shared" si="21"/>
        <v>Error?</v>
      </c>
    </row>
    <row r="1411" spans="1:4" x14ac:dyDescent="0.2">
      <c r="A1411" s="5">
        <v>1350</v>
      </c>
      <c r="B1411" s="138">
        <f>'Expenditures 15-22'!D232</f>
        <v>35551</v>
      </c>
      <c r="D1411" s="2" t="str">
        <f t="shared" si="21"/>
        <v>Error?</v>
      </c>
    </row>
    <row r="1412" spans="1:4" x14ac:dyDescent="0.2">
      <c r="A1412" s="5">
        <v>1351</v>
      </c>
      <c r="B1412" s="138">
        <f>'Expenditures 15-22'!D233</f>
        <v>164078</v>
      </c>
      <c r="D1412" s="2" t="str">
        <f t="shared" si="21"/>
        <v>Error?</v>
      </c>
    </row>
    <row r="1413" spans="1:4" x14ac:dyDescent="0.2">
      <c r="A1413" s="5">
        <v>1352</v>
      </c>
      <c r="B1413" s="138">
        <f>'Expenditures 15-22'!D234</f>
        <v>38790</v>
      </c>
      <c r="D1413" s="2" t="str">
        <f t="shared" si="21"/>
        <v>Error?</v>
      </c>
    </row>
    <row r="1414" spans="1:4" x14ac:dyDescent="0.2">
      <c r="A1414" s="5">
        <v>1353</v>
      </c>
      <c r="B1414" s="138">
        <f>'Expenditures 15-22'!D235</f>
        <v>10874</v>
      </c>
      <c r="D1414" s="2" t="str">
        <f t="shared" si="21"/>
        <v>Error?</v>
      </c>
    </row>
    <row r="1415" spans="1:4" x14ac:dyDescent="0.2">
      <c r="A1415" s="5">
        <v>1354</v>
      </c>
      <c r="B1415" s="138">
        <f>'Expenditures 15-22'!D236</f>
        <v>4757</v>
      </c>
      <c r="D1415" s="2" t="str">
        <f t="shared" si="21"/>
        <v>Error?</v>
      </c>
    </row>
    <row r="1416" spans="1:4" x14ac:dyDescent="0.2">
      <c r="A1416" s="5">
        <v>1355</v>
      </c>
      <c r="B1416" s="138">
        <f>'Expenditures 15-22'!D237</f>
        <v>16285</v>
      </c>
      <c r="D1416" s="2" t="str">
        <f t="shared" si="21"/>
        <v>Error?</v>
      </c>
    </row>
    <row r="1417" spans="1:4" x14ac:dyDescent="0.2">
      <c r="A1417" s="5">
        <v>1356</v>
      </c>
      <c r="B1417" s="138">
        <f>'Expenditures 15-22'!D238</f>
        <v>270335</v>
      </c>
      <c r="C1417" s="2" t="s">
        <v>593</v>
      </c>
      <c r="D1417" s="2" t="str">
        <f t="shared" si="21"/>
        <v>Error?</v>
      </c>
    </row>
    <row r="1418" spans="1:4" x14ac:dyDescent="0.2">
      <c r="A1418" s="5">
        <v>1357</v>
      </c>
      <c r="B1418" s="138">
        <f>'Expenditures 15-22'!D240</f>
        <v>17022</v>
      </c>
      <c r="D1418" s="2" t="str">
        <f t="shared" si="21"/>
        <v>Error?</v>
      </c>
    </row>
    <row r="1419" spans="1:4" x14ac:dyDescent="0.2">
      <c r="A1419" s="5">
        <v>1358</v>
      </c>
      <c r="B1419" s="138">
        <f>'Expenditures 15-22'!D241</f>
        <v>154265</v>
      </c>
      <c r="D1419" s="2" t="str">
        <f t="shared" si="21"/>
        <v>Error?</v>
      </c>
    </row>
    <row r="1420" spans="1:4" x14ac:dyDescent="0.2">
      <c r="A1420" s="5">
        <v>1359</v>
      </c>
      <c r="B1420" s="138">
        <f>'Expenditures 15-22'!D242</f>
        <v>20760</v>
      </c>
      <c r="D1420" s="2" t="str">
        <f t="shared" si="21"/>
        <v>Error?</v>
      </c>
    </row>
    <row r="1421" spans="1:4" x14ac:dyDescent="0.2">
      <c r="A1421" s="5">
        <v>1360</v>
      </c>
      <c r="B1421" s="138">
        <f>'Expenditures 15-22'!D243</f>
        <v>192047</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21816</v>
      </c>
      <c r="D1423" s="2" t="str">
        <f t="shared" si="21"/>
        <v>Error?</v>
      </c>
    </row>
    <row r="1424" spans="1:4" x14ac:dyDescent="0.2">
      <c r="A1424" s="5">
        <v>1363</v>
      </c>
      <c r="B1424" s="138">
        <f>'Expenditures 15-22'!D257</f>
        <v>21816</v>
      </c>
      <c r="C1424" s="2" t="s">
        <v>593</v>
      </c>
      <c r="D1424" s="2" t="str">
        <f t="shared" si="21"/>
        <v>Error?</v>
      </c>
    </row>
    <row r="1425" spans="1:4" x14ac:dyDescent="0.2">
      <c r="A1425" s="5">
        <v>1364</v>
      </c>
      <c r="B1425" s="138">
        <f>'Expenditures 15-22'!D259</f>
        <v>64216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64216</v>
      </c>
      <c r="C1427" s="2" t="s">
        <v>593</v>
      </c>
      <c r="D1427" s="2" t="str">
        <f t="shared" si="21"/>
        <v>Error?</v>
      </c>
    </row>
    <row r="1428" spans="1:4" x14ac:dyDescent="0.2">
      <c r="A1428" s="5">
        <v>1367</v>
      </c>
      <c r="B1428" s="138">
        <f>'Expenditures 15-22'!D263</f>
        <v>35811</v>
      </c>
      <c r="D1428" s="2" t="str">
        <f t="shared" si="21"/>
        <v>Error?</v>
      </c>
    </row>
    <row r="1429" spans="1:4" x14ac:dyDescent="0.2">
      <c r="A1429" s="5">
        <v>1368</v>
      </c>
      <c r="B1429" s="138">
        <f>'Expenditures 15-22'!D264</f>
        <v>73071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784240</v>
      </c>
      <c r="D1431" s="2" t="str">
        <f t="shared" si="21"/>
        <v>Error?</v>
      </c>
    </row>
    <row r="1432" spans="1:4" x14ac:dyDescent="0.2">
      <c r="A1432" s="5">
        <v>1371</v>
      </c>
      <c r="B1432" s="138">
        <f>'Expenditures 15-22'!D267</f>
        <v>11092</v>
      </c>
      <c r="D1432" s="2" t="str">
        <f t="shared" si="21"/>
        <v>Error?</v>
      </c>
    </row>
    <row r="1433" spans="1:4" x14ac:dyDescent="0.2">
      <c r="A1433" s="5">
        <v>1372</v>
      </c>
      <c r="B1433" s="138">
        <f>'Expenditures 15-22'!D268</f>
        <v>3487</v>
      </c>
      <c r="D1433" s="2" t="str">
        <f t="shared" si="21"/>
        <v>Error?</v>
      </c>
    </row>
    <row r="1434" spans="1:4" x14ac:dyDescent="0.2">
      <c r="A1434" s="5">
        <v>1373</v>
      </c>
      <c r="B1434" s="138">
        <f>'Expenditures 15-22'!D269</f>
        <v>6135</v>
      </c>
      <c r="D1434" s="2" t="str">
        <f t="shared" si="21"/>
        <v>Error?</v>
      </c>
    </row>
    <row r="1435" spans="1:4" x14ac:dyDescent="0.2">
      <c r="A1435" s="10">
        <v>1374</v>
      </c>
      <c r="D1435" s="2" t="str">
        <f t="shared" si="21"/>
        <v>OK</v>
      </c>
    </row>
    <row r="1436" spans="1:4" x14ac:dyDescent="0.2">
      <c r="A1436" s="5">
        <v>1375</v>
      </c>
      <c r="B1436" s="138">
        <f>'Expenditures 15-22'!D270</f>
        <v>913836</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15841</v>
      </c>
      <c r="D1438" s="2" t="str">
        <f t="shared" si="21"/>
        <v>Error?</v>
      </c>
    </row>
    <row r="1439" spans="1:4" x14ac:dyDescent="0.2">
      <c r="A1439" s="5">
        <v>1378</v>
      </c>
      <c r="B1439" s="138">
        <f>'Expenditures 15-22'!D274</f>
        <v>35341</v>
      </c>
      <c r="D1439" s="2" t="str">
        <f t="shared" si="21"/>
        <v>Error?</v>
      </c>
    </row>
    <row r="1440" spans="1:4" x14ac:dyDescent="0.2">
      <c r="A1440" s="5">
        <v>1379</v>
      </c>
      <c r="B1440" s="138">
        <f>'Expenditures 15-22'!D275</f>
        <v>63050</v>
      </c>
      <c r="D1440" s="2" t="str">
        <f t="shared" si="21"/>
        <v>Error?</v>
      </c>
    </row>
    <row r="1441" spans="1:4" x14ac:dyDescent="0.2">
      <c r="A1441" s="10">
        <v>1380</v>
      </c>
      <c r="D1441" s="2" t="str">
        <f t="shared" si="21"/>
        <v>OK</v>
      </c>
    </row>
    <row r="1442" spans="1:4" x14ac:dyDescent="0.2">
      <c r="A1442" s="5">
        <v>1381</v>
      </c>
      <c r="B1442" s="138">
        <f>'Expenditures 15-22'!D276</f>
        <v>37937</v>
      </c>
      <c r="D1442" s="2" t="str">
        <f t="shared" si="21"/>
        <v>Error?</v>
      </c>
    </row>
    <row r="1443" spans="1:4" x14ac:dyDescent="0.2">
      <c r="A1443" s="10">
        <v>1382</v>
      </c>
      <c r="D1443" s="2" t="str">
        <f t="shared" si="21"/>
        <v>OK</v>
      </c>
    </row>
    <row r="1444" spans="1:4" x14ac:dyDescent="0.2">
      <c r="A1444" s="5">
        <v>1383</v>
      </c>
      <c r="B1444" s="138">
        <f>'Expenditures 15-22'!D277</f>
        <v>152169</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1614419</v>
      </c>
      <c r="C1446" s="2" t="s">
        <v>593</v>
      </c>
      <c r="D1446" s="2" t="str">
        <f t="shared" si="21"/>
        <v>Error?</v>
      </c>
    </row>
    <row r="1447" spans="1:4" x14ac:dyDescent="0.2">
      <c r="A1447" s="5">
        <v>1386</v>
      </c>
      <c r="B1447" s="138">
        <f>'Expenditures 15-22'!D280</f>
        <v>15963</v>
      </c>
      <c r="D1447" s="2" t="str">
        <f t="shared" si="21"/>
        <v>Error?</v>
      </c>
    </row>
    <row r="1448" spans="1:4" x14ac:dyDescent="0.2">
      <c r="A1448" s="5">
        <v>1387</v>
      </c>
      <c r="B1448" s="138">
        <f>'Expenditures 15-22'!D295</f>
        <v>3091067</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18302</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54752</v>
      </c>
      <c r="C1470" s="2" t="s">
        <v>593</v>
      </c>
      <c r="D1470" s="2" t="str">
        <f t="shared" si="21"/>
        <v>Error?</v>
      </c>
    </row>
    <row r="1471" spans="1:4" x14ac:dyDescent="0.2">
      <c r="A1471" s="5">
        <v>1410</v>
      </c>
      <c r="B1471" s="138">
        <f>'Expenditures 15-22'!K222</f>
        <v>38</v>
      </c>
      <c r="C1471" s="2" t="s">
        <v>593</v>
      </c>
      <c r="D1471" s="2" t="str">
        <f t="shared" ref="D1471:D1534" si="22">IF(ISBLANK(B1471),"OK",IF(A1471-B1471=0,"OK","Error?"))</f>
        <v>Error?</v>
      </c>
    </row>
    <row r="1472" spans="1:4" x14ac:dyDescent="0.2">
      <c r="A1472" s="5">
        <v>1411</v>
      </c>
      <c r="B1472" s="138">
        <f>'Expenditures 15-22'!K223</f>
        <v>284905</v>
      </c>
      <c r="C1472" s="2" t="s">
        <v>593</v>
      </c>
      <c r="D1472" s="2" t="str">
        <f t="shared" si="22"/>
        <v>Error?</v>
      </c>
    </row>
    <row r="1473" spans="1:4" x14ac:dyDescent="0.2">
      <c r="A1473" s="5">
        <v>1412</v>
      </c>
      <c r="B1473" s="138">
        <f>'Expenditures 15-22'!K224</f>
        <v>16103</v>
      </c>
      <c r="C1473" s="2" t="s">
        <v>593</v>
      </c>
      <c r="D1473" s="2" t="str">
        <f t="shared" si="22"/>
        <v>Error?</v>
      </c>
    </row>
    <row r="1474" spans="1:4" x14ac:dyDescent="0.2">
      <c r="A1474" s="5">
        <v>1413</v>
      </c>
      <c r="B1474" s="138">
        <f>'Expenditures 15-22'!K229</f>
        <v>1460685</v>
      </c>
      <c r="C1474" s="2" t="s">
        <v>593</v>
      </c>
      <c r="D1474" s="2" t="str">
        <f t="shared" si="22"/>
        <v>Error?</v>
      </c>
    </row>
    <row r="1475" spans="1:4" x14ac:dyDescent="0.2">
      <c r="A1475" s="5">
        <v>1414</v>
      </c>
      <c r="B1475" s="138">
        <f>'Expenditures 15-22'!K232</f>
        <v>35551</v>
      </c>
      <c r="C1475" s="2" t="s">
        <v>593</v>
      </c>
      <c r="D1475" s="2" t="str">
        <f t="shared" si="22"/>
        <v>Error?</v>
      </c>
    </row>
    <row r="1476" spans="1:4" x14ac:dyDescent="0.2">
      <c r="A1476" s="5">
        <v>1415</v>
      </c>
      <c r="B1476" s="138">
        <f>'Expenditures 15-22'!K233</f>
        <v>164078</v>
      </c>
      <c r="C1476" s="2" t="s">
        <v>593</v>
      </c>
      <c r="D1476" s="2" t="str">
        <f t="shared" si="22"/>
        <v>Error?</v>
      </c>
    </row>
    <row r="1477" spans="1:4" x14ac:dyDescent="0.2">
      <c r="A1477" s="5">
        <v>1416</v>
      </c>
      <c r="B1477" s="138">
        <f>'Expenditures 15-22'!K234</f>
        <v>38790</v>
      </c>
      <c r="C1477" s="2" t="s">
        <v>593</v>
      </c>
      <c r="D1477" s="2" t="str">
        <f t="shared" si="22"/>
        <v>Error?</v>
      </c>
    </row>
    <row r="1478" spans="1:4" x14ac:dyDescent="0.2">
      <c r="A1478" s="5">
        <v>1417</v>
      </c>
      <c r="B1478" s="138">
        <f>'Expenditures 15-22'!K235</f>
        <v>10874</v>
      </c>
      <c r="C1478" s="2" t="s">
        <v>593</v>
      </c>
      <c r="D1478" s="2" t="str">
        <f t="shared" si="22"/>
        <v>Error?</v>
      </c>
    </row>
    <row r="1479" spans="1:4" x14ac:dyDescent="0.2">
      <c r="A1479" s="5">
        <v>1418</v>
      </c>
      <c r="B1479" s="138">
        <f>'Expenditures 15-22'!K236</f>
        <v>4757</v>
      </c>
      <c r="C1479" s="2" t="s">
        <v>593</v>
      </c>
      <c r="D1479" s="2" t="str">
        <f t="shared" si="22"/>
        <v>Error?</v>
      </c>
    </row>
    <row r="1480" spans="1:4" x14ac:dyDescent="0.2">
      <c r="A1480" s="5">
        <v>1419</v>
      </c>
      <c r="B1480" s="138">
        <f>'Expenditures 15-22'!K237</f>
        <v>16285</v>
      </c>
      <c r="C1480" s="2" t="s">
        <v>593</v>
      </c>
      <c r="D1480" s="2" t="str">
        <f t="shared" si="22"/>
        <v>Error?</v>
      </c>
    </row>
    <row r="1481" spans="1:4" x14ac:dyDescent="0.2">
      <c r="A1481" s="5">
        <v>1420</v>
      </c>
      <c r="B1481" s="138">
        <f>'Expenditures 15-22'!K238</f>
        <v>270335</v>
      </c>
      <c r="C1481" s="2" t="s">
        <v>593</v>
      </c>
      <c r="D1481" s="2" t="str">
        <f t="shared" si="22"/>
        <v>Error?</v>
      </c>
    </row>
    <row r="1482" spans="1:4" x14ac:dyDescent="0.2">
      <c r="A1482" s="5">
        <v>1421</v>
      </c>
      <c r="B1482" s="138">
        <f>'Expenditures 15-22'!K240</f>
        <v>17022</v>
      </c>
      <c r="C1482" s="2" t="s">
        <v>593</v>
      </c>
      <c r="D1482" s="2" t="str">
        <f t="shared" si="22"/>
        <v>Error?</v>
      </c>
    </row>
    <row r="1483" spans="1:4" x14ac:dyDescent="0.2">
      <c r="A1483" s="5">
        <v>1422</v>
      </c>
      <c r="B1483" s="138">
        <f>'Expenditures 15-22'!K241</f>
        <v>154265</v>
      </c>
      <c r="C1483" s="2" t="s">
        <v>593</v>
      </c>
      <c r="D1483" s="2" t="str">
        <f t="shared" si="22"/>
        <v>Error?</v>
      </c>
    </row>
    <row r="1484" spans="1:4" x14ac:dyDescent="0.2">
      <c r="A1484" s="5">
        <v>1423</v>
      </c>
      <c r="B1484" s="138">
        <f>'Expenditures 15-22'!K242</f>
        <v>20760</v>
      </c>
      <c r="C1484" s="2" t="s">
        <v>593</v>
      </c>
      <c r="D1484" s="2" t="str">
        <f t="shared" si="22"/>
        <v>Error?</v>
      </c>
    </row>
    <row r="1485" spans="1:4" x14ac:dyDescent="0.2">
      <c r="A1485" s="5">
        <v>1424</v>
      </c>
      <c r="B1485" s="138">
        <f>'Expenditures 15-22'!K243</f>
        <v>192047</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21816</v>
      </c>
      <c r="C1487" s="2" t="s">
        <v>593</v>
      </c>
      <c r="D1487" s="2" t="str">
        <f t="shared" si="22"/>
        <v>Error?</v>
      </c>
    </row>
    <row r="1488" spans="1:4" x14ac:dyDescent="0.2">
      <c r="A1488" s="5">
        <v>1427</v>
      </c>
      <c r="B1488" s="138">
        <f>'Expenditures 15-22'!K257</f>
        <v>21816</v>
      </c>
      <c r="C1488" s="2" t="s">
        <v>593</v>
      </c>
      <c r="D1488" s="2" t="str">
        <f t="shared" si="22"/>
        <v>Error?</v>
      </c>
    </row>
    <row r="1489" spans="1:4" x14ac:dyDescent="0.2">
      <c r="A1489" s="5">
        <v>1428</v>
      </c>
      <c r="B1489" s="138">
        <f>'Expenditures 15-22'!K259</f>
        <v>64216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64216</v>
      </c>
      <c r="C1491" s="2" t="s">
        <v>593</v>
      </c>
      <c r="D1491" s="2" t="str">
        <f t="shared" si="22"/>
        <v>Error?</v>
      </c>
    </row>
    <row r="1492" spans="1:4" x14ac:dyDescent="0.2">
      <c r="A1492" s="5">
        <v>1431</v>
      </c>
      <c r="B1492" s="138">
        <f>'Expenditures 15-22'!K263</f>
        <v>35811</v>
      </c>
      <c r="C1492" s="2" t="s">
        <v>593</v>
      </c>
      <c r="D1492" s="2" t="str">
        <f t="shared" si="22"/>
        <v>Error?</v>
      </c>
    </row>
    <row r="1493" spans="1:4" x14ac:dyDescent="0.2">
      <c r="A1493" s="5">
        <v>1432</v>
      </c>
      <c r="B1493" s="138">
        <f>'Expenditures 15-22'!K264</f>
        <v>73071</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784240</v>
      </c>
      <c r="C1495" s="2" t="s">
        <v>593</v>
      </c>
      <c r="D1495" s="2" t="str">
        <f t="shared" si="22"/>
        <v>Error?</v>
      </c>
    </row>
    <row r="1496" spans="1:4" x14ac:dyDescent="0.2">
      <c r="A1496" s="5">
        <v>1435</v>
      </c>
      <c r="B1496" s="138">
        <f>'Expenditures 15-22'!K267</f>
        <v>11092</v>
      </c>
      <c r="C1496" s="2" t="s">
        <v>593</v>
      </c>
      <c r="D1496" s="2" t="str">
        <f t="shared" si="22"/>
        <v>Error?</v>
      </c>
    </row>
    <row r="1497" spans="1:4" x14ac:dyDescent="0.2">
      <c r="A1497" s="5">
        <v>1436</v>
      </c>
      <c r="B1497" s="138">
        <f>'Expenditures 15-22'!K268</f>
        <v>3487</v>
      </c>
      <c r="C1497" s="2" t="s">
        <v>593</v>
      </c>
      <c r="D1497" s="2" t="str">
        <f t="shared" si="22"/>
        <v>Error?</v>
      </c>
    </row>
    <row r="1498" spans="1:4" x14ac:dyDescent="0.2">
      <c r="A1498" s="5">
        <v>1437</v>
      </c>
      <c r="B1498" s="138">
        <f>'Expenditures 15-22'!K269</f>
        <v>6135</v>
      </c>
      <c r="C1498" s="2" t="s">
        <v>593</v>
      </c>
      <c r="D1498" s="2" t="str">
        <f t="shared" si="22"/>
        <v>Error?</v>
      </c>
    </row>
    <row r="1499" spans="1:4" x14ac:dyDescent="0.2">
      <c r="A1499" s="10">
        <v>1438</v>
      </c>
      <c r="D1499" s="2" t="str">
        <f t="shared" si="22"/>
        <v>OK</v>
      </c>
    </row>
    <row r="1500" spans="1:4" x14ac:dyDescent="0.2">
      <c r="A1500" s="5">
        <v>1439</v>
      </c>
      <c r="B1500" s="138">
        <f>'Expenditures 15-22'!K270</f>
        <v>913836</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15841</v>
      </c>
      <c r="C1502" s="2" t="s">
        <v>593</v>
      </c>
      <c r="D1502" s="2" t="str">
        <f t="shared" si="22"/>
        <v>Error?</v>
      </c>
    </row>
    <row r="1503" spans="1:4" x14ac:dyDescent="0.2">
      <c r="A1503" s="5">
        <v>1442</v>
      </c>
      <c r="B1503" s="138">
        <f>'Expenditures 15-22'!K274</f>
        <v>35341</v>
      </c>
      <c r="C1503" s="2" t="s">
        <v>593</v>
      </c>
      <c r="D1503" s="2" t="str">
        <f t="shared" si="22"/>
        <v>Error?</v>
      </c>
    </row>
    <row r="1504" spans="1:4" x14ac:dyDescent="0.2">
      <c r="A1504" s="5">
        <v>1443</v>
      </c>
      <c r="B1504" s="138">
        <f>'Expenditures 15-22'!K275</f>
        <v>63050</v>
      </c>
      <c r="C1504" s="2" t="s">
        <v>593</v>
      </c>
      <c r="D1504" s="2" t="str">
        <f t="shared" si="22"/>
        <v>Error?</v>
      </c>
    </row>
    <row r="1505" spans="1:4" x14ac:dyDescent="0.2">
      <c r="A1505" s="10">
        <v>1444</v>
      </c>
      <c r="D1505" s="2" t="str">
        <f t="shared" si="22"/>
        <v>OK</v>
      </c>
    </row>
    <row r="1506" spans="1:4" x14ac:dyDescent="0.2">
      <c r="A1506" s="5">
        <v>1445</v>
      </c>
      <c r="B1506" s="138">
        <f>'Expenditures 15-22'!K276</f>
        <v>37937</v>
      </c>
      <c r="C1506" s="2" t="s">
        <v>593</v>
      </c>
      <c r="D1506" s="2" t="str">
        <f t="shared" si="22"/>
        <v>Error?</v>
      </c>
    </row>
    <row r="1507" spans="1:4" x14ac:dyDescent="0.2">
      <c r="A1507" s="10">
        <v>1446</v>
      </c>
      <c r="D1507" s="2" t="str">
        <f t="shared" si="22"/>
        <v>OK</v>
      </c>
    </row>
    <row r="1508" spans="1:4" x14ac:dyDescent="0.2">
      <c r="A1508" s="5">
        <v>1447</v>
      </c>
      <c r="B1508" s="138">
        <f>'Expenditures 15-22'!K277</f>
        <v>152169</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1614419</v>
      </c>
      <c r="C1510" s="2" t="s">
        <v>593</v>
      </c>
      <c r="D1510" s="2" t="str">
        <f t="shared" si="22"/>
        <v>Error?</v>
      </c>
    </row>
    <row r="1511" spans="1:4" x14ac:dyDescent="0.2">
      <c r="A1511" s="5">
        <v>1450</v>
      </c>
      <c r="B1511" s="138">
        <f>'Expenditures 15-22'!K280</f>
        <v>15963</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3091067</v>
      </c>
      <c r="C1517" s="2" t="s">
        <v>593</v>
      </c>
      <c r="D1517" s="2" t="str">
        <f t="shared" si="22"/>
        <v>Error?</v>
      </c>
    </row>
    <row r="1518" spans="1:4" x14ac:dyDescent="0.2">
      <c r="A1518" s="5">
        <v>1457</v>
      </c>
      <c r="B1518" s="138">
        <f>'Expenditures 15-22'!K296</f>
        <v>1151095</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1810009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1810009</v>
      </c>
      <c r="C1535" s="2" t="s">
        <v>593</v>
      </c>
      <c r="D1535" s="2" t="str">
        <f t="shared" ref="D1535:D1598" si="23">IF(ISBLANK(B1535),"OK",IF(A1535-B1535=0,"OK","Error?"))</f>
        <v>Error?</v>
      </c>
    </row>
    <row r="1536" spans="1:4" x14ac:dyDescent="0.2">
      <c r="A1536" s="5">
        <v>1475</v>
      </c>
      <c r="B1536" s="138">
        <f>'Expenditures 15-22'!E312</f>
        <v>1810009</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23887822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23887822</v>
      </c>
      <c r="C1547" s="2" t="s">
        <v>593</v>
      </c>
      <c r="D1547" s="2" t="str">
        <f t="shared" si="23"/>
        <v>Error?</v>
      </c>
    </row>
    <row r="1548" spans="1:4" x14ac:dyDescent="0.2">
      <c r="A1548" s="5">
        <v>1487</v>
      </c>
      <c r="B1548" s="138">
        <f>'Expenditures 15-22'!G312</f>
        <v>23887822</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25697831</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25697831</v>
      </c>
      <c r="C1559" s="2" t="s">
        <v>593</v>
      </c>
      <c r="D1559" s="2" t="str">
        <f t="shared" si="23"/>
        <v>Error?</v>
      </c>
    </row>
    <row r="1560" spans="1:4" x14ac:dyDescent="0.2">
      <c r="A1560" s="5">
        <v>1499</v>
      </c>
      <c r="B1560" s="138">
        <f>'Expenditures 15-22'!K312</f>
        <v>25697831</v>
      </c>
      <c r="C1560" s="2" t="s">
        <v>593</v>
      </c>
      <c r="D1560" s="2" t="str">
        <f t="shared" si="23"/>
        <v>Error?</v>
      </c>
    </row>
    <row r="1561" spans="1:4" x14ac:dyDescent="0.2">
      <c r="A1561" s="5">
        <v>1500</v>
      </c>
      <c r="B1561" s="138">
        <f>'Expenditures 15-22'!K313</f>
        <v>-24049954</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67473431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68100143</v>
      </c>
      <c r="C1630" s="2" t="s">
        <v>593</v>
      </c>
      <c r="D1630" s="2" t="str">
        <f t="shared" si="24"/>
        <v>Error?</v>
      </c>
    </row>
    <row r="1631" spans="1:4" x14ac:dyDescent="0.2">
      <c r="A1631" s="5">
        <v>1570</v>
      </c>
      <c r="B1631" s="138">
        <f>'Acct Summary 7-8'!D79</f>
        <v>5328952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5702499</v>
      </c>
      <c r="C1644" s="2" t="s">
        <v>593</v>
      </c>
      <c r="D1644" s="2" t="str">
        <f t="shared" si="24"/>
        <v>Error?</v>
      </c>
    </row>
    <row r="1645" spans="1:4" x14ac:dyDescent="0.2">
      <c r="A1645" s="5">
        <v>1584</v>
      </c>
      <c r="B1645" s="138">
        <f>'Acct Summary 7-8'!E79</f>
        <v>3808660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3540605</v>
      </c>
      <c r="C1658" s="2" t="s">
        <v>593</v>
      </c>
      <c r="D1658" s="2" t="str">
        <f t="shared" si="24"/>
        <v>Error?</v>
      </c>
    </row>
    <row r="1659" spans="1:4" x14ac:dyDescent="0.2">
      <c r="A1659" s="5">
        <v>1598</v>
      </c>
      <c r="B1659" s="138">
        <f>'Acct Summary 7-8'!F79</f>
        <v>3183989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3323665</v>
      </c>
      <c r="C1672" s="2" t="s">
        <v>593</v>
      </c>
      <c r="D1672" s="2" t="str">
        <f t="shared" si="25"/>
        <v>Error?</v>
      </c>
    </row>
    <row r="1673" spans="1:4" x14ac:dyDescent="0.2">
      <c r="A1673" s="5">
        <v>1612</v>
      </c>
      <c r="B1673" s="138">
        <f>'Acct Summary 7-8'!G79</f>
        <v>1534251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2685346</v>
      </c>
      <c r="C1686" s="2" t="s">
        <v>593</v>
      </c>
      <c r="D1686" s="2" t="str">
        <f t="shared" si="25"/>
        <v>Error?</v>
      </c>
    </row>
    <row r="1687" spans="1:4" x14ac:dyDescent="0.2">
      <c r="A1687" s="5">
        <v>1626</v>
      </c>
      <c r="B1687" s="138">
        <f>'Acct Summary 7-8'!H79</f>
        <v>21793030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8077517</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83215957</v>
      </c>
      <c r="C1744" s="2" t="s">
        <v>593</v>
      </c>
      <c r="D1744" s="2" t="str">
        <f t="shared" si="26"/>
        <v>Error?</v>
      </c>
    </row>
    <row r="1745" spans="1:5" x14ac:dyDescent="0.2">
      <c r="A1745" s="5">
        <v>1684</v>
      </c>
      <c r="B1745" s="138">
        <f>'Tax Sched 23'!B5</f>
        <v>7191910</v>
      </c>
      <c r="C1745" s="2" t="s">
        <v>593</v>
      </c>
      <c r="D1745" s="2" t="str">
        <f t="shared" si="26"/>
        <v>Error?</v>
      </c>
    </row>
    <row r="1746" spans="1:5" x14ac:dyDescent="0.2">
      <c r="A1746" s="5">
        <v>1685</v>
      </c>
      <c r="B1746" s="138">
        <f>'Tax Sched 23'!B6</f>
        <v>9552338</v>
      </c>
      <c r="C1746" s="2" t="s">
        <v>593</v>
      </c>
      <c r="D1746" s="2" t="str">
        <f t="shared" si="26"/>
        <v>Error?</v>
      </c>
    </row>
    <row r="1747" spans="1:5" x14ac:dyDescent="0.2">
      <c r="A1747" s="5">
        <v>1686</v>
      </c>
      <c r="B1747" s="138">
        <f>'Tax Sched 23'!B7</f>
        <v>1336484</v>
      </c>
      <c r="C1747" s="2" t="s">
        <v>593</v>
      </c>
      <c r="D1747" s="2" t="str">
        <f t="shared" si="26"/>
        <v>Error?</v>
      </c>
    </row>
    <row r="1748" spans="1:5" x14ac:dyDescent="0.2">
      <c r="A1748" s="5">
        <v>1687</v>
      </c>
      <c r="B1748" s="138">
        <f>'Tax Sched 23'!B8</f>
        <v>1971078</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105477854</v>
      </c>
      <c r="C1759" s="2" t="s">
        <v>593</v>
      </c>
      <c r="D1759" s="2" t="str">
        <f t="shared" si="26"/>
        <v>Error?</v>
      </c>
    </row>
    <row r="1760" spans="1:5" x14ac:dyDescent="0.2">
      <c r="A1760" s="5">
        <v>1699</v>
      </c>
      <c r="B1760" s="138">
        <f>'Tax Sched 23'!D4</f>
        <v>37722326</v>
      </c>
      <c r="C1760" s="2" t="s">
        <v>593</v>
      </c>
      <c r="D1760" s="2" t="str">
        <f t="shared" si="26"/>
        <v>Error?</v>
      </c>
    </row>
    <row r="1761" spans="1:5" x14ac:dyDescent="0.2">
      <c r="A1761" s="5">
        <v>1700</v>
      </c>
      <c r="B1761" s="138">
        <f>'Tax Sched 23'!D5</f>
        <v>3250110</v>
      </c>
      <c r="C1761" s="2" t="s">
        <v>593</v>
      </c>
      <c r="D1761" s="2" t="str">
        <f t="shared" si="26"/>
        <v>Error?</v>
      </c>
    </row>
    <row r="1762" spans="1:5" s="8" customFormat="1" x14ac:dyDescent="0.2">
      <c r="A1762" s="5">
        <v>1701</v>
      </c>
      <c r="B1762" s="138">
        <f>'Tax Sched 23'!D6</f>
        <v>4119261</v>
      </c>
      <c r="C1762" s="2" t="s">
        <v>593</v>
      </c>
      <c r="D1762" s="2" t="str">
        <f t="shared" si="26"/>
        <v>Error?</v>
      </c>
      <c r="E1762" s="9"/>
    </row>
    <row r="1763" spans="1:5" x14ac:dyDescent="0.2">
      <c r="A1763" s="5">
        <v>1702</v>
      </c>
      <c r="B1763" s="138">
        <f>'Tax Sched 23'!D7</f>
        <v>600681</v>
      </c>
      <c r="C1763" s="2" t="s">
        <v>593</v>
      </c>
      <c r="D1763" s="2" t="str">
        <f t="shared" si="26"/>
        <v>Error?</v>
      </c>
    </row>
    <row r="1764" spans="1:5" x14ac:dyDescent="0.2">
      <c r="A1764" s="5">
        <v>1703</v>
      </c>
      <c r="B1764" s="138">
        <f>'Tax Sched 23'!D8</f>
        <v>898908</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47487440</v>
      </c>
      <c r="C1775" s="2" t="s">
        <v>593</v>
      </c>
      <c r="D1775" s="2" t="str">
        <f t="shared" si="26"/>
        <v>Error?</v>
      </c>
    </row>
    <row r="1776" spans="1:5" x14ac:dyDescent="0.2">
      <c r="A1776" s="5">
        <v>1715</v>
      </c>
      <c r="B1776" s="138">
        <f>'Tax Sched 23'!C4</f>
        <v>45493631</v>
      </c>
      <c r="D1776" s="2" t="str">
        <f t="shared" si="26"/>
        <v>Error?</v>
      </c>
    </row>
    <row r="1777" spans="1:4" x14ac:dyDescent="0.2">
      <c r="A1777" s="5">
        <v>1716</v>
      </c>
      <c r="B1777" s="138">
        <f>'Tax Sched 23'!C5</f>
        <v>3941800</v>
      </c>
      <c r="D1777" s="2" t="str">
        <f t="shared" si="26"/>
        <v>Error?</v>
      </c>
    </row>
    <row r="1778" spans="1:4" x14ac:dyDescent="0.2">
      <c r="A1778" s="5">
        <v>1717</v>
      </c>
      <c r="B1778" s="138">
        <f>'Tax Sched 23'!C6</f>
        <v>5433077</v>
      </c>
      <c r="D1778" s="2" t="str">
        <f t="shared" si="26"/>
        <v>Error?</v>
      </c>
    </row>
    <row r="1779" spans="1:4" x14ac:dyDescent="0.2">
      <c r="A1779" s="5">
        <v>1718</v>
      </c>
      <c r="B1779" s="138">
        <f>'Tax Sched 23'!C7</f>
        <v>735803</v>
      </c>
      <c r="D1779" s="2" t="str">
        <f t="shared" si="26"/>
        <v>Error?</v>
      </c>
    </row>
    <row r="1780" spans="1:4" x14ac:dyDescent="0.2">
      <c r="A1780" s="5">
        <v>1719</v>
      </c>
      <c r="B1780" s="138">
        <f>'Tax Sched 23'!C8</f>
        <v>1072170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57990414</v>
      </c>
      <c r="C1791" s="2" t="s">
        <v>593</v>
      </c>
      <c r="D1791" s="2" t="str">
        <f t="shared" ref="D1791:D1854" si="27">IF(ISBLANK(B1791),"OK",IF(A1791-B1791=0,"OK","Error?"))</f>
        <v>Error?</v>
      </c>
    </row>
    <row r="1792" spans="1:4" x14ac:dyDescent="0.2">
      <c r="A1792" s="5">
        <v>1731</v>
      </c>
      <c r="B1792" s="138">
        <f>'Tax Sched 23'!F4</f>
        <v>42174019</v>
      </c>
      <c r="C1792" s="2" t="s">
        <v>593</v>
      </c>
      <c r="D1792" s="2" t="str">
        <f t="shared" si="27"/>
        <v>Error?</v>
      </c>
    </row>
    <row r="1793" spans="1:4" x14ac:dyDescent="0.2">
      <c r="A1793" s="5">
        <v>1732</v>
      </c>
      <c r="B1793" s="138">
        <f>'Tax Sched 23'!F5</f>
        <v>3653488</v>
      </c>
      <c r="C1793" s="2" t="s">
        <v>593</v>
      </c>
      <c r="D1793" s="2" t="str">
        <f t="shared" si="27"/>
        <v>Error?</v>
      </c>
    </row>
    <row r="1794" spans="1:4" x14ac:dyDescent="0.2">
      <c r="A1794" s="5">
        <v>1733</v>
      </c>
      <c r="B1794" s="138">
        <f>'Tax Sched 23'!F6</f>
        <v>4823908</v>
      </c>
      <c r="C1794" s="2" t="s">
        <v>593</v>
      </c>
      <c r="D1794" s="2" t="str">
        <f t="shared" si="27"/>
        <v>Error?</v>
      </c>
    </row>
    <row r="1795" spans="1:4" x14ac:dyDescent="0.2">
      <c r="A1795" s="5">
        <v>1734</v>
      </c>
      <c r="B1795" s="138">
        <f>'Tax Sched 23'!F7</f>
        <v>680267</v>
      </c>
      <c r="C1795" s="2" t="s">
        <v>593</v>
      </c>
      <c r="D1795" s="2" t="str">
        <f t="shared" si="27"/>
        <v>Error?</v>
      </c>
    </row>
    <row r="1796" spans="1:4" x14ac:dyDescent="0.2">
      <c r="A1796" s="5">
        <v>1735</v>
      </c>
      <c r="B1796" s="138">
        <f>'Tax Sched 23'!F8</f>
        <v>1463324</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53546409</v>
      </c>
      <c r="C1807" s="2" t="s">
        <v>593</v>
      </c>
      <c r="D1807" s="2" t="str">
        <f t="shared" si="27"/>
        <v>Error?</v>
      </c>
    </row>
    <row r="1808" spans="1:4" x14ac:dyDescent="0.2">
      <c r="A1808" s="5">
        <v>1747</v>
      </c>
      <c r="B1808" s="138">
        <f>'Tax Sched 23'!E4</f>
        <v>87667650</v>
      </c>
      <c r="D1808" s="2" t="str">
        <f t="shared" si="27"/>
        <v>Error?</v>
      </c>
    </row>
    <row r="1809" spans="1:4" x14ac:dyDescent="0.2">
      <c r="A1809" s="5">
        <v>1748</v>
      </c>
      <c r="B1809" s="138">
        <f>'Tax Sched 23'!E5</f>
        <v>7595288</v>
      </c>
      <c r="D1809" s="2" t="str">
        <f t="shared" si="27"/>
        <v>Error?</v>
      </c>
    </row>
    <row r="1810" spans="1:4" x14ac:dyDescent="0.2">
      <c r="A1810" s="5">
        <v>1749</v>
      </c>
      <c r="B1810" s="138">
        <f>'Tax Sched 23'!E6</f>
        <v>10256985</v>
      </c>
      <c r="D1810" s="2" t="str">
        <f t="shared" si="27"/>
        <v>Error?</v>
      </c>
    </row>
    <row r="1811" spans="1:4" x14ac:dyDescent="0.2">
      <c r="A1811" s="5">
        <v>1750</v>
      </c>
      <c r="B1811" s="138">
        <f>'Tax Sched 23'!E7</f>
        <v>1416070</v>
      </c>
      <c r="D1811" s="2" t="str">
        <f t="shared" si="27"/>
        <v>Error?</v>
      </c>
    </row>
    <row r="1812" spans="1:4" x14ac:dyDescent="0.2">
      <c r="A1812" s="5">
        <v>1751</v>
      </c>
      <c r="B1812" s="138">
        <f>'Tax Sched 23'!E8</f>
        <v>2535494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111536823</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102960000</v>
      </c>
      <c r="C1939" s="2" t="s">
        <v>593</v>
      </c>
      <c r="D1939" s="2" t="str">
        <f t="shared" si="29"/>
        <v>Error?</v>
      </c>
    </row>
    <row r="1940" spans="1:5" x14ac:dyDescent="0.2">
      <c r="A1940" s="5">
        <v>1879</v>
      </c>
      <c r="B1940" s="138">
        <f>'Short-Term Long-Term Debt 24'!F49</f>
        <v>6200000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5170483</v>
      </c>
      <c r="D2008" s="2" t="str">
        <f t="shared" si="30"/>
        <v>Error?</v>
      </c>
    </row>
    <row r="2009" spans="1:4" x14ac:dyDescent="0.2">
      <c r="A2009" s="5">
        <v>1948</v>
      </c>
      <c r="B2009" s="138">
        <f>'Cap Outlay Deprec 26'!C8</f>
        <v>196962825</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34238016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247652797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24504163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7723577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49103106</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24585206</v>
      </c>
      <c r="C2025" s="2" t="s">
        <v>593</v>
      </c>
      <c r="D2025" s="2" t="str">
        <f t="shared" si="30"/>
        <v>Error?</v>
      </c>
    </row>
    <row r="2026" spans="1:4" x14ac:dyDescent="0.2">
      <c r="A2026" s="5">
        <v>1965</v>
      </c>
      <c r="B2026" s="138">
        <f>'Cap Outlay Deprec 26'!F5</f>
        <v>5170483</v>
      </c>
      <c r="C2026" s="2" t="s">
        <v>593</v>
      </c>
      <c r="D2026" s="2" t="str">
        <f t="shared" si="30"/>
        <v>Error?</v>
      </c>
    </row>
    <row r="2027" spans="1:4" x14ac:dyDescent="0.2">
      <c r="A2027" s="5">
        <v>1966</v>
      </c>
      <c r="B2027" s="138">
        <f>'Cap Outlay Deprec 26'!F8</f>
        <v>221466988</v>
      </c>
      <c r="C2027" s="2" t="s">
        <v>593</v>
      </c>
      <c r="D2027" s="2" t="str">
        <f t="shared" si="30"/>
        <v>Error?</v>
      </c>
    </row>
    <row r="2028" spans="1:4" x14ac:dyDescent="0.2">
      <c r="A2028" s="5">
        <v>1967</v>
      </c>
      <c r="B2028" s="138">
        <f>'Cap Outlay Deprec 26'!F10</f>
        <v>0</v>
      </c>
      <c r="C2028" s="2" t="s">
        <v>593</v>
      </c>
      <c r="D2028" s="2" t="str">
        <f t="shared" si="30"/>
        <v>Error?</v>
      </c>
    </row>
    <row r="2029" spans="1:4" x14ac:dyDescent="0.2">
      <c r="A2029" s="5">
        <v>1968</v>
      </c>
      <c r="B2029" s="138">
        <f>'Cap Outlay Deprec 26'!F12</f>
        <v>41961593</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272170697</v>
      </c>
      <c r="C2031" s="2" t="s">
        <v>593</v>
      </c>
      <c r="D2031" s="2" t="str">
        <f t="shared" si="30"/>
        <v>Error?</v>
      </c>
    </row>
    <row r="2032" spans="1:4" x14ac:dyDescent="0.2">
      <c r="A2032" s="10">
        <v>1971</v>
      </c>
      <c r="D2032" s="2" t="str">
        <f t="shared" si="30"/>
        <v>OK</v>
      </c>
    </row>
    <row r="2033" spans="1:4" x14ac:dyDescent="0.2">
      <c r="A2033" s="5">
        <v>1972</v>
      </c>
      <c r="B2033" s="138">
        <f>'Cap Outlay Deprec 26'!H8</f>
        <v>80225009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22213627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102438636</v>
      </c>
      <c r="C2037" s="2" t="s">
        <v>593</v>
      </c>
      <c r="D2037" s="2" t="str">
        <f t="shared" si="30"/>
        <v>Error?</v>
      </c>
    </row>
    <row r="2038" spans="1:4" x14ac:dyDescent="0.2">
      <c r="A2038" s="10">
        <v>1977</v>
      </c>
      <c r="D2038" s="2" t="str">
        <f t="shared" si="30"/>
        <v>OK</v>
      </c>
    </row>
    <row r="2039" spans="1:4" x14ac:dyDescent="0.2">
      <c r="A2039" s="5">
        <v>1978</v>
      </c>
      <c r="B2039" s="138">
        <f>'Cap Outlay Deprec 26'!I8</f>
        <v>8858259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2767127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11625386</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89083268</v>
      </c>
      <c r="C2051" s="2" t="s">
        <v>593</v>
      </c>
      <c r="D2051" s="2" t="str">
        <f t="shared" si="31"/>
        <v>Error?</v>
      </c>
    </row>
    <row r="2052" spans="1:4" x14ac:dyDescent="0.2">
      <c r="A2052" s="5">
        <v>1991</v>
      </c>
      <c r="B2052" s="138">
        <f>'Cap Outlay Deprec 26'!K10</f>
        <v>0</v>
      </c>
      <c r="C2052" s="2" t="s">
        <v>593</v>
      </c>
      <c r="D2052" s="2" t="str">
        <f t="shared" si="31"/>
        <v>Error?</v>
      </c>
    </row>
    <row r="2053" spans="1:4" x14ac:dyDescent="0.2">
      <c r="A2053" s="5">
        <v>1992</v>
      </c>
      <c r="B2053" s="138">
        <f>'Cap Outlay Deprec 26'!K12</f>
        <v>24980754</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114064022</v>
      </c>
      <c r="C2055" s="2" t="s">
        <v>593</v>
      </c>
      <c r="D2055" s="2" t="str">
        <f t="shared" si="31"/>
        <v>Error?</v>
      </c>
    </row>
    <row r="2056" spans="1:4" x14ac:dyDescent="0.2">
      <c r="A2056" s="5">
        <v>1995</v>
      </c>
      <c r="B2056" s="138">
        <f>'Cap Outlay Deprec 26'!L5</f>
        <v>5170483</v>
      </c>
      <c r="C2056" s="2" t="s">
        <v>593</v>
      </c>
      <c r="D2056" s="2" t="str">
        <f t="shared" si="31"/>
        <v>Error?</v>
      </c>
    </row>
    <row r="2057" spans="1:4" x14ac:dyDescent="0.2">
      <c r="A2057" s="5">
        <v>1996</v>
      </c>
      <c r="B2057" s="138">
        <f>'Cap Outlay Deprec 26'!L8</f>
        <v>132383720</v>
      </c>
      <c r="C2057" s="2" t="s">
        <v>593</v>
      </c>
      <c r="D2057" s="2" t="str">
        <f t="shared" si="31"/>
        <v>Error?</v>
      </c>
    </row>
    <row r="2058" spans="1:4" x14ac:dyDescent="0.2">
      <c r="A2058" s="5">
        <v>1997</v>
      </c>
      <c r="B2058" s="138">
        <f>'Cap Outlay Deprec 26'!L10</f>
        <v>0</v>
      </c>
      <c r="C2058" s="2" t="s">
        <v>593</v>
      </c>
      <c r="D2058" s="2" t="str">
        <f t="shared" si="31"/>
        <v>Error?</v>
      </c>
    </row>
    <row r="2059" spans="1:4" x14ac:dyDescent="0.2">
      <c r="A2059" s="5">
        <v>1998</v>
      </c>
      <c r="B2059" s="138">
        <f>'Cap Outlay Deprec 26'!L12</f>
        <v>16980839</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158106675</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1504294</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1504294</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6950000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548596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3323665</v>
      </c>
      <c r="D2475" s="2" t="str">
        <f t="shared" si="37"/>
        <v>Error?</v>
      </c>
    </row>
    <row r="2476" spans="1:4" x14ac:dyDescent="0.2">
      <c r="A2476" s="10">
        <v>2415</v>
      </c>
      <c r="D2476" s="2" t="str">
        <f t="shared" si="37"/>
        <v>OK</v>
      </c>
    </row>
    <row r="2477" spans="1:4" x14ac:dyDescent="0.2">
      <c r="A2477" s="5">
        <v>2416</v>
      </c>
      <c r="B2477" s="138">
        <f>'Assets-Liab 5-6'!G38</f>
        <v>2685346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3540605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8077517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87203555</v>
      </c>
      <c r="C2551" s="2" t="s">
        <v>593</v>
      </c>
      <c r="D2551" s="2" t="str">
        <f t="shared" si="38"/>
        <v>Error?</v>
      </c>
    </row>
    <row r="2552" spans="1:4" x14ac:dyDescent="0.2">
      <c r="A2552" s="10">
        <v>2491</v>
      </c>
      <c r="D2552" s="2" t="str">
        <f t="shared" si="38"/>
        <v>OK</v>
      </c>
    </row>
    <row r="2553" spans="1:4" x14ac:dyDescent="0.2">
      <c r="A2553" s="5">
        <v>2492</v>
      </c>
      <c r="B2553" s="138">
        <f>'Acct Summary 7-8'!C6</f>
        <v>2908478</v>
      </c>
      <c r="C2553" s="2" t="s">
        <v>593</v>
      </c>
      <c r="D2553" s="2" t="str">
        <f t="shared" si="38"/>
        <v>Error?</v>
      </c>
    </row>
    <row r="2554" spans="1:4" x14ac:dyDescent="0.2">
      <c r="A2554" s="5">
        <v>2493</v>
      </c>
      <c r="B2554" s="138">
        <f>'Acct Summary 7-8'!C7</f>
        <v>2531320</v>
      </c>
      <c r="C2554" s="2" t="s">
        <v>593</v>
      </c>
      <c r="D2554" s="2" t="str">
        <f t="shared" si="38"/>
        <v>Error?</v>
      </c>
    </row>
    <row r="2555" spans="1:4" x14ac:dyDescent="0.2">
      <c r="A2555" s="5">
        <v>2494</v>
      </c>
      <c r="B2555" s="138">
        <f>'Acct Summary 7-8'!C8</f>
        <v>92643353</v>
      </c>
      <c r="C2555" s="2" t="s">
        <v>593</v>
      </c>
      <c r="D2555" s="2" t="str">
        <f t="shared" si="38"/>
        <v>Error?</v>
      </c>
    </row>
    <row r="2556" spans="1:4" x14ac:dyDescent="0.2">
      <c r="A2556" s="5">
        <v>2495</v>
      </c>
      <c r="B2556" s="138">
        <f>'Acct Summary 7-8'!C12</f>
        <v>57848442</v>
      </c>
      <c r="C2556" s="2" t="s">
        <v>593</v>
      </c>
      <c r="D2556" s="2" t="str">
        <f t="shared" si="38"/>
        <v>Error?</v>
      </c>
    </row>
    <row r="2557" spans="1:4" x14ac:dyDescent="0.2">
      <c r="A2557" s="5">
        <v>2496</v>
      </c>
      <c r="B2557" s="138">
        <f>'Acct Summary 7-8'!C13</f>
        <v>29518474</v>
      </c>
      <c r="C2557" s="2" t="s">
        <v>593</v>
      </c>
      <c r="D2557" s="2" t="str">
        <f t="shared" si="38"/>
        <v>Error?</v>
      </c>
    </row>
    <row r="2558" spans="1:4" x14ac:dyDescent="0.2">
      <c r="A2558" s="5">
        <v>2497</v>
      </c>
      <c r="B2558" s="138">
        <f>'Acct Summary 7-8'!C14</f>
        <v>277537</v>
      </c>
      <c r="C2558" s="2" t="s">
        <v>593</v>
      </c>
      <c r="D2558" s="2" t="str">
        <f t="shared" si="38"/>
        <v>Error?</v>
      </c>
    </row>
    <row r="2559" spans="1:4" x14ac:dyDescent="0.2">
      <c r="A2559" s="5">
        <v>2498</v>
      </c>
      <c r="B2559" s="138">
        <f>'Acct Summary 7-8'!C15</f>
        <v>1504294</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89148747</v>
      </c>
      <c r="C2561" s="2" t="s">
        <v>593</v>
      </c>
      <c r="D2561" s="2" t="str">
        <f t="shared" si="39"/>
        <v>Error?</v>
      </c>
    </row>
    <row r="2562" spans="1:4" x14ac:dyDescent="0.2">
      <c r="A2562" s="5">
        <v>2501</v>
      </c>
      <c r="B2562" s="138">
        <f>'Acct Summary 7-8'!C20</f>
        <v>3494606</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8801754</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8801754</v>
      </c>
      <c r="C2568" s="2" t="s">
        <v>593</v>
      </c>
      <c r="D2568" s="2" t="str">
        <f t="shared" si="39"/>
        <v>Error?</v>
      </c>
    </row>
    <row r="2569" spans="1:4" x14ac:dyDescent="0.2">
      <c r="A2569" s="5">
        <v>2508</v>
      </c>
      <c r="B2569" s="138">
        <f>'Acct Summary 7-8'!D13</f>
        <v>7643155</v>
      </c>
      <c r="C2569" s="2" t="s">
        <v>593</v>
      </c>
      <c r="D2569" s="2" t="str">
        <f t="shared" si="39"/>
        <v>Error?</v>
      </c>
    </row>
    <row r="2570" spans="1:4" x14ac:dyDescent="0.2">
      <c r="A2570" s="5">
        <v>2509</v>
      </c>
      <c r="B2570" s="138">
        <f>'Acct Summary 7-8'!D14</f>
        <v>98827</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7741982</v>
      </c>
      <c r="C2573" s="2" t="s">
        <v>593</v>
      </c>
      <c r="D2573" s="2" t="str">
        <f t="shared" si="39"/>
        <v>Error?</v>
      </c>
    </row>
    <row r="2574" spans="1:4" x14ac:dyDescent="0.2">
      <c r="A2574" s="5">
        <v>2513</v>
      </c>
      <c r="B2574" s="138">
        <f>'Acct Summary 7-8'!D20</f>
        <v>1059772</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1691431</v>
      </c>
      <c r="C2591" s="2" t="s">
        <v>593</v>
      </c>
      <c r="D2591" s="2" t="str">
        <f t="shared" si="39"/>
        <v>Error?</v>
      </c>
    </row>
    <row r="2592" spans="1:4" x14ac:dyDescent="0.2">
      <c r="A2592" s="10">
        <v>2531</v>
      </c>
      <c r="D2592" s="2" t="str">
        <f t="shared" si="39"/>
        <v>OK</v>
      </c>
    </row>
    <row r="2593" spans="1:4" x14ac:dyDescent="0.2">
      <c r="A2593" s="5">
        <v>2532</v>
      </c>
      <c r="B2593" s="138">
        <f>'Acct Summary 7-8'!F6</f>
        <v>447877</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2139308</v>
      </c>
      <c r="C2595" s="2" t="s">
        <v>593</v>
      </c>
      <c r="D2595" s="2" t="str">
        <f t="shared" si="39"/>
        <v>Error?</v>
      </c>
    </row>
    <row r="2596" spans="1:4" x14ac:dyDescent="0.2">
      <c r="A2596" s="5">
        <v>2535</v>
      </c>
      <c r="B2596" s="138">
        <f>'Acct Summary 7-8'!F13</f>
        <v>1999632</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1999632</v>
      </c>
      <c r="C2600" s="2" t="s">
        <v>593</v>
      </c>
      <c r="D2600" s="2" t="str">
        <f t="shared" si="39"/>
        <v>Error?</v>
      </c>
    </row>
    <row r="2601" spans="1:4" x14ac:dyDescent="0.2">
      <c r="A2601" s="5">
        <v>2540</v>
      </c>
      <c r="B2601" s="138">
        <f>'Acct Summary 7-8'!F20</f>
        <v>139676</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4242162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4242162</v>
      </c>
      <c r="C2606" s="2" t="s">
        <v>593</v>
      </c>
      <c r="D2606" s="2" t="str">
        <f t="shared" si="39"/>
        <v>Error?</v>
      </c>
    </row>
    <row r="2607" spans="1:4" x14ac:dyDescent="0.2">
      <c r="A2607" s="5">
        <v>2546</v>
      </c>
      <c r="B2607" s="138">
        <f>'Acct Summary 7-8'!G12</f>
        <v>1460685</v>
      </c>
      <c r="C2607" s="2" t="s">
        <v>593</v>
      </c>
      <c r="D2607" s="2" t="str">
        <f t="shared" si="39"/>
        <v>Error?</v>
      </c>
    </row>
    <row r="2608" spans="1:4" x14ac:dyDescent="0.2">
      <c r="A2608" s="5">
        <v>2547</v>
      </c>
      <c r="B2608" s="138">
        <f>'Acct Summary 7-8'!G13</f>
        <v>1614419</v>
      </c>
      <c r="C2608" s="2" t="s">
        <v>593</v>
      </c>
      <c r="D2608" s="2" t="str">
        <f t="shared" si="39"/>
        <v>Error?</v>
      </c>
    </row>
    <row r="2609" spans="1:4" x14ac:dyDescent="0.2">
      <c r="A2609" s="5">
        <v>2548</v>
      </c>
      <c r="B2609" s="138">
        <f>'Acct Summary 7-8'!G14</f>
        <v>15963</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3091067</v>
      </c>
      <c r="C2612" s="2" t="s">
        <v>593</v>
      </c>
      <c r="D2612" s="2" t="str">
        <f t="shared" si="39"/>
        <v>Error?</v>
      </c>
    </row>
    <row r="2613" spans="1:4" x14ac:dyDescent="0.2">
      <c r="A2613" s="5">
        <v>2552</v>
      </c>
      <c r="B2613" s="138">
        <f>'Acct Summary 7-8'!G20</f>
        <v>1151095</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9553171</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9553171</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10007451</v>
      </c>
      <c r="C2634" s="2" t="s">
        <v>593</v>
      </c>
      <c r="D2634" s="2" t="str">
        <f t="shared" si="40"/>
        <v>Error?</v>
      </c>
    </row>
    <row r="2635" spans="1:4" x14ac:dyDescent="0.2">
      <c r="A2635" s="5">
        <v>2574</v>
      </c>
      <c r="B2635" s="138">
        <f>'Acct Summary 7-8'!E17</f>
        <v>10007451</v>
      </c>
      <c r="C2635" s="2" t="s">
        <v>593</v>
      </c>
      <c r="D2635" s="2" t="str">
        <f t="shared" si="40"/>
        <v>Error?</v>
      </c>
    </row>
    <row r="2636" spans="1:4" x14ac:dyDescent="0.2">
      <c r="A2636" s="5">
        <v>2575</v>
      </c>
      <c r="B2636" s="138">
        <f>'Acct Summary 7-8'!E20</f>
        <v>-454280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1647877</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1647877</v>
      </c>
      <c r="C2658" s="2" t="s">
        <v>593</v>
      </c>
      <c r="D2658" s="2" t="str">
        <f t="shared" si="40"/>
        <v>Error?</v>
      </c>
    </row>
    <row r="2659" spans="1:4" x14ac:dyDescent="0.2">
      <c r="A2659" s="5">
        <v>2598</v>
      </c>
      <c r="B2659" s="138">
        <f>'Acct Summary 7-8'!H13</f>
        <v>25697831</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25697831</v>
      </c>
      <c r="C2661" s="2" t="s">
        <v>593</v>
      </c>
      <c r="D2661" s="2" t="str">
        <f t="shared" si="40"/>
        <v>Error?</v>
      </c>
    </row>
    <row r="2662" spans="1:4" x14ac:dyDescent="0.2">
      <c r="A2662" s="5">
        <v>2601</v>
      </c>
      <c r="B2662" s="138">
        <f>'Acct Summary 7-8'!H20</f>
        <v>-24049954</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18</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98827</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98827</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3571633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1345412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3340162</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5024685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8990339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9219</v>
      </c>
      <c r="D2908" s="2" t="str">
        <f t="shared" si="44"/>
        <v>Error?</v>
      </c>
    </row>
    <row r="2909" spans="1:4" x14ac:dyDescent="0.2">
      <c r="A2909" s="10">
        <v>2848</v>
      </c>
      <c r="D2909" s="2" t="str">
        <f t="shared" si="44"/>
        <v>OK</v>
      </c>
    </row>
    <row r="2910" spans="1:4" x14ac:dyDescent="0.2">
      <c r="A2910" s="5">
        <v>2849</v>
      </c>
      <c r="B2910" s="138">
        <f>'Assets-Liab 5-6'!I34</f>
        <v>9219</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3330943</v>
      </c>
      <c r="D2912" s="2" t="str">
        <f t="shared" si="44"/>
        <v>Error?</v>
      </c>
    </row>
    <row r="2913" spans="1:4" x14ac:dyDescent="0.2">
      <c r="A2913" s="5">
        <v>2852</v>
      </c>
      <c r="B2913" s="138">
        <f>'Assets-Liab 5-6'!I41</f>
        <v>3340162</v>
      </c>
      <c r="C2913" s="2" t="s">
        <v>593</v>
      </c>
      <c r="D2913" s="2" t="str">
        <f t="shared" si="44"/>
        <v>Error?</v>
      </c>
    </row>
    <row r="2914" spans="1:4" x14ac:dyDescent="0.2">
      <c r="A2914" s="5">
        <v>2853</v>
      </c>
      <c r="B2914" s="138">
        <f>'Assets-Liab 5-6'!L33</f>
        <v>8990339</v>
      </c>
      <c r="D2914" s="2" t="str">
        <f t="shared" si="44"/>
        <v>Error?</v>
      </c>
    </row>
    <row r="2915" spans="1:4" x14ac:dyDescent="0.2">
      <c r="A2915" s="10">
        <v>2854</v>
      </c>
      <c r="D2915" s="2" t="str">
        <f t="shared" si="44"/>
        <v>OK</v>
      </c>
    </row>
    <row r="2916" spans="1:4" x14ac:dyDescent="0.2">
      <c r="A2916" s="5">
        <v>2855</v>
      </c>
      <c r="B2916" s="138">
        <f>'Assets-Liab 5-6'!L34</f>
        <v>8990339</v>
      </c>
      <c r="C2916" s="2" t="s">
        <v>593</v>
      </c>
      <c r="D2916" s="2" t="str">
        <f t="shared" si="44"/>
        <v>Error?</v>
      </c>
    </row>
    <row r="2917" spans="1:4" x14ac:dyDescent="0.2">
      <c r="A2917" s="5">
        <v>2856</v>
      </c>
      <c r="B2917" s="138">
        <f>'Assets-Liab 5-6'!L41</f>
        <v>8990339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1504294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1504294</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43476</v>
      </c>
      <c r="C3225" s="2" t="s">
        <v>593</v>
      </c>
      <c r="D3225" s="2" t="str">
        <f t="shared" si="49"/>
        <v>Error?</v>
      </c>
    </row>
    <row r="3226" spans="1:4" x14ac:dyDescent="0.2">
      <c r="A3226" s="5">
        <v>3165</v>
      </c>
      <c r="B3226" s="138">
        <f>'Acct Summary 7-8'!I8</f>
        <v>43476</v>
      </c>
      <c r="C3226" s="2" t="s">
        <v>593</v>
      </c>
      <c r="D3226" s="2" t="str">
        <f t="shared" si="49"/>
        <v>Error?</v>
      </c>
    </row>
    <row r="3227" spans="1:4" x14ac:dyDescent="0.2">
      <c r="A3227" s="5">
        <v>3166</v>
      </c>
      <c r="B3227" s="138">
        <f>'Acct Summary 7-8'!I20</f>
        <v>43476</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16547</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2884441</v>
      </c>
      <c r="C3231" s="2" t="s">
        <v>593</v>
      </c>
      <c r="D3231" s="2" t="str">
        <f t="shared" si="49"/>
        <v>Error?</v>
      </c>
    </row>
    <row r="3232" spans="1:4" x14ac:dyDescent="0.2">
      <c r="A3232" s="5">
        <v>3171</v>
      </c>
      <c r="B3232" s="138">
        <f>'Acct Summary 7-8'!C77</f>
        <v>-2867894</v>
      </c>
      <c r="C3232" s="2" t="s">
        <v>593</v>
      </c>
      <c r="D3232" s="2" t="str">
        <f t="shared" si="49"/>
        <v>Error?</v>
      </c>
    </row>
    <row r="3233" spans="1:4" x14ac:dyDescent="0.2">
      <c r="A3233" s="5">
        <v>3172</v>
      </c>
      <c r="B3233" s="138">
        <f>'Acct Summary 7-8'!C78</f>
        <v>626712</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9834441</v>
      </c>
      <c r="C3235" s="2" t="s">
        <v>593</v>
      </c>
      <c r="D3235" s="2" t="str">
        <f t="shared" si="49"/>
        <v>Error?</v>
      </c>
    </row>
    <row r="3236" spans="1:4" x14ac:dyDescent="0.2">
      <c r="A3236" s="5">
        <v>3175</v>
      </c>
      <c r="B3236" s="138">
        <f>'Acct Summary 7-8'!D75</f>
        <v>10334441</v>
      </c>
      <c r="D3236" s="2" t="str">
        <f t="shared" si="49"/>
        <v>Error?</v>
      </c>
    </row>
    <row r="3237" spans="1:4" x14ac:dyDescent="0.2">
      <c r="A3237" s="5">
        <v>3176</v>
      </c>
      <c r="B3237" s="138">
        <f>'Acct Summary 7-8'!D76</f>
        <v>10520666</v>
      </c>
      <c r="C3237" s="2" t="s">
        <v>593</v>
      </c>
      <c r="D3237" s="2" t="str">
        <f t="shared" si="49"/>
        <v>Error?</v>
      </c>
    </row>
    <row r="3238" spans="1:4" x14ac:dyDescent="0.2">
      <c r="A3238" s="5">
        <v>3177</v>
      </c>
      <c r="B3238" s="138">
        <f>'Acct Summary 7-8'!D77</f>
        <v>-686225</v>
      </c>
      <c r="C3238" s="2" t="s">
        <v>593</v>
      </c>
      <c r="D3238" s="2" t="str">
        <f t="shared" si="49"/>
        <v>Error?</v>
      </c>
    </row>
    <row r="3239" spans="1:4" x14ac:dyDescent="0.2">
      <c r="A3239" s="5">
        <v>3178</v>
      </c>
      <c r="B3239" s="138">
        <f>'Acct Summary 7-8'!D78</f>
        <v>373547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139676</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1151095</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186225</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186225</v>
      </c>
      <c r="C3277" s="2" t="s">
        <v>593</v>
      </c>
      <c r="D3277" s="2" t="str">
        <f t="shared" si="50"/>
        <v>Error?</v>
      </c>
    </row>
    <row r="3278" spans="1:4" x14ac:dyDescent="0.2">
      <c r="A3278" s="5">
        <v>3217</v>
      </c>
      <c r="B3278" s="138">
        <f>'Acct Summary 7-8'!E78</f>
        <v>-268055</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10334441</v>
      </c>
      <c r="D3295" s="2" t="str">
        <f t="shared" si="50"/>
        <v>Error?</v>
      </c>
    </row>
    <row r="3296" spans="1:4" x14ac:dyDescent="0.2">
      <c r="A3296" s="5">
        <v>3235</v>
      </c>
      <c r="B3296" s="138">
        <f>'Acct Summary 7-8'!H44</f>
        <v>10334441</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10334441</v>
      </c>
      <c r="C3299" s="2" t="s">
        <v>593</v>
      </c>
      <c r="D3299" s="2" t="str">
        <f t="shared" si="50"/>
        <v>Error?</v>
      </c>
    </row>
    <row r="3300" spans="1:4" x14ac:dyDescent="0.2">
      <c r="A3300" s="5">
        <v>3239</v>
      </c>
      <c r="B3300" s="138">
        <f>'Acct Summary 7-8'!H78</f>
        <v>-13715513</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7041073</v>
      </c>
      <c r="C3317" s="2" t="s">
        <v>593</v>
      </c>
      <c r="D3317" s="2" t="str">
        <f t="shared" si="50"/>
        <v>Error?</v>
      </c>
    </row>
    <row r="3318" spans="1:4" x14ac:dyDescent="0.2">
      <c r="A3318" s="5">
        <v>3257</v>
      </c>
      <c r="B3318" s="138">
        <f>'Acct Summary 7-8'!I76</f>
        <v>7038603</v>
      </c>
      <c r="C3318" s="2" t="s">
        <v>593</v>
      </c>
      <c r="D3318" s="2" t="str">
        <f t="shared" si="50"/>
        <v>Error?</v>
      </c>
    </row>
    <row r="3319" spans="1:4" x14ac:dyDescent="0.2">
      <c r="A3319" s="5">
        <v>3258</v>
      </c>
      <c r="B3319" s="138">
        <f>'Acct Summary 7-8'!I77</f>
        <v>2470</v>
      </c>
      <c r="C3319" s="2" t="s">
        <v>593</v>
      </c>
      <c r="D3319" s="2" t="str">
        <f t="shared" si="50"/>
        <v>Error?</v>
      </c>
    </row>
    <row r="3320" spans="1:4" x14ac:dyDescent="0.2">
      <c r="A3320" s="5">
        <v>3259</v>
      </c>
      <c r="B3320" s="138">
        <f>'Acct Summary 7-8'!I78</f>
        <v>45946</v>
      </c>
      <c r="C3320" s="2" t="s">
        <v>593</v>
      </c>
      <c r="D3320" s="2" t="str">
        <f t="shared" si="50"/>
        <v>Error?</v>
      </c>
    </row>
    <row r="3321" spans="1:4" x14ac:dyDescent="0.2">
      <c r="A3321" s="5">
        <v>3260</v>
      </c>
      <c r="B3321" s="138">
        <f>'Acct Summary 7-8'!I79</f>
        <v>3284997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3330943</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7243500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1087410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114868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52351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23774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1849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8523752</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716509</v>
      </c>
      <c r="D3387" s="2" t="str">
        <f t="shared" si="51"/>
        <v>Error?</v>
      </c>
    </row>
    <row r="3388" spans="1:4" x14ac:dyDescent="0.2">
      <c r="A3388" s="5">
        <v>3327</v>
      </c>
      <c r="B3388" s="138">
        <f>'Expenditures 15-22'!D217</f>
        <v>368231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716509</v>
      </c>
      <c r="C3390" s="2" t="s">
        <v>593</v>
      </c>
      <c r="D3390" s="2" t="str">
        <f t="shared" si="51"/>
        <v>Error?</v>
      </c>
    </row>
    <row r="3391" spans="1:4" x14ac:dyDescent="0.2">
      <c r="A3391" s="5">
        <v>3330</v>
      </c>
      <c r="B3391" s="138">
        <f>'Expenditures 15-22'!K217</f>
        <v>368231</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4075601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3487587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2617474</v>
      </c>
      <c r="D3417" s="2" t="str">
        <f t="shared" si="52"/>
        <v>Error?</v>
      </c>
    </row>
    <row r="3418" spans="1:4" x14ac:dyDescent="0.2">
      <c r="A3418" s="10">
        <v>3357</v>
      </c>
      <c r="D3418" s="2" t="str">
        <f t="shared" si="52"/>
        <v>OK</v>
      </c>
    </row>
    <row r="3419" spans="1:4" x14ac:dyDescent="0.2">
      <c r="A3419" s="5">
        <v>3358</v>
      </c>
      <c r="B3419" s="138">
        <f>'Assets-Liab 5-6'!F4</f>
        <v>2537198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2034541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6466337</v>
      </c>
      <c r="D3425" s="2" t="str">
        <f t="shared" si="52"/>
        <v>Error?</v>
      </c>
    </row>
    <row r="3426" spans="1:4" x14ac:dyDescent="0.2">
      <c r="A3426" s="10">
        <v>3365</v>
      </c>
      <c r="D3426" s="2" t="str">
        <f t="shared" si="52"/>
        <v>OK</v>
      </c>
    </row>
    <row r="3427" spans="1:4" x14ac:dyDescent="0.2">
      <c r="A3427" s="5">
        <v>3366</v>
      </c>
      <c r="B3427" s="138">
        <f>'Assets-Liab 5-6'!I4</f>
        <v>1984373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3790312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2210087</v>
      </c>
      <c r="C3446" s="2" t="s">
        <v>593</v>
      </c>
      <c r="D3446" s="2" t="str">
        <f t="shared" si="52"/>
        <v>Error?</v>
      </c>
    </row>
    <row r="3447" spans="1:4" x14ac:dyDescent="0.2">
      <c r="A3447" s="5">
        <v>3386</v>
      </c>
      <c r="B3447" s="138">
        <f>'Tax Sched 23'!D16</f>
        <v>896154</v>
      </c>
      <c r="C3447" s="2" t="s">
        <v>593</v>
      </c>
      <c r="D3447" s="2" t="str">
        <f t="shared" si="52"/>
        <v>Error?</v>
      </c>
    </row>
    <row r="3448" spans="1:4" x14ac:dyDescent="0.2">
      <c r="A3448" s="5">
        <v>3387</v>
      </c>
      <c r="B3448" s="138">
        <f>'Tax Sched 23'!C16</f>
        <v>1313933</v>
      </c>
      <c r="D3448" s="2" t="str">
        <f t="shared" si="52"/>
        <v>Error?</v>
      </c>
    </row>
    <row r="3449" spans="1:4" x14ac:dyDescent="0.2">
      <c r="A3449" s="5">
        <v>3388</v>
      </c>
      <c r="B3449" s="138">
        <f>'Tax Sched 23'!F16</f>
        <v>751403</v>
      </c>
      <c r="C3449" s="2" t="s">
        <v>593</v>
      </c>
      <c r="D3449" s="2" t="str">
        <f t="shared" si="52"/>
        <v>Error?</v>
      </c>
    </row>
    <row r="3450" spans="1:4" x14ac:dyDescent="0.2">
      <c r="A3450" s="5">
        <v>3389</v>
      </c>
      <c r="B3450" s="138">
        <f>'Tax Sched 23'!E16</f>
        <v>2065336</v>
      </c>
      <c r="D3450" s="2" t="str">
        <f t="shared" si="52"/>
        <v>Error?</v>
      </c>
    </row>
    <row r="3451" spans="1:4" x14ac:dyDescent="0.2">
      <c r="A3451" s="5">
        <v>3390</v>
      </c>
      <c r="B3451" s="138">
        <f>'Cap Outlay Deprec 26'!C15</f>
        <v>11281473</v>
      </c>
      <c r="D3451" s="2" t="str">
        <f t="shared" si="52"/>
        <v>Error?</v>
      </c>
    </row>
    <row r="3452" spans="1:4" x14ac:dyDescent="0.2">
      <c r="A3452" s="5">
        <v>3391</v>
      </c>
      <c r="B3452" s="138">
        <f>'Cap Outlay Deprec 26'!D15</f>
        <v>16875366</v>
      </c>
      <c r="D3452" s="2" t="str">
        <f t="shared" si="52"/>
        <v>Error?</v>
      </c>
    </row>
    <row r="3453" spans="1:4" x14ac:dyDescent="0.2">
      <c r="A3453" s="5">
        <v>3392</v>
      </c>
      <c r="B3453" s="138">
        <f>'Cap Outlay Deprec 26'!E15</f>
        <v>24585206</v>
      </c>
      <c r="D3453" s="2" t="str">
        <f t="shared" si="52"/>
        <v>Error?</v>
      </c>
    </row>
    <row r="3454" spans="1:4" x14ac:dyDescent="0.2">
      <c r="A3454" s="5">
        <v>3393</v>
      </c>
      <c r="B3454" s="138">
        <f>'Cap Outlay Deprec 26'!F15</f>
        <v>3571633</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3571633</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16547</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638469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638469</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75267</v>
      </c>
      <c r="C3565" s="2" t="s">
        <v>593</v>
      </c>
      <c r="D3565" s="2" t="str">
        <f t="shared" si="54"/>
        <v>Error?</v>
      </c>
    </row>
    <row r="3566" spans="1:4" x14ac:dyDescent="0.2">
      <c r="A3566" s="5">
        <v>3505</v>
      </c>
      <c r="B3566" s="138">
        <f>'Assets-Liab 5-6'!K38</f>
        <v>563202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638469</v>
      </c>
      <c r="C3568" s="2" t="s">
        <v>593</v>
      </c>
      <c r="D3568" s="2" t="str">
        <f t="shared" si="54"/>
        <v>Error?</v>
      </c>
    </row>
    <row r="3569" spans="1:4" x14ac:dyDescent="0.2">
      <c r="A3569" s="5">
        <v>3508</v>
      </c>
      <c r="B3569" s="138">
        <f>'Acct Summary 7-8'!K4</f>
        <v>23365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23365</v>
      </c>
      <c r="C3571" s="2" t="s">
        <v>593</v>
      </c>
      <c r="D3571" s="2" t="str">
        <f t="shared" si="54"/>
        <v>Error?</v>
      </c>
    </row>
    <row r="3572" spans="1:4" x14ac:dyDescent="0.2">
      <c r="A3572" s="5">
        <v>3511</v>
      </c>
      <c r="B3572" s="138">
        <f>'Acct Summary 7-8'!K13</f>
        <v>1478762</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1478762</v>
      </c>
      <c r="C3575" s="2" t="s">
        <v>593</v>
      </c>
      <c r="D3575" s="2" t="str">
        <f t="shared" si="54"/>
        <v>Error?</v>
      </c>
    </row>
    <row r="3576" spans="1:4" x14ac:dyDescent="0.2">
      <c r="A3576" s="5">
        <v>3515</v>
      </c>
      <c r="B3576" s="138">
        <f>'Acct Summary 7-8'!K20</f>
        <v>-1455397</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-1455397</v>
      </c>
      <c r="C3588" s="2" t="s">
        <v>593</v>
      </c>
      <c r="D3588" s="2" t="str">
        <f t="shared" si="55"/>
        <v>Error?</v>
      </c>
    </row>
    <row r="3589" spans="1:4" x14ac:dyDescent="0.2">
      <c r="A3589" s="5">
        <v>3528</v>
      </c>
      <c r="B3589" s="138">
        <f>'Acct Summary 7-8'!K79</f>
        <v>2018599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563202</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135447</v>
      </c>
      <c r="D3632" s="2" t="str">
        <f t="shared" si="55"/>
        <v>Error?</v>
      </c>
    </row>
    <row r="3633" spans="1:4" x14ac:dyDescent="0.2">
      <c r="A3633" s="5">
        <v>3572</v>
      </c>
      <c r="B3633" s="138">
        <f>'Expenditures 15-22'!E350</f>
        <v>135447</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135447</v>
      </c>
      <c r="C3635" s="2" t="s">
        <v>593</v>
      </c>
      <c r="D3635" s="2" t="str">
        <f t="shared" si="55"/>
        <v>Error?</v>
      </c>
    </row>
    <row r="3636" spans="1:4" x14ac:dyDescent="0.2">
      <c r="A3636" s="5">
        <v>3575</v>
      </c>
      <c r="B3636" s="138">
        <f>'Expenditures 15-22'!E367</f>
        <v>135447</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1343315</v>
      </c>
      <c r="D3646" s="2" t="str">
        <f t="shared" si="55"/>
        <v>Error?</v>
      </c>
    </row>
    <row r="3647" spans="1:4" x14ac:dyDescent="0.2">
      <c r="A3647" s="5">
        <v>3586</v>
      </c>
      <c r="B3647" s="138">
        <f>'Expenditures 15-22'!G350</f>
        <v>1343315</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1343315</v>
      </c>
      <c r="C3649" s="2" t="s">
        <v>593</v>
      </c>
      <c r="D3649" s="2" t="str">
        <f t="shared" si="56"/>
        <v>Error?</v>
      </c>
    </row>
    <row r="3650" spans="1:4" x14ac:dyDescent="0.2">
      <c r="A3650" s="5">
        <v>3589</v>
      </c>
      <c r="B3650" s="138">
        <f>'Expenditures 15-22'!G367</f>
        <v>1343315</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1478762</v>
      </c>
      <c r="C3669" s="2" t="s">
        <v>593</v>
      </c>
      <c r="D3669" s="2" t="str">
        <f t="shared" si="56"/>
        <v>Error?</v>
      </c>
    </row>
    <row r="3670" spans="1:4" x14ac:dyDescent="0.2">
      <c r="A3670" s="5">
        <v>3609</v>
      </c>
      <c r="B3670" s="138">
        <f>'Expenditures 15-22'!K350</f>
        <v>1478762</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1478762</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1478762</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-1455397</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21531835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114175188</v>
      </c>
      <c r="C4122" s="2" t="s">
        <v>593</v>
      </c>
      <c r="D4122" s="2" t="str">
        <f t="shared" si="63"/>
        <v>Error?</v>
      </c>
    </row>
    <row r="4123" spans="1:4" x14ac:dyDescent="0.2">
      <c r="A4123" s="5">
        <v>4062</v>
      </c>
      <c r="B4123" s="138">
        <f>'Acct Summary 7-8'!D10</f>
        <v>8801754</v>
      </c>
      <c r="C4123" s="2" t="s">
        <v>593</v>
      </c>
      <c r="D4123" s="2" t="str">
        <f t="shared" si="63"/>
        <v>Error?</v>
      </c>
    </row>
    <row r="4124" spans="1:4" x14ac:dyDescent="0.2">
      <c r="A4124" s="5">
        <v>4063</v>
      </c>
      <c r="B4124" s="138">
        <f>'Acct Summary 7-8'!E10</f>
        <v>9553171</v>
      </c>
      <c r="C4124" s="2" t="s">
        <v>593</v>
      </c>
      <c r="D4124" s="2" t="str">
        <f t="shared" si="63"/>
        <v>Error?</v>
      </c>
    </row>
    <row r="4125" spans="1:4" x14ac:dyDescent="0.2">
      <c r="A4125" s="5">
        <v>4064</v>
      </c>
      <c r="B4125" s="138">
        <f>'Acct Summary 7-8'!F10</f>
        <v>2139308</v>
      </c>
      <c r="C4125" s="2" t="s">
        <v>593</v>
      </c>
      <c r="D4125" s="2" t="str">
        <f t="shared" si="63"/>
        <v>Error?</v>
      </c>
    </row>
    <row r="4126" spans="1:4" x14ac:dyDescent="0.2">
      <c r="A4126" s="5">
        <v>4065</v>
      </c>
      <c r="B4126" s="138">
        <f>'Acct Summary 7-8'!G10</f>
        <v>4242162</v>
      </c>
      <c r="C4126" s="2" t="s">
        <v>593</v>
      </c>
      <c r="D4126" s="2" t="str">
        <f t="shared" si="63"/>
        <v>Error?</v>
      </c>
    </row>
    <row r="4127" spans="1:4" x14ac:dyDescent="0.2">
      <c r="A4127" s="5">
        <v>4066</v>
      </c>
      <c r="B4127" s="138">
        <f>'Acct Summary 7-8'!H10</f>
        <v>1647877</v>
      </c>
      <c r="C4127" s="2" t="s">
        <v>593</v>
      </c>
      <c r="D4127" s="2" t="str">
        <f t="shared" si="63"/>
        <v>Error?</v>
      </c>
    </row>
    <row r="4128" spans="1:4" x14ac:dyDescent="0.2">
      <c r="A4128" s="5">
        <v>4067</v>
      </c>
      <c r="B4128" s="138">
        <f>'Acct Summary 7-8'!I10</f>
        <v>43476</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23365</v>
      </c>
      <c r="C4130" s="2" t="s">
        <v>593</v>
      </c>
      <c r="D4130" s="2" t="str">
        <f t="shared" si="63"/>
        <v>Error?</v>
      </c>
    </row>
    <row r="4131" spans="1:4" x14ac:dyDescent="0.2">
      <c r="A4131" s="5">
        <v>4070</v>
      </c>
      <c r="B4131" s="138">
        <f>'Acct Summary 7-8'!C18</f>
        <v>21531835</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110680582</v>
      </c>
      <c r="C4136" s="2" t="s">
        <v>593</v>
      </c>
      <c r="D4136" s="2" t="str">
        <f t="shared" si="63"/>
        <v>Error?</v>
      </c>
    </row>
    <row r="4137" spans="1:4" x14ac:dyDescent="0.2">
      <c r="A4137" s="5">
        <v>4076</v>
      </c>
      <c r="B4137" s="138">
        <f>'Acct Summary 7-8'!D19</f>
        <v>7741982</v>
      </c>
      <c r="C4137" s="2" t="s">
        <v>593</v>
      </c>
      <c r="D4137" s="2" t="str">
        <f t="shared" si="63"/>
        <v>Error?</v>
      </c>
    </row>
    <row r="4138" spans="1:4" x14ac:dyDescent="0.2">
      <c r="A4138" s="5">
        <v>4077</v>
      </c>
      <c r="B4138" s="138">
        <f>'Acct Summary 7-8'!E19</f>
        <v>10007451</v>
      </c>
      <c r="C4138" s="2" t="s">
        <v>593</v>
      </c>
      <c r="D4138" s="2" t="str">
        <f t="shared" si="63"/>
        <v>Error?</v>
      </c>
    </row>
    <row r="4139" spans="1:4" x14ac:dyDescent="0.2">
      <c r="A4139" s="5">
        <v>4078</v>
      </c>
      <c r="B4139" s="138">
        <f>'Acct Summary 7-8'!F19</f>
        <v>1999632</v>
      </c>
      <c r="C4139" s="2" t="s">
        <v>593</v>
      </c>
      <c r="D4139" s="2" t="str">
        <f t="shared" si="63"/>
        <v>Error?</v>
      </c>
    </row>
    <row r="4140" spans="1:4" x14ac:dyDescent="0.2">
      <c r="A4140" s="5">
        <v>4079</v>
      </c>
      <c r="B4140" s="138">
        <f>'Acct Summary 7-8'!G19</f>
        <v>3091067</v>
      </c>
      <c r="C4140" s="2" t="s">
        <v>593</v>
      </c>
      <c r="D4140" s="2" t="str">
        <f t="shared" si="63"/>
        <v>Error?</v>
      </c>
    </row>
    <row r="4141" spans="1:4" x14ac:dyDescent="0.2">
      <c r="A4141" s="5">
        <v>4080</v>
      </c>
      <c r="B4141" s="138">
        <f>'Acct Summary 7-8'!H19</f>
        <v>25697831</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1478762</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102395000</v>
      </c>
      <c r="C4171" s="2" t="s">
        <v>593</v>
      </c>
      <c r="D4171" s="2" t="str">
        <f t="shared" si="64"/>
        <v>Error?</v>
      </c>
    </row>
    <row r="4172" spans="1:4" x14ac:dyDescent="0.2">
      <c r="A4172" s="5">
        <v>4111</v>
      </c>
      <c r="B4172" s="138">
        <f>'Short-Term Long-Term Debt 24'!J49</f>
        <v>98854395</v>
      </c>
      <c r="C4172" s="2" t="s">
        <v>593</v>
      </c>
      <c r="D4172" s="2" t="str">
        <f t="shared" si="64"/>
        <v>Error?</v>
      </c>
    </row>
    <row r="4173" spans="1:4" x14ac:dyDescent="0.2">
      <c r="A4173" s="5">
        <v>4112</v>
      </c>
      <c r="B4173" s="138">
        <f>'Short-Term Long-Term Debt 24'!H49</f>
        <v>6765000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1566.3</v>
      </c>
      <c r="C4265" s="2" t="s">
        <v>593</v>
      </c>
      <c r="D4265" s="2" t="str">
        <f t="shared" si="65"/>
        <v>Error?</v>
      </c>
      <c r="E4265" s="128"/>
    </row>
    <row r="4266" spans="1:5" x14ac:dyDescent="0.2">
      <c r="A4266" s="12">
        <v>4205</v>
      </c>
      <c r="B4266" s="138">
        <f>('FP Info 3'!F10)*100000</f>
        <v>135.69999999999999</v>
      </c>
      <c r="C4266" s="2" t="s">
        <v>593</v>
      </c>
      <c r="D4266" s="2" t="str">
        <f t="shared" si="65"/>
        <v>Error?</v>
      </c>
      <c r="E4266" s="128"/>
    </row>
    <row r="4267" spans="1:5" x14ac:dyDescent="0.2">
      <c r="A4267" s="12">
        <v>4206</v>
      </c>
      <c r="B4267" s="138">
        <f>('FP Info 3'!H10)*100000</f>
        <v>25.3</v>
      </c>
      <c r="C4267" s="2" t="s">
        <v>593</v>
      </c>
      <c r="D4267" s="2" t="str">
        <f t="shared" si="65"/>
        <v>Error?</v>
      </c>
      <c r="E4267" s="128"/>
    </row>
    <row r="4268" spans="1:5" x14ac:dyDescent="0.2">
      <c r="A4268" s="12">
        <v>4207</v>
      </c>
      <c r="B4268" s="138">
        <f>('FP Info 3'!J10)*100000</f>
        <v>1727</v>
      </c>
      <c r="C4268" s="2" t="s">
        <v>593</v>
      </c>
      <c r="D4268" s="2" t="str">
        <f t="shared" si="65"/>
        <v>Error?</v>
      </c>
    </row>
    <row r="4269" spans="1:5" x14ac:dyDescent="0.2">
      <c r="A4269" s="12">
        <v>4208</v>
      </c>
      <c r="B4269" s="138">
        <f>'FP Info 3'!J16</f>
        <v>80457250</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1931</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701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29817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5564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25988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5597117421</v>
      </c>
      <c r="D4995" s="2" t="str">
        <f t="shared" si="77"/>
        <v>Error?</v>
      </c>
    </row>
    <row r="4996" spans="1:4" x14ac:dyDescent="0.2">
      <c r="A4996" s="12">
        <v>4935</v>
      </c>
      <c r="B4996" s="138">
        <f>'FP Info 3'!H31</f>
        <v>386201102.04900002</v>
      </c>
      <c r="D4996" s="2" t="str">
        <f t="shared" si="77"/>
        <v>Error?</v>
      </c>
    </row>
    <row r="4997" spans="1:4" x14ac:dyDescent="0.2">
      <c r="A4997" s="12">
        <v>4936</v>
      </c>
      <c r="B4997" s="138">
        <f>'FP Info 3'!H37</f>
        <v>102395000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2884441</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2884441</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83215957</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83215957</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716388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578697</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1295085</v>
      </c>
      <c r="C5087" s="2" t="s">
        <v>593</v>
      </c>
      <c r="D5087" s="2" t="str">
        <f t="shared" si="78"/>
        <v>Error?</v>
      </c>
    </row>
    <row r="5088" spans="1:4" x14ac:dyDescent="0.2">
      <c r="A5088" s="5">
        <v>5027</v>
      </c>
      <c r="B5088" s="138">
        <f>'Revenues 9-14'!C65</f>
        <v>1076191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1076191</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533000</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917168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917168</v>
      </c>
      <c r="C5102" s="2" t="s">
        <v>593</v>
      </c>
      <c r="D5102" s="2" t="str">
        <f t="shared" si="78"/>
        <v>Error?</v>
      </c>
    </row>
    <row r="5103" spans="1:4" x14ac:dyDescent="0.2">
      <c r="A5103" s="5">
        <v>5042</v>
      </c>
      <c r="B5103" s="138">
        <f>'Revenues 9-14'!C84</f>
        <v>85659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85659</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80495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80495</v>
      </c>
      <c r="C5120" s="2" t="s">
        <v>593</v>
      </c>
      <c r="D5120" s="2" t="str">
        <f t="shared" si="79"/>
        <v>Error?</v>
      </c>
    </row>
    <row r="5121" spans="1:4" x14ac:dyDescent="0.2">
      <c r="A5121" s="5">
        <v>5060</v>
      </c>
      <c r="B5121" s="138">
        <f>'Revenues 9-14'!C109</f>
        <v>87203555</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2262769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2262769</v>
      </c>
      <c r="C5132" s="2" t="s">
        <v>593</v>
      </c>
      <c r="D5132" s="2" t="str">
        <f t="shared" si="79"/>
        <v>Error?</v>
      </c>
    </row>
    <row r="5133" spans="1:4" x14ac:dyDescent="0.2">
      <c r="A5133" s="5">
        <v>5072</v>
      </c>
      <c r="B5133" s="138">
        <f>'Revenues 9-14'!C124</f>
        <v>98411</v>
      </c>
      <c r="D5133" s="2" t="str">
        <f t="shared" si="79"/>
        <v>Error?</v>
      </c>
    </row>
    <row r="5134" spans="1:4" x14ac:dyDescent="0.2">
      <c r="A5134" s="5">
        <v>5073</v>
      </c>
      <c r="B5134" s="138">
        <f>'Revenues 9-14'!C125</f>
        <v>119600</v>
      </c>
      <c r="D5134" s="2" t="str">
        <f t="shared" si="79"/>
        <v>Error?</v>
      </c>
    </row>
    <row r="5135" spans="1:4" x14ac:dyDescent="0.2">
      <c r="A5135" s="5">
        <v>5074</v>
      </c>
      <c r="B5135" s="138">
        <f>'Revenues 9-14'!C126</f>
        <v>303029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4845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525885</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79976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79976</v>
      </c>
      <c r="C5161" s="2" t="s">
        <v>593</v>
      </c>
      <c r="D5161" s="2" t="str">
        <f t="shared" si="79"/>
        <v>Error?</v>
      </c>
    </row>
    <row r="5162" spans="1:4" x14ac:dyDescent="0.2">
      <c r="A5162" s="10">
        <v>5101</v>
      </c>
      <c r="D5162" s="2" t="str">
        <f t="shared" si="79"/>
        <v>OK</v>
      </c>
    </row>
    <row r="5163" spans="1:4" x14ac:dyDescent="0.2">
      <c r="A5163" s="5">
        <v>5102</v>
      </c>
      <c r="B5163" s="138">
        <f>'Revenues 9-14'!C142</f>
        <v>8065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8065</v>
      </c>
      <c r="C5165" s="2" t="s">
        <v>593</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26219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645709</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2908478</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593</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908250</v>
      </c>
      <c r="D5278" s="2" t="str">
        <f t="shared" si="81"/>
        <v>Error?</v>
      </c>
    </row>
    <row r="5279" spans="1:4" x14ac:dyDescent="0.2">
      <c r="A5279" s="5">
        <v>5218</v>
      </c>
      <c r="B5279" s="138">
        <f>'Revenues 9-14'!C221</f>
        <v>1506361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2414611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58272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58272</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2531320</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2531320</v>
      </c>
      <c r="C5326" s="2" t="s">
        <v>593</v>
      </c>
      <c r="D5326" s="2" t="str">
        <f t="shared" si="82"/>
        <v>Error?</v>
      </c>
    </row>
    <row r="5327" spans="1:4" x14ac:dyDescent="0.2">
      <c r="A5327" s="5">
        <v>5266</v>
      </c>
      <c r="B5327" s="138">
        <f>'Revenues 9-14'!C275</f>
        <v>92643353</v>
      </c>
      <c r="C5327" s="2" t="s">
        <v>593</v>
      </c>
      <c r="D5327" s="2" t="str">
        <f t="shared" si="82"/>
        <v>Error?</v>
      </c>
    </row>
    <row r="5328" spans="1:4" x14ac:dyDescent="0.2">
      <c r="A5328" s="5">
        <v>5267</v>
      </c>
      <c r="B5328" s="138">
        <f>'Revenues 9-14'!D5</f>
        <v>7191910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7191910</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987207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987207</v>
      </c>
      <c r="C5339" s="2" t="s">
        <v>593</v>
      </c>
      <c r="D5339" s="2" t="str">
        <f t="shared" si="82"/>
        <v>Error?</v>
      </c>
    </row>
    <row r="5340" spans="1:4" x14ac:dyDescent="0.2">
      <c r="A5340" s="5">
        <v>5279</v>
      </c>
      <c r="B5340" s="138">
        <f>'Revenues 9-14'!D65</f>
        <v>80119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80119</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382044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160384</v>
      </c>
      <c r="D5354" s="2" t="str">
        <f t="shared" si="82"/>
        <v>Error?</v>
      </c>
    </row>
    <row r="5355" spans="1:4" x14ac:dyDescent="0.2">
      <c r="A5355" s="5">
        <v>5294</v>
      </c>
      <c r="B5355" s="138">
        <f>'Revenues 9-14'!D108</f>
        <v>542518</v>
      </c>
      <c r="C5355" s="2" t="s">
        <v>593</v>
      </c>
      <c r="D5355" s="2" t="str">
        <f t="shared" si="82"/>
        <v>Error?</v>
      </c>
    </row>
    <row r="5356" spans="1:4" x14ac:dyDescent="0.2">
      <c r="A5356" s="5">
        <v>5295</v>
      </c>
      <c r="B5356" s="138">
        <f>'Revenues 9-14'!D109</f>
        <v>8801754</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8801754</v>
      </c>
      <c r="C5508" s="2" t="s">
        <v>593</v>
      </c>
      <c r="D5508" s="2" t="str">
        <f t="shared" si="85"/>
        <v>Error?</v>
      </c>
    </row>
    <row r="5509" spans="1:4" x14ac:dyDescent="0.2">
      <c r="A5509" s="5">
        <v>5448</v>
      </c>
      <c r="B5509" s="138">
        <f>'Revenues 9-14'!E5</f>
        <v>9552338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9552338</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833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833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9553171</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9553171</v>
      </c>
      <c r="C5552" s="2" t="s">
        <v>593</v>
      </c>
      <c r="D5552" s="2" t="str">
        <f t="shared" si="85"/>
        <v>Error?</v>
      </c>
    </row>
    <row r="5553" spans="1:4" x14ac:dyDescent="0.2">
      <c r="A5553" s="5">
        <v>5492</v>
      </c>
      <c r="B5553" s="138">
        <f>'Revenues 9-14'!F5</f>
        <v>1336484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1336484</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307391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307391</v>
      </c>
      <c r="C5579" s="2" t="s">
        <v>593</v>
      </c>
      <c r="D5579" s="2" t="str">
        <f t="shared" si="86"/>
        <v>Error?</v>
      </c>
    </row>
    <row r="5580" spans="1:4" x14ac:dyDescent="0.2">
      <c r="A5580" s="5">
        <v>5519</v>
      </c>
      <c r="B5580" s="138">
        <f>'Revenues 9-14'!F65</f>
        <v>47556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47556</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1691431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447877</v>
      </c>
      <c r="D5617" s="2" t="str">
        <f t="shared" si="86"/>
        <v>Error?</v>
      </c>
    </row>
    <row r="5618" spans="1:4" x14ac:dyDescent="0.2">
      <c r="A5618" s="5">
        <v>5557</v>
      </c>
      <c r="B5618" s="138">
        <f>'Revenues 9-14'!F154</f>
        <v>447877</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447877</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447877</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2139308</v>
      </c>
      <c r="C5720" s="2" t="s">
        <v>593</v>
      </c>
      <c r="D5720" s="2" t="str">
        <f t="shared" si="88"/>
        <v>Error?</v>
      </c>
    </row>
    <row r="5721" spans="1:4" x14ac:dyDescent="0.2">
      <c r="A5721" s="5">
        <v>5660</v>
      </c>
      <c r="B5721" s="138">
        <f>'Revenues 9-14'!G5</f>
        <v>1971078</v>
      </c>
      <c r="D5721" s="2" t="str">
        <f t="shared" si="88"/>
        <v>Error?</v>
      </c>
    </row>
    <row r="5722" spans="1:4" x14ac:dyDescent="0.2">
      <c r="A5722" s="5">
        <v>5661</v>
      </c>
      <c r="B5722" s="138">
        <f>'Revenues 9-14'!G7</f>
        <v>0</v>
      </c>
      <c r="D5722" s="2" t="str">
        <f t="shared" si="88"/>
        <v>Error?</v>
      </c>
    </row>
    <row r="5723" spans="1:4" x14ac:dyDescent="0.2">
      <c r="A5723" s="5">
        <v>5662</v>
      </c>
      <c r="B5723" s="138">
        <f>'Revenues 9-14'!G8</f>
        <v>2210087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4181165</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37899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37899</v>
      </c>
      <c r="C5730" s="2" t="s">
        <v>593</v>
      </c>
      <c r="D5730" s="2" t="str">
        <f t="shared" si="88"/>
        <v>Error?</v>
      </c>
    </row>
    <row r="5731" spans="1:4" x14ac:dyDescent="0.2">
      <c r="A5731" s="5">
        <v>5670</v>
      </c>
      <c r="B5731" s="138">
        <f>'Revenues 9-14'!G65</f>
        <v>23098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23098</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4242162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346862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346862</v>
      </c>
      <c r="C5881" s="2" t="s">
        <v>593</v>
      </c>
      <c r="D5881" s="2" t="str">
        <f t="shared" si="90"/>
        <v>Error?</v>
      </c>
    </row>
    <row r="5882" spans="1:4" x14ac:dyDescent="0.2">
      <c r="A5882" s="5">
        <v>5821</v>
      </c>
      <c r="B5882" s="138">
        <f>'Revenues 9-14'!H96</f>
        <v>1285604</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15411</v>
      </c>
      <c r="D5885" s="2" t="str">
        <f t="shared" si="90"/>
        <v>Error?</v>
      </c>
    </row>
    <row r="5886" spans="1:4" x14ac:dyDescent="0.2">
      <c r="A5886" s="5">
        <v>5825</v>
      </c>
      <c r="B5886" s="138">
        <f>'Revenues 9-14'!H108</f>
        <v>1301015</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1647877</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43476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43476</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43476</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23365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23365</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23365</v>
      </c>
      <c r="C6023" s="2" t="s">
        <v>593</v>
      </c>
      <c r="D6023" s="2" t="str">
        <f t="shared" si="93"/>
        <v>Error?</v>
      </c>
    </row>
    <row r="6024" spans="1:5" x14ac:dyDescent="0.2">
      <c r="A6024" s="5">
        <v>5963</v>
      </c>
      <c r="B6024" s="138">
        <f>'Revenues 9-14'!G109</f>
        <v>4242162</v>
      </c>
      <c r="C6024" s="2" t="s">
        <v>593</v>
      </c>
      <c r="D6024" s="2" t="str">
        <f t="shared" si="93"/>
        <v>Error?</v>
      </c>
    </row>
    <row r="6025" spans="1:5" x14ac:dyDescent="0.2">
      <c r="A6025" s="5">
        <v>5964</v>
      </c>
      <c r="B6025" s="138">
        <f>'Revenues 9-14'!H109</f>
        <v>1647877</v>
      </c>
      <c r="C6025" s="2" t="s">
        <v>593</v>
      </c>
      <c r="D6025" s="2" t="str">
        <f t="shared" si="93"/>
        <v>Error?</v>
      </c>
    </row>
    <row r="6026" spans="1:5" x14ac:dyDescent="0.2">
      <c r="A6026" s="5">
        <v>5965</v>
      </c>
      <c r="B6026" s="138">
        <f>'Revenues 9-14'!I109</f>
        <v>43476</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23365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533000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3762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430111</v>
      </c>
      <c r="D6090" s="2" t="str">
        <f t="shared" si="94"/>
        <v>Error?</v>
      </c>
      <c r="E6090" s="2" t="s">
        <v>199</v>
      </c>
    </row>
    <row r="6091" spans="1:5" x14ac:dyDescent="0.2">
      <c r="A6091">
        <v>6030</v>
      </c>
      <c r="B6091" s="138">
        <f>'Assets-Liab 5-6'!D8</f>
        <v>175590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105611</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554874</v>
      </c>
      <c r="D6099" s="2" t="str">
        <f t="shared" si="94"/>
        <v>Error?</v>
      </c>
      <c r="E6099" s="2" t="s">
        <v>199</v>
      </c>
    </row>
    <row r="6100" spans="1:5" x14ac:dyDescent="0.2">
      <c r="A6100">
        <v>6039</v>
      </c>
      <c r="B6100" s="138">
        <f>'Assets-Liab 5-6'!D9</f>
        <v>18221</v>
      </c>
      <c r="D6100" s="2" t="str">
        <f t="shared" si="94"/>
        <v>Error?</v>
      </c>
      <c r="E6100" s="2" t="s">
        <v>199</v>
      </c>
    </row>
    <row r="6101" spans="1:5" x14ac:dyDescent="0.2">
      <c r="A6101">
        <v>6040</v>
      </c>
      <c r="B6101" s="138">
        <f>'Assets-Liab 5-6'!E9</f>
        <v>7460</v>
      </c>
      <c r="D6101" s="2" t="str">
        <f t="shared" si="94"/>
        <v>Error?</v>
      </c>
      <c r="E6101" s="2" t="s">
        <v>199</v>
      </c>
    </row>
    <row r="6102" spans="1:5" x14ac:dyDescent="0.2">
      <c r="A6102">
        <v>6041</v>
      </c>
      <c r="B6102" s="138">
        <f>'Assets-Liab 5-6'!F9</f>
        <v>7462</v>
      </c>
      <c r="D6102" s="2" t="str">
        <f t="shared" si="94"/>
        <v>Error?</v>
      </c>
      <c r="E6102" s="2" t="s">
        <v>199</v>
      </c>
    </row>
    <row r="6103" spans="1:5" x14ac:dyDescent="0.2">
      <c r="A6103">
        <f>A6102+1</f>
        <v>6042</v>
      </c>
      <c r="B6103" s="138">
        <f>'Assets-Liab 5-6'!G9</f>
        <v>5188</v>
      </c>
      <c r="D6103" s="2" t="str">
        <f t="shared" si="94"/>
        <v>Error?</v>
      </c>
      <c r="E6103" s="2" t="s">
        <v>199</v>
      </c>
    </row>
    <row r="6104" spans="1:5" x14ac:dyDescent="0.2">
      <c r="A6104">
        <v>6043</v>
      </c>
      <c r="B6104" s="138">
        <f>'Assets-Liab 5-6'!H9</f>
        <v>35280</v>
      </c>
      <c r="D6104" s="2" t="str">
        <f t="shared" si="94"/>
        <v>Error?</v>
      </c>
      <c r="E6104" s="2" t="s">
        <v>199</v>
      </c>
    </row>
    <row r="6105" spans="1:5" x14ac:dyDescent="0.2">
      <c r="A6105">
        <v>6044</v>
      </c>
      <c r="B6105" s="138">
        <f>'Assets-Liab 5-6'!I9</f>
        <v>10377</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175342</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267248</v>
      </c>
      <c r="D6142" s="2" t="str">
        <f t="shared" si="94"/>
        <v>Error?</v>
      </c>
      <c r="E6142" s="2" t="s">
        <v>199</v>
      </c>
    </row>
    <row r="6143" spans="1:5" x14ac:dyDescent="0.2">
      <c r="A6143">
        <v>6082</v>
      </c>
      <c r="B6143" s="138">
        <f>'Assets-Liab 5-6'!D27</f>
        <v>24020</v>
      </c>
      <c r="D6143" s="2" t="str">
        <f t="shared" ref="D6143:D6206" si="95">IF(ISBLANK(B6143),"OK",IF(A6143-B6143=0,"OK","Error?"))</f>
        <v>Error?</v>
      </c>
      <c r="E6143" s="2" t="s">
        <v>199</v>
      </c>
    </row>
    <row r="6144" spans="1:5" x14ac:dyDescent="0.2">
      <c r="A6144">
        <v>6083</v>
      </c>
      <c r="B6144" s="138">
        <f>'Assets-Liab 5-6'!E27</f>
        <v>18510</v>
      </c>
      <c r="D6144" s="2" t="str">
        <f t="shared" si="95"/>
        <v>Error?</v>
      </c>
      <c r="E6144" s="2" t="s">
        <v>199</v>
      </c>
    </row>
    <row r="6145" spans="1:5" x14ac:dyDescent="0.2">
      <c r="A6145">
        <v>6084</v>
      </c>
      <c r="B6145" s="138">
        <f>'Assets-Liab 5-6'!F27</f>
        <v>4380</v>
      </c>
      <c r="D6145" s="2" t="str">
        <f t="shared" si="95"/>
        <v>Error?</v>
      </c>
      <c r="E6145" s="2" t="s">
        <v>199</v>
      </c>
    </row>
    <row r="6146" spans="1:5" x14ac:dyDescent="0.2">
      <c r="A6146">
        <v>6085</v>
      </c>
      <c r="B6146" s="138">
        <f>'Assets-Liab 5-6'!G27</f>
        <v>11530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793125</v>
      </c>
      <c r="D6151" s="2" t="str">
        <f t="shared" si="95"/>
        <v>Error?</v>
      </c>
      <c r="E6151" s="2" t="s">
        <v>199</v>
      </c>
    </row>
    <row r="6152" spans="1:5" x14ac:dyDescent="0.2">
      <c r="A6152">
        <v>6091</v>
      </c>
      <c r="B6152" s="138">
        <f>'Assets-Liab 5-6'!D28</f>
        <v>72083</v>
      </c>
      <c r="D6152" s="2" t="str">
        <f t="shared" si="95"/>
        <v>Error?</v>
      </c>
      <c r="E6152" s="2" t="s">
        <v>199</v>
      </c>
    </row>
    <row r="6153" spans="1:5" x14ac:dyDescent="0.2">
      <c r="A6153">
        <v>6092</v>
      </c>
      <c r="B6153" s="138">
        <f>'Assets-Liab 5-6'!E28</f>
        <v>1250</v>
      </c>
      <c r="D6153" s="2" t="str">
        <f t="shared" si="95"/>
        <v>Error?</v>
      </c>
      <c r="E6153" s="2" t="s">
        <v>199</v>
      </c>
    </row>
    <row r="6154" spans="1:5" x14ac:dyDescent="0.2">
      <c r="A6154">
        <v>6093</v>
      </c>
      <c r="B6154" s="138">
        <f>'Assets-Liab 5-6'!F28</f>
        <v>26745</v>
      </c>
      <c r="D6154" s="2" t="str">
        <f t="shared" si="95"/>
        <v>Error?</v>
      </c>
      <c r="E6154" s="2" t="s">
        <v>199</v>
      </c>
    </row>
    <row r="6155" spans="1:5" x14ac:dyDescent="0.2">
      <c r="A6155">
        <v>6094</v>
      </c>
      <c r="B6155" s="138">
        <f>'Assets-Liab 5-6'!G28</f>
        <v>668</v>
      </c>
      <c r="D6155" s="2" t="str">
        <f t="shared" si="95"/>
        <v>Error?</v>
      </c>
      <c r="E6155" s="2" t="s">
        <v>199</v>
      </c>
    </row>
    <row r="6156" spans="1:5" x14ac:dyDescent="0.2">
      <c r="A6156">
        <v>6095</v>
      </c>
      <c r="B6156" s="138">
        <f>'Assets-Liab 5-6'!H28</f>
        <v>2967034</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75267</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6528350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629</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88603</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626712</v>
      </c>
      <c r="D6267" s="2" t="str">
        <f t="shared" si="96"/>
        <v>Error?</v>
      </c>
      <c r="E6267" s="2" t="s">
        <v>199</v>
      </c>
    </row>
    <row r="6268" spans="1:5" x14ac:dyDescent="0.2">
      <c r="A6268">
        <v>6207</v>
      </c>
      <c r="B6268" s="138">
        <f>'Acct Summary 7-8'!D82</f>
        <v>373547</v>
      </c>
      <c r="D6268" s="2" t="str">
        <f t="shared" si="96"/>
        <v>Error?</v>
      </c>
      <c r="E6268" s="2" t="s">
        <v>199</v>
      </c>
    </row>
    <row r="6269" spans="1:5" x14ac:dyDescent="0.2">
      <c r="A6269">
        <v>6208</v>
      </c>
      <c r="B6269" s="138">
        <f>'Acct Summary 7-8'!E82</f>
        <v>-268055</v>
      </c>
      <c r="D6269" s="2" t="str">
        <f t="shared" si="96"/>
        <v>Error?</v>
      </c>
      <c r="E6269" s="2" t="s">
        <v>199</v>
      </c>
    </row>
    <row r="6270" spans="1:5" x14ac:dyDescent="0.2">
      <c r="A6270">
        <v>6209</v>
      </c>
      <c r="B6270" s="138">
        <f>'Acct Summary 7-8'!F82</f>
        <v>139676</v>
      </c>
      <c r="D6270" s="2" t="str">
        <f t="shared" si="96"/>
        <v>Error?</v>
      </c>
      <c r="E6270" s="2" t="s">
        <v>199</v>
      </c>
    </row>
    <row r="6271" spans="1:5" x14ac:dyDescent="0.2">
      <c r="A6271">
        <v>6210</v>
      </c>
      <c r="B6271" s="138">
        <f>'Acct Summary 7-8'!G82</f>
        <v>1151095</v>
      </c>
      <c r="D6271" s="2" t="str">
        <f t="shared" ref="D6271:D6334" si="97">IF(ISBLANK(B6271),"OK",IF(A6271-B6271=0,"OK","Error?"))</f>
        <v>Error?</v>
      </c>
      <c r="E6271" s="2" t="s">
        <v>199</v>
      </c>
    </row>
    <row r="6272" spans="1:5" x14ac:dyDescent="0.2">
      <c r="A6272">
        <v>6211</v>
      </c>
      <c r="B6272" s="138">
        <f>'Acct Summary 7-8'!H82</f>
        <v>-13715513</v>
      </c>
      <c r="D6272" s="2" t="str">
        <f t="shared" si="97"/>
        <v>Error?</v>
      </c>
      <c r="E6272" s="2" t="s">
        <v>199</v>
      </c>
    </row>
    <row r="6273" spans="1:5" x14ac:dyDescent="0.2">
      <c r="A6273">
        <v>6212</v>
      </c>
      <c r="B6273" s="138">
        <f>'Acct Summary 7-8'!I82</f>
        <v>45946</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-1455397</v>
      </c>
      <c r="D6275" s="2" t="str">
        <f t="shared" si="97"/>
        <v>Error?</v>
      </c>
      <c r="E6275" s="2" t="s">
        <v>199</v>
      </c>
    </row>
    <row r="6276" spans="1:5" x14ac:dyDescent="0.2">
      <c r="A6276">
        <v>6215</v>
      </c>
      <c r="B6276" s="138">
        <f>'Acct Summary 7-8'!C83</f>
        <v>9.2028000587311542E-3</v>
      </c>
      <c r="D6276" s="2" t="str">
        <f t="shared" si="97"/>
        <v>Error?</v>
      </c>
      <c r="E6276" s="2" t="s">
        <v>199</v>
      </c>
    </row>
    <row r="6277" spans="1:5" x14ac:dyDescent="0.2">
      <c r="A6277">
        <v>6216</v>
      </c>
      <c r="B6277" s="138">
        <f>'Acct Summary 7-8'!D83</f>
        <v>6.5505842263190228E-2</v>
      </c>
      <c r="D6277" s="2" t="str">
        <f t="shared" si="97"/>
        <v>Error?</v>
      </c>
      <c r="E6277" s="2" t="s">
        <v>199</v>
      </c>
    </row>
    <row r="6278" spans="1:5" x14ac:dyDescent="0.2">
      <c r="A6278">
        <v>6217</v>
      </c>
      <c r="B6278" s="138">
        <f>'Acct Summary 7-8'!E83</f>
        <v>-7.5708812476963677E-2</v>
      </c>
      <c r="D6278" s="2" t="str">
        <f t="shared" si="97"/>
        <v>Error?</v>
      </c>
      <c r="E6278" s="2" t="s">
        <v>199</v>
      </c>
    </row>
    <row r="6279" spans="1:5" x14ac:dyDescent="0.2">
      <c r="A6279">
        <v>6218</v>
      </c>
      <c r="B6279" s="138">
        <f>'Acct Summary 7-8'!F83</f>
        <v>4.202469262094706E-2</v>
      </c>
      <c r="D6279" s="2" t="str">
        <f t="shared" si="97"/>
        <v>Error?</v>
      </c>
      <c r="E6279" s="2" t="s">
        <v>199</v>
      </c>
    </row>
    <row r="6280" spans="1:5" x14ac:dyDescent="0.2">
      <c r="A6280">
        <v>6219</v>
      </c>
      <c r="B6280" s="138">
        <f>'Acct Summary 7-8'!G83</f>
        <v>0.4286579829936254</v>
      </c>
      <c r="D6280" s="2" t="str">
        <f t="shared" si="97"/>
        <v>Error?</v>
      </c>
      <c r="E6280" s="2" t="s">
        <v>199</v>
      </c>
    </row>
    <row r="6281" spans="1:5" x14ac:dyDescent="0.2">
      <c r="A6281">
        <v>6220</v>
      </c>
      <c r="B6281" s="138">
        <f>'Acct Summary 7-8'!H83</f>
        <v>-1.6979862747425973</v>
      </c>
      <c r="D6281" s="2" t="str">
        <f t="shared" si="97"/>
        <v>Error?</v>
      </c>
      <c r="E6281" s="2" t="s">
        <v>199</v>
      </c>
    </row>
    <row r="6282" spans="1:5" x14ac:dyDescent="0.2">
      <c r="A6282">
        <v>6221</v>
      </c>
      <c r="B6282" s="138">
        <f>'Acct Summary 7-8'!I83</f>
        <v>1.37936914561432E-2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-2.584147428453734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186225</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172007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3225500</v>
      </c>
      <c r="D6880" s="2" t="str">
        <f t="shared" si="106"/>
        <v>Error?</v>
      </c>
    </row>
    <row r="6881" spans="1:4" x14ac:dyDescent="0.2">
      <c r="A6881">
        <v>6820</v>
      </c>
      <c r="B6881" s="138">
        <f>'Expenditures 15-22'!K22</f>
        <v>3225500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1845</v>
      </c>
      <c r="D7079" s="2" t="str">
        <f t="shared" si="109"/>
        <v>Error?</v>
      </c>
    </row>
    <row r="7080" spans="1:4" x14ac:dyDescent="0.2">
      <c r="A7080">
        <v>7019</v>
      </c>
      <c r="B7080" s="138">
        <f>'Expenditures 15-22'!K226</f>
        <v>1845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158113</v>
      </c>
      <c r="D7263" s="2" t="str">
        <f t="shared" si="112"/>
        <v>Error?</v>
      </c>
    </row>
    <row r="7264" spans="1:4" x14ac:dyDescent="0.2">
      <c r="A7264">
        <f t="shared" si="113"/>
        <v>7203</v>
      </c>
      <c r="B7264" s="138">
        <f>'Expenditures 15-22'!D17</f>
        <v>13694</v>
      </c>
      <c r="D7264" s="2" t="str">
        <f t="shared" si="112"/>
        <v>Error?</v>
      </c>
    </row>
    <row r="7265" spans="1:5" x14ac:dyDescent="0.2">
      <c r="A7265">
        <f t="shared" si="113"/>
        <v>7204</v>
      </c>
      <c r="B7265" s="138">
        <f>'Expenditures 15-22'!E17</f>
        <v>200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11625386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186225</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6950000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125983</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125983</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309393</v>
      </c>
      <c r="D7797" s="2" t="str">
        <f t="shared" si="127"/>
        <v>Error?</v>
      </c>
      <c r="E7797" s="4" t="s">
        <v>2015</v>
      </c>
    </row>
    <row r="7798" spans="1:5" x14ac:dyDescent="0.2">
      <c r="A7798">
        <v>7737</v>
      </c>
      <c r="B7798" s="138">
        <f>'Contracts Paid in CY 29'!F141</f>
        <v>100000</v>
      </c>
      <c r="D7798" s="2" t="str">
        <f t="shared" si="127"/>
        <v>Error?</v>
      </c>
      <c r="E7798" s="4" t="s">
        <v>2015</v>
      </c>
    </row>
    <row r="7799" spans="1:5" x14ac:dyDescent="0.2">
      <c r="A7799">
        <v>7738</v>
      </c>
      <c r="B7799" s="138">
        <f>'Contracts Paid in CY 29'!G141</f>
        <v>209393</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 zoomScale="110" zoomScaleNormal="110" workbookViewId="0">
      <selection activeCell="A13" sqref="A12:H1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1252</v>
      </c>
      <c r="B2" s="2422"/>
      <c r="C2" s="2422"/>
      <c r="D2" s="2422"/>
      <c r="E2" s="2422"/>
      <c r="F2" s="2422"/>
      <c r="G2" s="2422"/>
      <c r="H2" s="2422"/>
      <c r="I2" s="2422"/>
      <c r="J2" s="2422"/>
      <c r="K2" s="2422"/>
      <c r="L2" s="2422"/>
    </row>
    <row r="3" spans="1:29" ht="13.5" customHeight="1" x14ac:dyDescent="0.2">
      <c r="A3" s="2408" t="s">
        <v>1251</v>
      </c>
      <c r="B3" s="2408"/>
      <c r="C3" s="2408"/>
      <c r="D3" s="2408"/>
      <c r="E3" s="2408"/>
      <c r="F3" s="2408"/>
      <c r="G3" s="2408"/>
      <c r="H3" s="2408"/>
      <c r="I3" s="2408"/>
      <c r="J3" s="2408"/>
      <c r="K3" s="2408"/>
      <c r="L3" s="2408"/>
    </row>
    <row r="4" spans="1:29" ht="13.5" customHeight="1" x14ac:dyDescent="0.2">
      <c r="A4" s="2422" t="s">
        <v>1798</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02" t="str">
        <f>COVER!A17</f>
        <v>New Trier Twp HSD 203</v>
      </c>
      <c r="B7" s="2403"/>
      <c r="C7" s="2403"/>
      <c r="D7" s="2440"/>
      <c r="E7" s="2441">
        <f>COVER!A13</f>
        <v>5016203017</v>
      </c>
      <c r="F7" s="2442"/>
      <c r="G7" s="2409" t="str">
        <f>COVER!T23</f>
        <v>066-03346</v>
      </c>
      <c r="H7" s="2410"/>
      <c r="I7" s="2410"/>
      <c r="J7" s="2410"/>
      <c r="K7" s="2410"/>
      <c r="L7" s="2411"/>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12"/>
      <c r="B9" s="2413"/>
      <c r="C9" s="2413"/>
      <c r="D9" s="2413"/>
      <c r="E9" s="2413"/>
      <c r="F9" s="2414"/>
      <c r="G9" s="2415" t="str">
        <f>COVER!T13</f>
        <v>RSM US LLP</v>
      </c>
      <c r="H9" s="2416"/>
      <c r="I9" s="2416"/>
      <c r="J9" s="2416"/>
      <c r="K9" s="2416"/>
      <c r="L9" s="2417"/>
    </row>
    <row r="10" spans="1:29" ht="13.5" customHeight="1" x14ac:dyDescent="0.2">
      <c r="A10" s="2399" t="str">
        <f>COVER!A38</f>
        <v>Paul Sally</v>
      </c>
      <c r="B10" s="2400"/>
      <c r="C10" s="2400"/>
      <c r="D10" s="2400"/>
      <c r="E10" s="2400"/>
      <c r="F10" s="2401"/>
      <c r="G10" s="2415" t="str">
        <f>COVER!T17</f>
        <v>1 South Wacker Drive, Suite 800</v>
      </c>
      <c r="H10" s="2428"/>
      <c r="I10" s="2428"/>
      <c r="J10" s="2428"/>
      <c r="K10" s="2428"/>
      <c r="L10" s="2429"/>
    </row>
    <row r="11" spans="1:29" ht="13.5" customHeight="1" x14ac:dyDescent="0.2">
      <c r="A11" s="1185" t="s">
        <v>1598</v>
      </c>
      <c r="B11" s="1186"/>
      <c r="C11" s="1187"/>
      <c r="D11" s="1192"/>
      <c r="E11" s="1187"/>
      <c r="F11" s="1191"/>
      <c r="G11" s="2415" t="str">
        <f>COVER!T19</f>
        <v>Chicago</v>
      </c>
      <c r="H11" s="2428"/>
      <c r="I11" s="2428"/>
      <c r="J11" s="2428"/>
      <c r="K11" s="2428"/>
      <c r="L11" s="2429"/>
    </row>
    <row r="12" spans="1:29" ht="13.5" customHeight="1" x14ac:dyDescent="0.2">
      <c r="A12" s="2433" t="s">
        <v>1597</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1599</v>
      </c>
      <c r="H13" s="2424"/>
      <c r="I13" s="2436" t="str">
        <f>COVER!T25</f>
        <v>katie.barry@rsmus.com</v>
      </c>
      <c r="J13" s="2437"/>
      <c r="K13" s="2437"/>
      <c r="L13" s="2438"/>
    </row>
    <row r="14" spans="1:29" ht="13.5" customHeight="1" x14ac:dyDescent="0.2">
      <c r="A14" s="2415" t="str">
        <f>COVER!A19</f>
        <v>7 Happ Road</v>
      </c>
      <c r="B14" s="2428"/>
      <c r="C14" s="2428"/>
      <c r="D14" s="2428"/>
      <c r="E14" s="2428"/>
      <c r="F14" s="2429"/>
      <c r="G14" s="1196" t="s">
        <v>1246</v>
      </c>
      <c r="H14" s="1194"/>
      <c r="I14" s="1194"/>
      <c r="J14" s="1194"/>
      <c r="K14" s="1194"/>
      <c r="L14" s="1195"/>
    </row>
    <row r="15" spans="1:29" ht="13.5" customHeight="1" x14ac:dyDescent="0.2">
      <c r="A15" s="2415" t="str">
        <f>COVER!A21</f>
        <v>Northfield</v>
      </c>
      <c r="B15" s="2428"/>
      <c r="C15" s="2428"/>
      <c r="D15" s="2428"/>
      <c r="E15" s="2428"/>
      <c r="F15" s="2429"/>
      <c r="G15" s="2425" t="str">
        <f>COVER!T15</f>
        <v>Katie Barry</v>
      </c>
      <c r="H15" s="2426"/>
      <c r="I15" s="2426"/>
      <c r="J15" s="2426"/>
      <c r="K15" s="2426"/>
      <c r="L15" s="2427"/>
    </row>
    <row r="16" spans="1:29" ht="12.2" customHeight="1" x14ac:dyDescent="0.2">
      <c r="A16" s="2405">
        <f>COVER!A25</f>
        <v>60093</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1245</v>
      </c>
      <c r="H17" s="1194"/>
      <c r="I17" s="1194"/>
      <c r="J17" s="1194"/>
      <c r="K17" s="1198" t="s">
        <v>1244</v>
      </c>
      <c r="L17" s="1191"/>
      <c r="M17" s="1184"/>
    </row>
    <row r="18" spans="1:13" ht="12.2" customHeight="1" x14ac:dyDescent="0.2">
      <c r="A18" s="2399"/>
      <c r="B18" s="2400"/>
      <c r="C18" s="2400"/>
      <c r="D18" s="2400"/>
      <c r="E18" s="2400"/>
      <c r="F18" s="2401"/>
      <c r="G18" s="2402" t="str">
        <f>COVER!T21</f>
        <v>312-634-3400</v>
      </c>
      <c r="H18" s="2403"/>
      <c r="I18" s="2403"/>
      <c r="J18" s="2403"/>
      <c r="K18" s="2402" t="str">
        <f>COVER!X21</f>
        <v>312-634-5518</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3" sqref="A12:H1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New Trier Twp HSD 203</v>
      </c>
      <c r="B1" s="2439"/>
      <c r="C1" s="2439"/>
      <c r="D1" s="2439"/>
    </row>
    <row r="2" spans="1:11" s="1215" customFormat="1" ht="12.75" x14ac:dyDescent="0.2">
      <c r="A2" s="2444">
        <f>'Single Audit Cover'!E7</f>
        <v>5016203017</v>
      </c>
      <c r="B2" s="2445"/>
      <c r="C2" s="2445"/>
      <c r="D2" s="2445"/>
    </row>
    <row r="3" spans="1:11" s="1215" customFormat="1" ht="12.75" x14ac:dyDescent="0.2">
      <c r="A3" s="2443" t="s">
        <v>1592</v>
      </c>
      <c r="B3" s="2439"/>
      <c r="C3" s="2439"/>
      <c r="D3" s="2439"/>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New Trier Twp HSD 203</v>
      </c>
      <c r="B1" s="2447"/>
      <c r="C1" s="2447"/>
      <c r="D1" s="2447"/>
      <c r="E1" s="2447"/>
    </row>
    <row r="2" spans="1:5" x14ac:dyDescent="0.2">
      <c r="A2" s="2448">
        <f>'Single Audit Cover'!E7</f>
        <v>5016203017</v>
      </c>
      <c r="B2" s="2448"/>
      <c r="C2" s="2448"/>
      <c r="D2" s="2448"/>
      <c r="E2" s="2448"/>
    </row>
    <row r="3" spans="1:5" ht="4.5" customHeight="1" x14ac:dyDescent="0.2"/>
    <row r="4" spans="1:5" x14ac:dyDescent="0.2">
      <c r="A4" s="2447" t="s">
        <v>1306</v>
      </c>
      <c r="B4" s="2447"/>
      <c r="C4" s="2447"/>
      <c r="D4" s="2447"/>
      <c r="E4" s="2447"/>
    </row>
    <row r="5" spans="1:5" x14ac:dyDescent="0.2">
      <c r="A5" s="2450" t="str">
        <f>'Single Audit Cover'!A4</f>
        <v>Year Ending June 30, 2018</v>
      </c>
      <c r="B5" s="2450"/>
      <c r="C5" s="2450"/>
      <c r="D5" s="2450"/>
      <c r="E5" s="2450"/>
    </row>
    <row r="6" spans="1:5" x14ac:dyDescent="0.2">
      <c r="A6" s="2447" t="s">
        <v>1305</v>
      </c>
      <c r="B6" s="2447"/>
      <c r="C6" s="2447"/>
      <c r="D6" s="2447"/>
      <c r="E6" s="2447"/>
    </row>
    <row r="8" spans="1:5" x14ac:dyDescent="0.2">
      <c r="A8" s="1260" t="s">
        <v>1304</v>
      </c>
    </row>
    <row r="10" spans="1:5" x14ac:dyDescent="0.2">
      <c r="A10" s="1261" t="s">
        <v>1303</v>
      </c>
      <c r="B10" s="1262" t="s">
        <v>1302</v>
      </c>
      <c r="C10" s="1262"/>
      <c r="D10" s="1263">
        <f>SUM('Acct Summary 7-8'!C7:K7)</f>
        <v>2531320</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1951</v>
      </c>
      <c r="B16" s="1262"/>
      <c r="C16" s="1262"/>
    </row>
    <row r="17" spans="1:4" x14ac:dyDescent="0.2">
      <c r="A17" s="1261" t="s">
        <v>1600</v>
      </c>
      <c r="B17" s="1262" t="s">
        <v>1297</v>
      </c>
      <c r="C17" s="1262"/>
      <c r="D17" s="1264">
        <f>-SUM('Revenues 9-14'!C271:D271,'Revenues 9-14'!F271:G271)</f>
        <v>-1931</v>
      </c>
    </row>
    <row r="19" spans="1:4" ht="13.5" thickBot="1" x14ac:dyDescent="0.25">
      <c r="A19" s="1265" t="s">
        <v>1296</v>
      </c>
      <c r="D19" s="1266">
        <f>SUM(D10:D17)</f>
        <v>2529389</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1294</v>
      </c>
      <c r="D32" s="1263">
        <f>SUM(D19:D30)</f>
        <v>2529389</v>
      </c>
    </row>
    <row r="33" spans="1:4" x14ac:dyDescent="0.2">
      <c r="D33" s="1269"/>
    </row>
    <row r="34" spans="1:4" x14ac:dyDescent="0.2">
      <c r="A34" s="317" t="s">
        <v>1293</v>
      </c>
    </row>
    <row r="35" spans="1:4" x14ac:dyDescent="0.2">
      <c r="A35" s="317" t="s">
        <v>1292</v>
      </c>
      <c r="B35" s="1258" t="s">
        <v>1291</v>
      </c>
      <c r="D35" s="1270">
        <f>+' SEFA (2)'!F24</f>
        <v>2529389</v>
      </c>
    </row>
    <row r="37" spans="1:4" x14ac:dyDescent="0.2">
      <c r="A37" s="1260" t="s">
        <v>1290</v>
      </c>
    </row>
    <row r="39" spans="1:4" ht="13.35" customHeight="1" x14ac:dyDescent="0.2">
      <c r="A39" s="1267" t="s">
        <v>1289</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1288</v>
      </c>
      <c r="C47" s="1272"/>
      <c r="D47" s="1273">
        <f>SUM(D35:D45)</f>
        <v>2529389</v>
      </c>
    </row>
    <row r="49" spans="2:4" x14ac:dyDescent="0.2">
      <c r="B49" s="1272" t="s">
        <v>1287</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3" sqref="A12:H1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New Trier Twp HSD 203</v>
      </c>
      <c r="B1" s="2452"/>
      <c r="C1" s="2452"/>
      <c r="D1" s="2452"/>
      <c r="E1" s="2452"/>
      <c r="F1" s="2452"/>
    </row>
    <row r="2" spans="1:7" ht="13.5" customHeight="1" x14ac:dyDescent="0.2">
      <c r="A2" s="2453">
        <f>'Single Audit Cover'!E7</f>
        <v>5016203017</v>
      </c>
      <c r="B2" s="2453"/>
      <c r="C2" s="2453"/>
      <c r="D2" s="2453"/>
      <c r="E2" s="2453"/>
      <c r="F2" s="2453"/>
      <c r="G2" s="1275"/>
    </row>
    <row r="3" spans="1:7" ht="15.75" customHeight="1" x14ac:dyDescent="0.2">
      <c r="A3" s="2454" t="s">
        <v>1332</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1830</v>
      </c>
      <c r="C6" s="317"/>
      <c r="D6" s="317"/>
    </row>
    <row r="7" spans="1:7" ht="60.95" customHeight="1" x14ac:dyDescent="0.2">
      <c r="A7" s="2451" t="s">
        <v>2144</v>
      </c>
      <c r="B7" s="2451"/>
      <c r="C7" s="2451"/>
      <c r="D7" s="2451"/>
      <c r="E7" s="2451"/>
      <c r="F7" s="2451"/>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2101</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51" t="s">
        <v>2145</v>
      </c>
      <c r="B13" s="2451"/>
      <c r="C13" s="2451"/>
      <c r="D13" s="2451"/>
      <c r="E13" s="2451"/>
      <c r="F13" s="2451"/>
    </row>
    <row r="14" spans="1:7" ht="9.75" customHeight="1" x14ac:dyDescent="0.2">
      <c r="C14" s="1260"/>
      <c r="D14" s="1260"/>
    </row>
    <row r="15" spans="1:7" ht="13.5" customHeight="1" x14ac:dyDescent="0.2">
      <c r="C15" s="1871" t="s">
        <v>1331</v>
      </c>
      <c r="D15" s="2457" t="s">
        <v>1330</v>
      </c>
      <c r="E15" s="2457"/>
      <c r="F15" s="2457"/>
    </row>
    <row r="16" spans="1:7" ht="13.5" customHeight="1" x14ac:dyDescent="0.2">
      <c r="A16" s="1282"/>
      <c r="B16" s="1276" t="s">
        <v>1329</v>
      </c>
      <c r="C16" s="1871" t="s">
        <v>1328</v>
      </c>
      <c r="D16" s="2458" t="s">
        <v>1669</v>
      </c>
      <c r="E16" s="2458"/>
      <c r="F16" s="2458"/>
    </row>
    <row r="17" spans="1:6" ht="20.45" customHeight="1" x14ac:dyDescent="0.2">
      <c r="A17" s="1283"/>
      <c r="B17" s="1284" t="s">
        <v>2105</v>
      </c>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60" t="s">
        <v>2146</v>
      </c>
      <c r="B32" s="2460"/>
      <c r="C32" s="2460"/>
      <c r="D32" s="2460"/>
      <c r="E32" s="2460"/>
      <c r="F32" s="2460"/>
    </row>
    <row r="33" spans="1:6" ht="13.5" customHeight="1" x14ac:dyDescent="0.2">
      <c r="A33" s="328" t="s">
        <v>1508</v>
      </c>
      <c r="B33" s="328"/>
      <c r="C33" s="1288">
        <v>0</v>
      </c>
      <c r="D33" s="1928"/>
      <c r="E33" s="1286"/>
    </row>
    <row r="34" spans="1:6" ht="13.5" customHeight="1" x14ac:dyDescent="0.2">
      <c r="A34" s="328" t="s">
        <v>1944</v>
      </c>
      <c r="B34" s="328"/>
      <c r="C34" s="1289">
        <v>0</v>
      </c>
      <c r="D34" s="1928" t="s">
        <v>1670</v>
      </c>
      <c r="E34" s="2461">
        <f>+C33+C34</f>
        <v>0</v>
      </c>
      <c r="F34" s="2462"/>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t="s">
        <v>400</v>
      </c>
      <c r="D38" s="1928"/>
      <c r="E38" s="1286"/>
    </row>
    <row r="39" spans="1:6" ht="14.25" customHeight="1" x14ac:dyDescent="0.2">
      <c r="A39" s="328"/>
      <c r="B39" s="328" t="s">
        <v>1510</v>
      </c>
      <c r="C39" s="1292" t="s">
        <v>400</v>
      </c>
      <c r="D39" s="1928"/>
      <c r="E39" s="1286"/>
    </row>
    <row r="40" spans="1:6" ht="14.25" customHeight="1" x14ac:dyDescent="0.2">
      <c r="A40" s="328"/>
      <c r="B40" s="328" t="s">
        <v>1511</v>
      </c>
      <c r="C40" s="1292" t="s">
        <v>400</v>
      </c>
      <c r="D40" s="1928"/>
      <c r="E40" s="1286"/>
    </row>
    <row r="41" spans="1:6" ht="14.25" customHeight="1" x14ac:dyDescent="0.2">
      <c r="A41" s="328"/>
      <c r="B41" s="328" t="s">
        <v>1512</v>
      </c>
      <c r="C41" s="1292" t="s">
        <v>400</v>
      </c>
      <c r="D41" s="1928"/>
      <c r="E41" s="1286"/>
    </row>
    <row r="42" spans="1:6" ht="14.25" customHeight="1" x14ac:dyDescent="0.2">
      <c r="A42" s="328" t="s">
        <v>1513</v>
      </c>
      <c r="B42" s="328"/>
      <c r="C42" s="1926" t="s">
        <v>400</v>
      </c>
      <c r="D42" s="1928"/>
      <c r="E42" s="1286"/>
    </row>
    <row r="43" spans="1:6" ht="14.25" customHeight="1" x14ac:dyDescent="0.2">
      <c r="A43" s="328" t="s">
        <v>1514</v>
      </c>
      <c r="B43" s="328"/>
      <c r="C43" s="1293" t="s">
        <v>400</v>
      </c>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1671</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1631</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3" sqref="A12:H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New Trier Twp HSD 203</v>
      </c>
      <c r="C1" s="2464"/>
      <c r="D1" s="2464"/>
      <c r="E1" s="2464"/>
      <c r="F1" s="2464"/>
      <c r="G1" s="2464"/>
      <c r="H1" s="2464"/>
      <c r="I1" s="2464"/>
      <c r="J1" s="2464"/>
      <c r="K1" s="2464"/>
      <c r="L1" s="2464"/>
      <c r="M1" s="2464"/>
    </row>
    <row r="2" spans="2:14" ht="15" x14ac:dyDescent="0.2">
      <c r="B2" s="2453">
        <f>'Single Audit Cover'!E7</f>
        <v>5016203017</v>
      </c>
      <c r="C2" s="2453"/>
      <c r="D2" s="2453"/>
      <c r="E2" s="2453"/>
      <c r="F2" s="2453"/>
      <c r="G2" s="2453"/>
      <c r="H2" s="2453"/>
      <c r="I2" s="2453"/>
      <c r="J2" s="2453"/>
      <c r="K2" s="2453"/>
      <c r="L2" s="2453"/>
      <c r="M2" s="2453"/>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2111</v>
      </c>
      <c r="C11" s="1338"/>
      <c r="D11" s="1339"/>
      <c r="E11" s="1340"/>
      <c r="F11" s="1340"/>
      <c r="G11" s="1340"/>
      <c r="H11" s="1340"/>
      <c r="I11" s="1340"/>
      <c r="J11" s="1340"/>
      <c r="K11" s="1340"/>
      <c r="L11" s="1340"/>
      <c r="M11" s="1340"/>
    </row>
    <row r="12" spans="2:14" ht="20.100000000000001" customHeight="1" x14ac:dyDescent="0.2">
      <c r="B12" s="1337" t="s">
        <v>2112</v>
      </c>
      <c r="C12" s="1341"/>
      <c r="D12" s="1342"/>
      <c r="E12" s="1343"/>
      <c r="F12" s="1343"/>
      <c r="G12" s="1343"/>
      <c r="H12" s="1343"/>
      <c r="I12" s="1343"/>
      <c r="J12" s="1343"/>
      <c r="K12" s="1343"/>
      <c r="L12" s="1340"/>
      <c r="M12" s="1343"/>
    </row>
    <row r="13" spans="2:14" ht="20.100000000000001" customHeight="1" x14ac:dyDescent="0.2">
      <c r="B13" s="1337" t="s">
        <v>2113</v>
      </c>
      <c r="C13" s="1341" t="s">
        <v>2114</v>
      </c>
      <c r="D13" s="1342" t="s">
        <v>2115</v>
      </c>
      <c r="E13" s="1343"/>
      <c r="F13" s="1343">
        <v>29817</v>
      </c>
      <c r="G13" s="1343"/>
      <c r="H13" s="1343"/>
      <c r="I13" s="1343">
        <v>29817</v>
      </c>
      <c r="J13" s="1343"/>
      <c r="K13" s="1343"/>
      <c r="L13" s="1340">
        <f t="shared" ref="L13:L26" si="0">+G13+I13+K13</f>
        <v>29817</v>
      </c>
      <c r="M13" s="1343">
        <v>81692</v>
      </c>
    </row>
    <row r="14" spans="2:14" ht="20.100000000000001" customHeight="1" x14ac:dyDescent="0.2">
      <c r="B14" s="1337"/>
      <c r="C14" s="1341"/>
      <c r="D14" s="1342" t="s">
        <v>2116</v>
      </c>
      <c r="E14" s="1343">
        <v>63748</v>
      </c>
      <c r="F14" s="1343"/>
      <c r="G14" s="1343">
        <v>63748</v>
      </c>
      <c r="H14" s="1343"/>
      <c r="I14" s="1343"/>
      <c r="J14" s="1343"/>
      <c r="K14" s="1343"/>
      <c r="L14" s="1340">
        <f t="shared" si="0"/>
        <v>63748</v>
      </c>
      <c r="M14" s="1343">
        <v>66317</v>
      </c>
    </row>
    <row r="15" spans="2:14" ht="20.100000000000001" customHeight="1" x14ac:dyDescent="0.2">
      <c r="B15" s="1337" t="s">
        <v>1230</v>
      </c>
      <c r="C15" s="1341"/>
      <c r="D15" s="1342" t="s">
        <v>2117</v>
      </c>
      <c r="E15" s="1343">
        <v>-8388</v>
      </c>
      <c r="F15" s="1343"/>
      <c r="G15" s="1343">
        <v>-8388</v>
      </c>
      <c r="H15" s="1343"/>
      <c r="I15" s="1343"/>
      <c r="J15" s="1343"/>
      <c r="K15" s="1343"/>
      <c r="L15" s="1340">
        <v>60976</v>
      </c>
      <c r="M15" s="1343">
        <v>69364</v>
      </c>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2118</v>
      </c>
      <c r="C17" s="1341"/>
      <c r="D17" s="1342"/>
      <c r="E17" s="1343"/>
      <c r="F17" s="1343"/>
      <c r="G17" s="1343"/>
      <c r="H17" s="1343"/>
      <c r="I17" s="1343"/>
      <c r="J17" s="1343"/>
      <c r="K17" s="1343"/>
      <c r="L17" s="1340"/>
      <c r="M17" s="1343"/>
    </row>
    <row r="18" spans="2:14" ht="20.100000000000001" customHeight="1" x14ac:dyDescent="0.2">
      <c r="B18" s="1337" t="s">
        <v>2119</v>
      </c>
      <c r="C18" s="1341" t="s">
        <v>2120</v>
      </c>
      <c r="D18" s="1342" t="s">
        <v>2121</v>
      </c>
      <c r="E18" s="1343"/>
      <c r="F18" s="1343">
        <v>1109458</v>
      </c>
      <c r="G18" s="1343"/>
      <c r="H18" s="1343"/>
      <c r="I18" s="1343">
        <v>1109458</v>
      </c>
      <c r="J18" s="1343"/>
      <c r="K18" s="1343"/>
      <c r="L18" s="1340">
        <f t="shared" si="0"/>
        <v>1109458</v>
      </c>
      <c r="M18" s="1343" t="s">
        <v>2109</v>
      </c>
    </row>
    <row r="19" spans="2:14" ht="20.100000000000001" customHeight="1" x14ac:dyDescent="0.2">
      <c r="B19" s="1337"/>
      <c r="C19" s="1341"/>
      <c r="D19" s="1342" t="s">
        <v>2122</v>
      </c>
      <c r="E19" s="1343">
        <v>977453</v>
      </c>
      <c r="F19" s="1343">
        <v>390262</v>
      </c>
      <c r="G19" s="1343">
        <v>977453</v>
      </c>
      <c r="H19" s="1343"/>
      <c r="I19" s="1343">
        <v>390262</v>
      </c>
      <c r="J19" s="1343"/>
      <c r="K19" s="1343"/>
      <c r="L19" s="1340">
        <f t="shared" si="0"/>
        <v>1367715</v>
      </c>
      <c r="M19" s="1343" t="s">
        <v>2109</v>
      </c>
    </row>
    <row r="20" spans="2:14" ht="20.100000000000001" customHeight="1" x14ac:dyDescent="0.2">
      <c r="B20" s="1337"/>
      <c r="C20" s="1341"/>
      <c r="D20" s="1342" t="s">
        <v>2123</v>
      </c>
      <c r="E20" s="1343"/>
      <c r="F20" s="1343">
        <v>6641</v>
      </c>
      <c r="G20" s="1343"/>
      <c r="H20" s="1343"/>
      <c r="I20" s="1343">
        <f>F20</f>
        <v>6641</v>
      </c>
      <c r="J20" s="1343"/>
      <c r="K20" s="1343"/>
      <c r="L20" s="1340">
        <f t="shared" si="0"/>
        <v>6641</v>
      </c>
      <c r="M20" s="1343" t="s">
        <v>2109</v>
      </c>
    </row>
    <row r="21" spans="2:14" ht="20.100000000000001" customHeight="1" x14ac:dyDescent="0.2">
      <c r="B21" s="1337"/>
      <c r="C21" s="1341"/>
      <c r="D21" s="1342" t="s">
        <v>2124</v>
      </c>
      <c r="E21" s="1343">
        <v>263124</v>
      </c>
      <c r="F21" s="1343"/>
      <c r="G21" s="1343">
        <v>263124</v>
      </c>
      <c r="H21" s="1343"/>
      <c r="I21" s="1343"/>
      <c r="J21" s="1343"/>
      <c r="K21" s="1343"/>
      <c r="L21" s="1340">
        <v>1068813</v>
      </c>
      <c r="M21" s="1343" t="s">
        <v>2109</v>
      </c>
    </row>
    <row r="22" spans="2:14" ht="20.100000000000001" customHeight="1" x14ac:dyDescent="0.2">
      <c r="B22" s="1337"/>
      <c r="C22" s="1341"/>
      <c r="D22" s="1342" t="s">
        <v>2125</v>
      </c>
      <c r="E22" s="1343">
        <v>23645</v>
      </c>
      <c r="F22" s="1343"/>
      <c r="G22" s="1343">
        <v>23645</v>
      </c>
      <c r="H22" s="1343"/>
      <c r="I22" s="1343"/>
      <c r="J22" s="1343"/>
      <c r="K22" s="1343"/>
      <c r="L22" s="1340">
        <f t="shared" si="0"/>
        <v>23645</v>
      </c>
      <c r="M22" s="1343" t="s">
        <v>2109</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2126</v>
      </c>
      <c r="C24" s="1341"/>
      <c r="D24" s="1342"/>
      <c r="E24" s="1343"/>
      <c r="F24" s="1343"/>
      <c r="G24" s="1343"/>
      <c r="H24" s="1343"/>
      <c r="I24" s="1343"/>
      <c r="J24" s="1343"/>
      <c r="K24" s="1343"/>
      <c r="L24" s="1340"/>
      <c r="M24" s="1343"/>
    </row>
    <row r="25" spans="2:14" ht="20.100000000000001" customHeight="1" x14ac:dyDescent="0.2">
      <c r="B25" s="1337" t="s">
        <v>2127</v>
      </c>
      <c r="C25" s="1341">
        <v>84.173000000000002</v>
      </c>
      <c r="D25" s="1342" t="s">
        <v>2128</v>
      </c>
      <c r="E25" s="1343"/>
      <c r="F25" s="1343">
        <v>908250</v>
      </c>
      <c r="G25" s="1343"/>
      <c r="H25" s="1343"/>
      <c r="I25" s="1343">
        <f>F25</f>
        <v>908250</v>
      </c>
      <c r="J25" s="1343"/>
      <c r="K25" s="1343"/>
      <c r="L25" s="1340">
        <f t="shared" si="0"/>
        <v>908250</v>
      </c>
      <c r="M25" s="1343">
        <v>913738</v>
      </c>
    </row>
    <row r="26" spans="2:14" ht="20.100000000000001" customHeight="1" x14ac:dyDescent="0.2">
      <c r="B26" s="1337"/>
      <c r="C26" s="1341"/>
      <c r="D26" s="1342" t="s">
        <v>2129</v>
      </c>
      <c r="E26" s="1343">
        <v>873082</v>
      </c>
      <c r="F26" s="1343"/>
      <c r="G26" s="1343">
        <f>E26</f>
        <v>873082</v>
      </c>
      <c r="H26" s="1343"/>
      <c r="I26" s="1343"/>
      <c r="J26" s="1343"/>
      <c r="K26" s="1343"/>
      <c r="L26" s="1340">
        <f t="shared" si="0"/>
        <v>873082</v>
      </c>
      <c r="M26" s="1343">
        <v>882833</v>
      </c>
    </row>
    <row r="27" spans="2:14" ht="20.100000000000001" customHeight="1" x14ac:dyDescent="0.2">
      <c r="B27" s="1337" t="s">
        <v>2130</v>
      </c>
      <c r="C27" s="1341"/>
      <c r="D27" s="1342"/>
      <c r="E27" s="1343">
        <v>2137304</v>
      </c>
      <c r="F27" s="1343">
        <v>2414611</v>
      </c>
      <c r="G27" s="1343">
        <v>2137304</v>
      </c>
      <c r="H27" s="1343"/>
      <c r="I27" s="1343">
        <v>2414611</v>
      </c>
      <c r="J27" s="1343"/>
      <c r="K27" s="1343"/>
      <c r="L27" s="1340">
        <v>5357604</v>
      </c>
      <c r="M27" s="1343">
        <v>1796571</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1229</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6" t="s">
        <v>1730</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330</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2101</v>
      </c>
      <c r="C53" s="179">
        <v>22</v>
      </c>
      <c r="D53" s="247" t="s">
        <v>1536</v>
      </c>
      <c r="E53" s="248"/>
      <c r="F53" s="249"/>
      <c r="G53" s="249" t="s">
        <v>1535</v>
      </c>
      <c r="H53" s="250">
        <v>34700</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1389</v>
      </c>
      <c r="B70" s="2089"/>
      <c r="C70" s="2089"/>
      <c r="D70" s="2089"/>
      <c r="E70" s="2090"/>
      <c r="F70" s="2090"/>
      <c r="G70" s="2090"/>
      <c r="H70" s="2090"/>
      <c r="I70" s="209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2016</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1386</v>
      </c>
      <c r="B83" s="2091"/>
      <c r="C83" s="2091"/>
      <c r="D83" s="209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v>105611</v>
      </c>
      <c r="H85" s="276">
        <v>20372</v>
      </c>
      <c r="I85" s="276"/>
      <c r="J85" s="277">
        <f>SUM(E85:I85)</f>
        <v>125983</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125983</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1396</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2017</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3" sqref="A12:H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New Trier Twp HSD 203</v>
      </c>
      <c r="C1" s="2464"/>
      <c r="D1" s="2464"/>
      <c r="E1" s="2464"/>
      <c r="F1" s="2464"/>
      <c r="G1" s="2464"/>
      <c r="H1" s="2464"/>
      <c r="I1" s="2464"/>
      <c r="J1" s="2464"/>
      <c r="K1" s="2464"/>
      <c r="L1" s="2464"/>
      <c r="M1" s="2464"/>
    </row>
    <row r="2" spans="2:14" ht="15" x14ac:dyDescent="0.2">
      <c r="B2" s="2453">
        <f>'Single Audit Cover'!E7</f>
        <v>5016203017</v>
      </c>
      <c r="C2" s="2453"/>
      <c r="D2" s="2453"/>
      <c r="E2" s="2453"/>
      <c r="F2" s="2453"/>
      <c r="G2" s="2453"/>
      <c r="H2" s="2453"/>
      <c r="I2" s="2453"/>
      <c r="J2" s="2453"/>
      <c r="K2" s="2453"/>
      <c r="L2" s="2453"/>
      <c r="M2" s="2453"/>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2131</v>
      </c>
      <c r="C11" s="1338"/>
      <c r="D11" s="1339"/>
      <c r="E11" s="1340"/>
      <c r="F11" s="1340"/>
      <c r="G11" s="1340"/>
      <c r="H11" s="1340"/>
      <c r="I11" s="1340"/>
      <c r="J11" s="1340"/>
      <c r="K11" s="1340"/>
      <c r="L11" s="1340"/>
      <c r="M11" s="1340"/>
    </row>
    <row r="12" spans="2:14" ht="20.100000000000001" customHeight="1" x14ac:dyDescent="0.2">
      <c r="B12" s="1337" t="s">
        <v>2132</v>
      </c>
      <c r="C12" s="1341" t="s">
        <v>2133</v>
      </c>
      <c r="D12" s="1342" t="s">
        <v>2134</v>
      </c>
      <c r="E12" s="1343"/>
      <c r="F12" s="1343">
        <v>701</v>
      </c>
      <c r="G12" s="1343"/>
      <c r="H12" s="1343"/>
      <c r="I12" s="1343">
        <v>701</v>
      </c>
      <c r="J12" s="1343"/>
      <c r="K12" s="1343"/>
      <c r="L12" s="1340">
        <v>701</v>
      </c>
      <c r="M12" s="1343" t="s">
        <v>2109</v>
      </c>
    </row>
    <row r="13" spans="2:14" ht="20.100000000000001" customHeight="1" x14ac:dyDescent="0.2">
      <c r="B13" s="1337"/>
      <c r="C13" s="1341"/>
      <c r="D13" s="1342" t="s">
        <v>2135</v>
      </c>
      <c r="E13" s="1343">
        <v>866</v>
      </c>
      <c r="F13" s="1343"/>
      <c r="G13" s="1343">
        <v>866</v>
      </c>
      <c r="H13" s="1343"/>
      <c r="I13" s="1343"/>
      <c r="J13" s="1343"/>
      <c r="K13" s="1343"/>
      <c r="L13" s="1340">
        <v>866</v>
      </c>
      <c r="M13" s="1343" t="s">
        <v>2109</v>
      </c>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2136</v>
      </c>
      <c r="C15" s="1341"/>
      <c r="D15" s="1342"/>
      <c r="E15" s="1343"/>
      <c r="F15" s="1343"/>
      <c r="G15" s="1343"/>
      <c r="H15" s="1343"/>
      <c r="I15" s="1343"/>
      <c r="J15" s="1343"/>
      <c r="K15" s="1343"/>
      <c r="L15" s="1340"/>
      <c r="M15" s="1343"/>
    </row>
    <row r="16" spans="2:14" ht="20.100000000000001" customHeight="1" x14ac:dyDescent="0.2">
      <c r="B16" s="1337" t="s">
        <v>2137</v>
      </c>
      <c r="C16" s="1341">
        <v>84.048000000000002</v>
      </c>
      <c r="D16" s="1342" t="s">
        <v>2138</v>
      </c>
      <c r="E16" s="1343"/>
      <c r="F16" s="1343">
        <v>56272</v>
      </c>
      <c r="G16" s="1343"/>
      <c r="H16" s="1343"/>
      <c r="I16" s="1343">
        <v>56272</v>
      </c>
      <c r="J16" s="1343"/>
      <c r="K16" s="1343"/>
      <c r="L16" s="1340">
        <v>56272</v>
      </c>
      <c r="M16" s="1343">
        <v>56272</v>
      </c>
    </row>
    <row r="17" spans="2:14" ht="20.100000000000001" customHeight="1" x14ac:dyDescent="0.2">
      <c r="B17" s="1337"/>
      <c r="C17" s="1341"/>
      <c r="D17" s="1342" t="s">
        <v>2139</v>
      </c>
      <c r="E17" s="1343">
        <v>57838</v>
      </c>
      <c r="F17" s="1343"/>
      <c r="G17" s="1343">
        <v>59835</v>
      </c>
      <c r="H17" s="1343"/>
      <c r="I17" s="1343"/>
      <c r="J17" s="1343"/>
      <c r="K17" s="1343"/>
      <c r="L17" s="1340">
        <v>59838</v>
      </c>
      <c r="M17" s="1343">
        <v>59838</v>
      </c>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t="s">
        <v>2126</v>
      </c>
      <c r="C19" s="1341"/>
      <c r="D19" s="1342"/>
      <c r="E19" s="1343"/>
      <c r="F19" s="1343"/>
      <c r="G19" s="1343"/>
      <c r="H19" s="1343"/>
      <c r="I19" s="1343"/>
      <c r="J19" s="1343"/>
      <c r="K19" s="1343"/>
      <c r="L19" s="1340"/>
      <c r="M19" s="1343"/>
    </row>
    <row r="20" spans="2:14" ht="20.100000000000001" customHeight="1" x14ac:dyDescent="0.2">
      <c r="B20" s="1337" t="s">
        <v>2140</v>
      </c>
      <c r="C20" s="1341">
        <v>84.126000000000005</v>
      </c>
      <c r="D20" s="1342" t="s">
        <v>2141</v>
      </c>
      <c r="E20" s="1343"/>
      <c r="F20" s="1343">
        <v>25988</v>
      </c>
      <c r="G20" s="1343"/>
      <c r="H20" s="1343"/>
      <c r="I20" s="1343">
        <v>25988</v>
      </c>
      <c r="J20" s="1343"/>
      <c r="K20" s="1343"/>
      <c r="L20" s="1340">
        <v>25988</v>
      </c>
      <c r="M20" s="1343">
        <v>25988</v>
      </c>
    </row>
    <row r="21" spans="2:14" ht="20.100000000000001" customHeight="1" x14ac:dyDescent="0.2">
      <c r="B21" s="1337"/>
      <c r="C21" s="1341"/>
      <c r="D21" s="1342" t="s">
        <v>2142</v>
      </c>
      <c r="E21" s="1343">
        <v>25631</v>
      </c>
      <c r="F21" s="1343"/>
      <c r="G21" s="1343">
        <v>28937</v>
      </c>
      <c r="H21" s="1343"/>
      <c r="I21" s="1343"/>
      <c r="J21" s="1343"/>
      <c r="K21" s="1343"/>
      <c r="L21" s="1340">
        <v>28937</v>
      </c>
      <c r="M21" s="1343">
        <v>28937</v>
      </c>
    </row>
    <row r="22" spans="2:14" ht="20.100000000000001" customHeight="1" x14ac:dyDescent="0.2">
      <c r="B22" s="1337"/>
      <c r="C22" s="1341"/>
      <c r="D22" s="1342" t="s">
        <v>2143</v>
      </c>
      <c r="E22" s="1343">
        <v>3306</v>
      </c>
      <c r="F22" s="1343"/>
      <c r="G22" s="1343"/>
      <c r="H22" s="1343"/>
      <c r="I22" s="1343"/>
      <c r="J22" s="1343"/>
      <c r="K22" s="1343"/>
      <c r="L22" s="1340">
        <v>41603</v>
      </c>
      <c r="M22" s="1343">
        <v>44909</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2147</v>
      </c>
      <c r="C24" s="1341"/>
      <c r="D24" s="1342"/>
      <c r="E24" s="1343">
        <v>2280305</v>
      </c>
      <c r="F24" s="1343">
        <v>2529389</v>
      </c>
      <c r="G24" s="1343">
        <v>2282302</v>
      </c>
      <c r="H24" s="1343"/>
      <c r="I24" s="1343">
        <v>2527389</v>
      </c>
      <c r="J24" s="1343"/>
      <c r="K24" s="1343"/>
      <c r="L24" s="1340">
        <v>5726347</v>
      </c>
      <c r="M24" s="1343">
        <v>2229888</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13" sqref="A12:H1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New Trier Twp HSD 203</v>
      </c>
      <c r="C1" s="2472"/>
      <c r="D1" s="2472"/>
      <c r="E1" s="2472"/>
      <c r="F1" s="2472"/>
      <c r="G1" s="2472"/>
      <c r="H1" s="2472"/>
      <c r="I1" s="2472"/>
      <c r="J1" s="1422"/>
    </row>
    <row r="2" spans="2:10" s="317" customFormat="1" ht="12.75" customHeight="1" x14ac:dyDescent="0.2">
      <c r="B2" s="2473">
        <f>'Single Audit Cover'!E7</f>
        <v>5016203017</v>
      </c>
      <c r="C2" s="2474"/>
      <c r="D2" s="2474"/>
      <c r="E2" s="2474"/>
      <c r="F2" s="2474"/>
      <c r="G2" s="2474"/>
      <c r="H2" s="2474"/>
      <c r="I2" s="2474"/>
      <c r="J2" s="1422"/>
    </row>
    <row r="3" spans="2:10" s="317" customFormat="1" ht="12.75" customHeight="1" x14ac:dyDescent="0.2">
      <c r="B3" s="2475" t="s">
        <v>1346</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1345</v>
      </c>
      <c r="C7" s="2476"/>
      <c r="D7" s="2476"/>
      <c r="E7" s="2476"/>
      <c r="F7" s="2476"/>
      <c r="G7" s="2476"/>
      <c r="H7" s="2476"/>
      <c r="I7" s="2476"/>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77" t="s">
        <v>2106</v>
      </c>
      <c r="D11" s="2477"/>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2101</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2101</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2101</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2101</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2101</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78" t="s">
        <v>2106</v>
      </c>
      <c r="E29" s="2478"/>
      <c r="F29" s="2478"/>
      <c r="G29" s="2478"/>
      <c r="H29" s="2478"/>
      <c r="I29" s="2478"/>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2101</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79" t="s">
        <v>1850</v>
      </c>
      <c r="D37" s="2480"/>
      <c r="E37" s="2480"/>
      <c r="F37" s="2481"/>
      <c r="G37" s="2479" t="s">
        <v>1673</v>
      </c>
      <c r="H37" s="2480"/>
      <c r="I37" s="2481"/>
    </row>
    <row r="38" spans="2:9" ht="16.5" customHeight="1" x14ac:dyDescent="0.2">
      <c r="B38" s="1444" t="s">
        <v>2107</v>
      </c>
      <c r="C38" s="2467" t="s">
        <v>2108</v>
      </c>
      <c r="D38" s="2468"/>
      <c r="E38" s="2468"/>
      <c r="F38" s="2469"/>
      <c r="G38" s="2482">
        <v>2414611</v>
      </c>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1674</v>
      </c>
      <c r="D43" s="2486"/>
      <c r="E43" s="2486"/>
      <c r="F43" s="2487"/>
      <c r="G43" s="2488">
        <f>SUM(G38:I42)</f>
        <v>2414611</v>
      </c>
      <c r="H43" s="2488"/>
      <c r="I43" s="2488"/>
    </row>
    <row r="44" spans="2:9" ht="12.75" customHeight="1" x14ac:dyDescent="0.2"/>
    <row r="45" spans="2:9" ht="12.75" customHeight="1" x14ac:dyDescent="0.2">
      <c r="B45" s="1435" t="s">
        <v>1947</v>
      </c>
      <c r="D45" s="2489">
        <v>2527389</v>
      </c>
      <c r="E45" s="2490"/>
    </row>
    <row r="46" spans="2:9" ht="5.25" customHeight="1" x14ac:dyDescent="0.2">
      <c r="B46" s="1445"/>
      <c r="D46" s="1446"/>
      <c r="E46" s="1447"/>
    </row>
    <row r="47" spans="2:9" ht="12.75" customHeight="1" x14ac:dyDescent="0.2">
      <c r="B47" s="1300" t="s">
        <v>1675</v>
      </c>
      <c r="C47" s="1300"/>
      <c r="D47" s="1448">
        <f>+G43/D45</f>
        <v>0.95537766445925021</v>
      </c>
      <c r="E47" s="1449"/>
      <c r="F47" s="1450"/>
      <c r="I47" s="1451"/>
    </row>
    <row r="48" spans="2:9" ht="9.9499999999999993" customHeight="1" x14ac:dyDescent="0.2"/>
    <row r="49" spans="1:9" x14ac:dyDescent="0.2">
      <c r="B49" s="1368" t="s">
        <v>1334</v>
      </c>
      <c r="C49" s="1282"/>
      <c r="D49" s="1282"/>
      <c r="E49" s="2491">
        <v>750000</v>
      </c>
      <c r="F49" s="2491"/>
      <c r="G49" s="2491"/>
      <c r="H49" s="322"/>
    </row>
    <row r="51" spans="1:9" ht="13.5" customHeight="1" x14ac:dyDescent="0.2">
      <c r="B51" s="1368" t="s">
        <v>1333</v>
      </c>
      <c r="C51" s="1282"/>
      <c r="E51" s="1438" t="s">
        <v>2073</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13" sqref="A12:H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New Trier Twp HSD 203</v>
      </c>
      <c r="C1" s="2471"/>
      <c r="D1" s="2471"/>
      <c r="E1" s="2471"/>
      <c r="F1" s="2471"/>
      <c r="G1" s="2471"/>
      <c r="H1" s="2471"/>
      <c r="I1" s="2471"/>
      <c r="J1" s="2471"/>
      <c r="K1" s="2471"/>
      <c r="L1" s="1374"/>
      <c r="M1" s="1374"/>
    </row>
    <row r="2" spans="1:13" ht="12" customHeight="1" x14ac:dyDescent="0.2">
      <c r="B2" s="2473">
        <f>'Single Audit Cover'!E7</f>
        <v>5016203017</v>
      </c>
      <c r="C2" s="2473"/>
      <c r="D2" s="2473"/>
      <c r="E2" s="2473"/>
      <c r="F2" s="2473"/>
      <c r="G2" s="2473"/>
      <c r="H2" s="2473"/>
      <c r="I2" s="2473"/>
      <c r="J2" s="2473"/>
      <c r="K2" s="2473"/>
      <c r="L2" s="1375"/>
      <c r="M2" s="1376"/>
    </row>
    <row r="3" spans="1:13" ht="10.35" customHeight="1" x14ac:dyDescent="0.2">
      <c r="B3" s="2494" t="s">
        <v>1346</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1362</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1948</v>
      </c>
      <c r="D10" s="1386" t="s">
        <v>2109</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13" sqref="A12:H1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New Trier Twp HSD 203</v>
      </c>
      <c r="C1" s="2498"/>
      <c r="D1" s="2498"/>
      <c r="E1" s="2498"/>
      <c r="F1" s="2498"/>
      <c r="G1" s="2498"/>
      <c r="H1" s="2498"/>
      <c r="I1" s="2498"/>
      <c r="J1" s="2498"/>
      <c r="K1" s="2498"/>
      <c r="L1" s="1465"/>
    </row>
    <row r="2" spans="1:12" ht="12.75" customHeight="1" x14ac:dyDescent="0.2">
      <c r="B2" s="2499">
        <f>'Single Audit Cover'!E7</f>
        <v>5016203017</v>
      </c>
      <c r="C2" s="2499"/>
      <c r="D2" s="2499"/>
      <c r="E2" s="2499"/>
      <c r="F2" s="2499"/>
      <c r="G2" s="2499"/>
      <c r="H2" s="2499"/>
      <c r="I2" s="2499"/>
      <c r="J2" s="2499"/>
      <c r="K2" s="2499"/>
      <c r="L2" s="1466"/>
    </row>
    <row r="3" spans="1:12" ht="12.75" customHeight="1" x14ac:dyDescent="0.2">
      <c r="B3" s="2494" t="s">
        <v>1346</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1230</v>
      </c>
      <c r="C5" s="1260"/>
      <c r="L5" s="322"/>
    </row>
    <row r="6" spans="1:12" ht="30.75" customHeight="1" x14ac:dyDescent="0.2">
      <c r="A6" s="322"/>
      <c r="B6" s="2500" t="s">
        <v>1374</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1948</v>
      </c>
      <c r="D8" s="1468" t="s">
        <v>2109</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1"/>
      <c r="E14" s="2501"/>
      <c r="F14" s="2501"/>
      <c r="H14" s="1475" t="s">
        <v>1369</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2"/>
      <c r="E16" s="2502"/>
      <c r="F16" s="2502"/>
      <c r="G16" s="2502"/>
      <c r="H16" s="2502"/>
      <c r="I16" s="2502"/>
      <c r="J16" s="2502"/>
      <c r="K16" s="2502"/>
      <c r="L16" s="322"/>
    </row>
    <row r="17" spans="2:12" ht="13.5" customHeight="1" x14ac:dyDescent="0.2">
      <c r="B17" s="1387" t="s">
        <v>1367</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13" sqref="A12:H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New Trier Twp HSD 203</v>
      </c>
      <c r="C1" s="2471"/>
      <c r="D1" s="2471"/>
      <c r="E1" s="1491"/>
    </row>
    <row r="2" spans="2:5" s="1282" customFormat="1" ht="12.75" customHeight="1" x14ac:dyDescent="0.2">
      <c r="B2" s="2473">
        <f>'Single Audit Cover'!E7</f>
        <v>5016203017</v>
      </c>
      <c r="C2" s="2473"/>
      <c r="D2" s="2473"/>
      <c r="E2" s="1492"/>
    </row>
    <row r="3" spans="2:5" ht="12.75" customHeight="1" x14ac:dyDescent="0.2">
      <c r="B3" s="2494" t="s">
        <v>1865</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c r="C7" s="324"/>
      <c r="D7" s="324"/>
      <c r="E7" s="324"/>
    </row>
    <row r="8" spans="2:5" ht="13.5" customHeight="1" x14ac:dyDescent="0.2">
      <c r="B8" s="1496" t="s">
        <v>2110</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403</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5597117421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1.5663E-2</v>
      </c>
      <c r="E10" s="356" t="s">
        <v>1061</v>
      </c>
      <c r="F10" s="355">
        <v>1.3569999999999999E-3</v>
      </c>
      <c r="G10" s="356" t="s">
        <v>1061</v>
      </c>
      <c r="H10" s="355">
        <v>2.5300000000000002E-4</v>
      </c>
      <c r="I10" s="356" t="s">
        <v>1062</v>
      </c>
      <c r="J10" s="1754">
        <f>ROUND(D10+F10+H10,5)</f>
        <v>1.7270000000000001E-2</v>
      </c>
      <c r="K10" s="222"/>
      <c r="L10" s="355">
        <v>0</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103627891</v>
      </c>
      <c r="E16" s="356"/>
      <c r="F16" s="1755">
        <f>SUM('Acct Summary 7-8'!C17,'Acct Summary 7-8'!D17,'Acct Summary 7-8'!F17)</f>
        <v>98890361</v>
      </c>
      <c r="G16" s="356"/>
      <c r="H16" s="1755">
        <f>SUM(D16-F16)</f>
        <v>4737530</v>
      </c>
      <c r="I16" s="222"/>
      <c r="J16" s="1755">
        <f>SUM('Acct Summary 7-8'!C81,'Acct Summary 7-8'!D81,'Acct Summary 7-8'!F81,'Acct Summary 7-8'!I81)</f>
        <v>80457250</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606</v>
      </c>
      <c r="D31" s="237" t="s">
        <v>1131</v>
      </c>
      <c r="E31" s="222"/>
      <c r="F31" s="222"/>
      <c r="G31" s="363"/>
      <c r="H31" s="1757">
        <f>IF(B31="X",(J7*0.069),IF(B32="X",(J7*0.138),"Enter x in a.or b."))</f>
        <v>386201102.04900002</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102395000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13" sqref="A12:H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576</v>
      </c>
      <c r="B2" s="2121"/>
      <c r="C2" s="2121"/>
      <c r="D2" s="2121"/>
      <c r="E2" s="2121"/>
      <c r="F2" s="2121"/>
      <c r="G2" s="2121"/>
      <c r="H2" s="2121"/>
      <c r="I2" s="2121"/>
      <c r="J2" s="2121"/>
      <c r="K2" s="2121"/>
      <c r="L2" s="2121"/>
      <c r="M2" s="2121"/>
      <c r="N2" s="2121"/>
      <c r="O2" s="2121"/>
      <c r="P2" s="2121"/>
      <c r="Q2" s="2121"/>
      <c r="R2" s="2121"/>
    </row>
    <row r="3" spans="1:18" ht="12.75" x14ac:dyDescent="0.2">
      <c r="A3" s="2122" t="s">
        <v>1479</v>
      </c>
      <c r="B3" s="2122"/>
      <c r="C3" s="2122"/>
      <c r="D3" s="2122"/>
      <c r="E3" s="2122"/>
      <c r="F3" s="2122"/>
      <c r="G3" s="2122"/>
      <c r="H3" s="2122"/>
      <c r="I3" s="2122"/>
      <c r="J3" s="2122"/>
      <c r="K3" s="2122"/>
      <c r="L3" s="2122"/>
      <c r="M3" s="2122"/>
      <c r="N3" s="2122"/>
      <c r="O3" s="2122"/>
      <c r="P3" s="2122"/>
      <c r="Q3" s="2122"/>
      <c r="R3" s="2122"/>
    </row>
    <row r="4" spans="1:18" x14ac:dyDescent="0.2">
      <c r="A4" s="2123" t="s">
        <v>1634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New Trier Twp HSD 203</v>
      </c>
      <c r="E7" s="391"/>
      <c r="G7" s="252"/>
      <c r="H7" s="387"/>
      <c r="I7" s="387"/>
      <c r="J7" s="387"/>
      <c r="K7" s="387"/>
      <c r="L7" s="329"/>
      <c r="M7" s="329"/>
      <c r="N7" s="329"/>
      <c r="O7" s="329"/>
      <c r="P7" s="329"/>
    </row>
    <row r="8" spans="1:18" ht="12.75" x14ac:dyDescent="0.2">
      <c r="A8" s="329"/>
      <c r="B8" s="329"/>
      <c r="C8" s="389" t="s">
        <v>1186</v>
      </c>
      <c r="D8" s="392">
        <f>COVER!A13</f>
        <v>5016203017</v>
      </c>
      <c r="E8" s="393"/>
      <c r="G8" s="329"/>
      <c r="H8" s="329"/>
      <c r="I8" s="329"/>
      <c r="J8" s="329"/>
      <c r="K8" s="329"/>
      <c r="L8" s="329"/>
      <c r="M8" s="329"/>
      <c r="N8" s="329"/>
      <c r="O8" s="329"/>
      <c r="P8" s="329"/>
    </row>
    <row r="9" spans="1:18" ht="12.75" x14ac:dyDescent="0.2">
      <c r="A9" s="329"/>
      <c r="B9" s="329"/>
      <c r="C9" s="389" t="s">
        <v>736</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80457250</v>
      </c>
      <c r="I12" s="404"/>
      <c r="J12" s="404"/>
      <c r="K12" s="405">
        <f>TRUNC((H12/H13*100000),5)/100000</f>
        <v>0.77780311459999996</v>
      </c>
      <c r="L12" s="406"/>
      <c r="M12" s="360" t="s">
        <v>1205</v>
      </c>
      <c r="N12" s="360"/>
      <c r="O12" s="407">
        <v>0.35</v>
      </c>
      <c r="P12" s="218"/>
      <c r="Q12" s="218"/>
    </row>
    <row r="13" spans="1:18" s="408" customFormat="1" ht="12.75" x14ac:dyDescent="0.2">
      <c r="A13" s="218"/>
      <c r="B13" s="401"/>
      <c r="C13" s="2119" t="s">
        <v>1390</v>
      </c>
      <c r="D13" s="2120"/>
      <c r="E13" s="218"/>
      <c r="F13" s="409" t="s">
        <v>825</v>
      </c>
      <c r="G13" s="402"/>
      <c r="H13" s="403">
        <f>SUM('Acct Summary 7-8'!C8+'Acct Summary 7-8'!D8+'Acct Summary 7-8'!F8+'Acct Summary 7-8'!I8)+H14</f>
        <v>103441666</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-186225</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98890361</v>
      </c>
      <c r="I17" s="404"/>
      <c r="J17" s="416"/>
      <c r="K17" s="405">
        <f>TRUNC((H17/H18*100000),5)/100000</f>
        <v>0.95600124030000011</v>
      </c>
      <c r="L17" s="406"/>
      <c r="M17" s="417" t="s">
        <v>1232</v>
      </c>
      <c r="O17" s="418" t="str">
        <f>IF(AND(O16="2", J20 &gt; 2),"1",IF(AND(O16 = "1", J20 &gt; 2),"2",IF(AND(O16="1", J20 &gt;1),"1","0")))</f>
        <v>0</v>
      </c>
      <c r="P17" s="218"/>
    </row>
    <row r="18" spans="1:18" s="408" customFormat="1" ht="11.25" x14ac:dyDescent="0.2">
      <c r="A18" s="218"/>
      <c r="B18" s="401"/>
      <c r="C18" s="2119" t="s">
        <v>1383</v>
      </c>
      <c r="D18" s="2120"/>
      <c r="E18" s="218"/>
      <c r="F18" s="419" t="s">
        <v>826</v>
      </c>
      <c r="G18" s="402"/>
      <c r="H18" s="403">
        <f>SUM('Acct Summary 7-8'!C8+'Acct Summary 7-8'!D8+'Acct Summary 7-8'!F8+'Acct Summary 7-8'!I8)+H19</f>
        <v>103441666</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-186225</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6" t="s">
        <v>1478</v>
      </c>
      <c r="D24" s="2116"/>
      <c r="E24" s="218"/>
      <c r="F24" s="218" t="s">
        <v>464</v>
      </c>
      <c r="G24" s="402"/>
      <c r="H24" s="403">
        <f>SUM('Assets-Liab 5-6'!C4+'Assets-Liab 5-6'!D4+'Assets-Liab 5-6'!F4+'Assets-Liab 5-6'!I4+'Assets-Liab 5-6'!C5+'Assets-Liab 5-6'!D5+'Assets-Liab 5-6'!F5+'Assets-Liab 5-6'!I5)</f>
        <v>88554306</v>
      </c>
      <c r="I24" s="422"/>
      <c r="J24" s="422"/>
      <c r="K24" s="423">
        <f>TRUNC(((H24/H25*100000)/100000),2)</f>
        <v>322.37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274695.44721999997</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82162885.181569993</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102395000</v>
      </c>
      <c r="I32" s="420"/>
      <c r="J32" s="420"/>
      <c r="K32" s="423">
        <f>TRUNC(100-((((H32/H33*100))*100)/100),2)</f>
        <v>73.48</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386201102.04900002</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xSplit="2" ySplit="2" topLeftCell="C3" activePane="bottomRight" state="frozen"/>
      <selection activeCell="A13" sqref="A12:H15"/>
      <selection pane="topRight" activeCell="A13" sqref="A12:H15"/>
      <selection pane="bottomLeft" activeCell="A13" sqref="A12:H15"/>
      <selection pane="bottomRight" activeCell="A13" sqref="A12:H1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6" t="s">
        <v>1029</v>
      </c>
      <c r="B3" s="2127"/>
      <c r="C3" s="1581"/>
      <c r="D3" s="1582"/>
      <c r="E3" s="1582"/>
      <c r="F3" s="1582"/>
      <c r="G3" s="1582"/>
      <c r="H3" s="1582"/>
      <c r="I3" s="1582"/>
      <c r="J3" s="1582"/>
      <c r="K3" s="1582"/>
      <c r="L3" s="1582"/>
      <c r="M3" s="1583"/>
      <c r="N3" s="1584"/>
    </row>
    <row r="4" spans="1:14" ht="13.5" customHeight="1" x14ac:dyDescent="0.2">
      <c r="A4" s="463" t="s">
        <v>1749</v>
      </c>
      <c r="B4" s="464"/>
      <c r="C4" s="465">
        <v>4075601</v>
      </c>
      <c r="D4" s="466">
        <v>3487587</v>
      </c>
      <c r="E4" s="466">
        <v>2617474</v>
      </c>
      <c r="F4" s="466">
        <v>2537198</v>
      </c>
      <c r="G4" s="466">
        <v>2034541</v>
      </c>
      <c r="H4" s="466">
        <v>6466337</v>
      </c>
      <c r="I4" s="466">
        <v>1984373</v>
      </c>
      <c r="J4" s="467"/>
      <c r="K4" s="466">
        <v>638469</v>
      </c>
      <c r="L4" s="466">
        <v>3790312</v>
      </c>
      <c r="M4" s="468"/>
      <c r="N4" s="469"/>
    </row>
    <row r="5" spans="1:14" x14ac:dyDescent="0.2">
      <c r="A5" s="463" t="s">
        <v>1048</v>
      </c>
      <c r="B5" s="470">
        <v>120</v>
      </c>
      <c r="C5" s="465">
        <v>71926104</v>
      </c>
      <c r="D5" s="466">
        <v>2230625</v>
      </c>
      <c r="E5" s="466">
        <v>967196</v>
      </c>
      <c r="F5" s="466">
        <v>967406</v>
      </c>
      <c r="G5" s="466">
        <v>672706</v>
      </c>
      <c r="H5" s="466">
        <v>4574277</v>
      </c>
      <c r="I5" s="466">
        <v>1345412</v>
      </c>
      <c r="J5" s="467"/>
      <c r="K5" s="471"/>
      <c r="L5" s="472">
        <v>5024685</v>
      </c>
      <c r="M5" s="468"/>
      <c r="N5" s="469"/>
    </row>
    <row r="6" spans="1:14" ht="13.5" customHeight="1" x14ac:dyDescent="0.2">
      <c r="A6" s="473" t="s">
        <v>436</v>
      </c>
      <c r="B6" s="470">
        <v>130</v>
      </c>
      <c r="C6" s="465">
        <v>40772322</v>
      </c>
      <c r="D6" s="466">
        <v>3532404</v>
      </c>
      <c r="E6" s="466">
        <v>4770301</v>
      </c>
      <c r="F6" s="466">
        <v>658583</v>
      </c>
      <c r="G6" s="471">
        <v>2139747</v>
      </c>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430111</v>
      </c>
      <c r="D8" s="467">
        <v>175590</v>
      </c>
      <c r="E8" s="467"/>
      <c r="F8" s="467">
        <v>105611</v>
      </c>
      <c r="G8" s="478"/>
      <c r="H8" s="467"/>
      <c r="I8" s="474"/>
      <c r="J8" s="474"/>
      <c r="K8" s="479"/>
      <c r="L8" s="480"/>
      <c r="M8" s="468"/>
      <c r="N8" s="469"/>
    </row>
    <row r="9" spans="1:14" ht="13.5" customHeight="1" x14ac:dyDescent="0.2">
      <c r="A9" s="473" t="s">
        <v>287</v>
      </c>
      <c r="B9" s="470">
        <v>160</v>
      </c>
      <c r="C9" s="476">
        <v>554874</v>
      </c>
      <c r="D9" s="467">
        <v>18221</v>
      </c>
      <c r="E9" s="467">
        <v>7460</v>
      </c>
      <c r="F9" s="467">
        <v>7462</v>
      </c>
      <c r="G9" s="467">
        <v>5188</v>
      </c>
      <c r="H9" s="478">
        <v>35280</v>
      </c>
      <c r="I9" s="467">
        <v>10377</v>
      </c>
      <c r="J9" s="467"/>
      <c r="K9" s="467"/>
      <c r="L9" s="467">
        <v>175342</v>
      </c>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117759012</v>
      </c>
      <c r="D13" s="1759">
        <f t="shared" ref="D13:L13" si="0">SUM(D4:D12)</f>
        <v>9444427</v>
      </c>
      <c r="E13" s="1759">
        <f t="shared" si="0"/>
        <v>8362431</v>
      </c>
      <c r="F13" s="1759">
        <f t="shared" si="0"/>
        <v>4276260</v>
      </c>
      <c r="G13" s="1759">
        <f t="shared" si="0"/>
        <v>4852182</v>
      </c>
      <c r="H13" s="1759">
        <f t="shared" si="0"/>
        <v>11075894</v>
      </c>
      <c r="I13" s="1759">
        <f t="shared" si="0"/>
        <v>3340162</v>
      </c>
      <c r="J13" s="1759">
        <f t="shared" si="0"/>
        <v>0</v>
      </c>
      <c r="K13" s="1759">
        <f t="shared" si="0"/>
        <v>638469</v>
      </c>
      <c r="L13" s="1759">
        <f t="shared" si="0"/>
        <v>8990339</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5170483</v>
      </c>
      <c r="N16" s="484"/>
    </row>
    <row r="17" spans="1:14" s="485" customFormat="1" ht="12.75" customHeight="1" x14ac:dyDescent="0.2">
      <c r="A17" s="482" t="s">
        <v>1469</v>
      </c>
      <c r="B17" s="483">
        <v>230</v>
      </c>
      <c r="C17" s="477"/>
      <c r="D17" s="477"/>
      <c r="E17" s="477"/>
      <c r="F17" s="477"/>
      <c r="G17" s="477"/>
      <c r="H17" s="477"/>
      <c r="I17" s="477"/>
      <c r="J17" s="477"/>
      <c r="K17" s="477"/>
      <c r="L17" s="477"/>
      <c r="M17" s="467">
        <v>132383720</v>
      </c>
      <c r="N17" s="484"/>
    </row>
    <row r="18" spans="1:14" s="485" customFormat="1" ht="12.75" customHeight="1" x14ac:dyDescent="0.2">
      <c r="A18" s="482" t="s">
        <v>1470</v>
      </c>
      <c r="B18" s="483">
        <v>240</v>
      </c>
      <c r="C18" s="477"/>
      <c r="D18" s="477"/>
      <c r="E18" s="477"/>
      <c r="F18" s="477"/>
      <c r="G18" s="477"/>
      <c r="H18" s="477"/>
      <c r="I18" s="477"/>
      <c r="J18" s="477"/>
      <c r="K18" s="477"/>
      <c r="L18" s="477"/>
      <c r="M18" s="467"/>
      <c r="N18" s="484"/>
    </row>
    <row r="19" spans="1:14" s="485" customFormat="1" ht="12.75" customHeight="1" x14ac:dyDescent="0.2">
      <c r="A19" s="482" t="s">
        <v>1471</v>
      </c>
      <c r="B19" s="483">
        <v>250</v>
      </c>
      <c r="C19" s="477"/>
      <c r="D19" s="477"/>
      <c r="E19" s="477"/>
      <c r="F19" s="477"/>
      <c r="G19" s="477"/>
      <c r="H19" s="477"/>
      <c r="I19" s="477"/>
      <c r="J19" s="477"/>
      <c r="K19" s="477"/>
      <c r="L19" s="477"/>
      <c r="M19" s="467">
        <v>16980839</v>
      </c>
      <c r="N19" s="484"/>
    </row>
    <row r="20" spans="1:14" s="485" customFormat="1" ht="12.75" customHeight="1" x14ac:dyDescent="0.2">
      <c r="A20" s="482" t="s">
        <v>1472</v>
      </c>
      <c r="B20" s="483">
        <v>260</v>
      </c>
      <c r="C20" s="477"/>
      <c r="D20" s="477"/>
      <c r="E20" s="477"/>
      <c r="F20" s="477"/>
      <c r="G20" s="477"/>
      <c r="H20" s="477"/>
      <c r="I20" s="477"/>
      <c r="J20" s="477"/>
      <c r="K20" s="477"/>
      <c r="L20" s="477"/>
      <c r="M20" s="467">
        <v>3571633</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E38</f>
        <v>3540605</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98854395</v>
      </c>
    </row>
    <row r="23" spans="1:14" ht="13.5" customHeight="1" thickBot="1" x14ac:dyDescent="0.25">
      <c r="A23" s="1758" t="s">
        <v>663</v>
      </c>
      <c r="B23" s="1763"/>
      <c r="C23" s="468"/>
      <c r="D23" s="468"/>
      <c r="E23" s="468"/>
      <c r="F23" s="468"/>
      <c r="G23" s="468"/>
      <c r="H23" s="468"/>
      <c r="I23" s="468"/>
      <c r="J23" s="468"/>
      <c r="K23" s="468"/>
      <c r="L23" s="468"/>
      <c r="M23" s="1710">
        <f>SUM(M15:M22)</f>
        <v>158106675</v>
      </c>
      <c r="N23" s="1710">
        <f>SUM(N21:N22)</f>
        <v>102395000</v>
      </c>
    </row>
    <row r="24" spans="1:14" ht="18" customHeight="1" thickTop="1" x14ac:dyDescent="0.2">
      <c r="A24" s="2130" t="s">
        <v>618</v>
      </c>
      <c r="B24" s="2131"/>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v>267248</v>
      </c>
      <c r="D27" s="467">
        <v>24020</v>
      </c>
      <c r="E27" s="467">
        <v>18510</v>
      </c>
      <c r="F27" s="467">
        <v>4380</v>
      </c>
      <c r="G27" s="467">
        <v>11530</v>
      </c>
      <c r="H27" s="467"/>
      <c r="I27" s="467"/>
      <c r="J27" s="467"/>
      <c r="K27" s="467"/>
      <c r="L27" s="468"/>
      <c r="M27" s="468"/>
      <c r="N27" s="468"/>
    </row>
    <row r="28" spans="1:14" ht="13.5" customHeight="1" x14ac:dyDescent="0.2">
      <c r="A28" s="473" t="s">
        <v>668</v>
      </c>
      <c r="B28" s="470">
        <v>440</v>
      </c>
      <c r="C28" s="467">
        <v>793125</v>
      </c>
      <c r="D28" s="467">
        <v>72083</v>
      </c>
      <c r="E28" s="474">
        <v>1250</v>
      </c>
      <c r="F28" s="467">
        <v>26745</v>
      </c>
      <c r="G28" s="474">
        <v>668</v>
      </c>
      <c r="H28" s="474">
        <v>2967034</v>
      </c>
      <c r="I28" s="467"/>
      <c r="J28" s="467"/>
      <c r="K28" s="479">
        <v>75267</v>
      </c>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v>6528350</v>
      </c>
      <c r="D30" s="474"/>
      <c r="E30" s="467"/>
      <c r="F30" s="467"/>
      <c r="G30" s="467">
        <v>629</v>
      </c>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v>42070146</v>
      </c>
      <c r="D32" s="492">
        <v>3645825</v>
      </c>
      <c r="E32" s="474">
        <v>4802066</v>
      </c>
      <c r="F32" s="474">
        <v>921470</v>
      </c>
      <c r="G32" s="474">
        <v>2154009</v>
      </c>
      <c r="H32" s="474">
        <v>31343</v>
      </c>
      <c r="I32" s="474">
        <v>9219</v>
      </c>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8990339</v>
      </c>
      <c r="M33" s="468"/>
      <c r="N33" s="469"/>
    </row>
    <row r="34" spans="1:14" ht="13.5" customHeight="1" thickBot="1" x14ac:dyDescent="0.25">
      <c r="A34" s="1760" t="s">
        <v>674</v>
      </c>
      <c r="B34" s="1761"/>
      <c r="C34" s="1762">
        <f>SUM(C25:C33)</f>
        <v>49658869</v>
      </c>
      <c r="D34" s="1762">
        <f t="shared" ref="D34:K34" si="1">SUM(D25:D33)</f>
        <v>3741928</v>
      </c>
      <c r="E34" s="1762">
        <f t="shared" si="1"/>
        <v>4821826</v>
      </c>
      <c r="F34" s="1762">
        <f t="shared" si="1"/>
        <v>952595</v>
      </c>
      <c r="G34" s="1762">
        <f t="shared" si="1"/>
        <v>2166836</v>
      </c>
      <c r="H34" s="1762">
        <f t="shared" si="1"/>
        <v>2998377</v>
      </c>
      <c r="I34" s="1762">
        <f t="shared" si="1"/>
        <v>9219</v>
      </c>
      <c r="J34" s="1762">
        <f t="shared" si="1"/>
        <v>0</v>
      </c>
      <c r="K34" s="1762">
        <f t="shared" si="1"/>
        <v>75267</v>
      </c>
      <c r="L34" s="1743">
        <f>SUM(L33)</f>
        <v>8990339</v>
      </c>
      <c r="M34" s="468"/>
      <c r="N34" s="480"/>
    </row>
    <row r="35" spans="1:14" ht="18" customHeight="1" thickTop="1" x14ac:dyDescent="0.2">
      <c r="A35" s="2132" t="s">
        <v>549</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102395000</v>
      </c>
    </row>
    <row r="37" spans="1:14" ht="13.5" thickBot="1" x14ac:dyDescent="0.25">
      <c r="A37" s="1758" t="s">
        <v>673</v>
      </c>
      <c r="B37" s="1763"/>
      <c r="C37" s="477"/>
      <c r="D37" s="477"/>
      <c r="E37" s="477"/>
      <c r="F37" s="477"/>
      <c r="G37" s="477"/>
      <c r="H37" s="477"/>
      <c r="I37" s="477"/>
      <c r="J37" s="477"/>
      <c r="K37" s="477"/>
      <c r="L37" s="480"/>
      <c r="M37" s="468"/>
      <c r="N37" s="1710">
        <f>SUM(N36:N36)</f>
        <v>102395000</v>
      </c>
    </row>
    <row r="38" spans="1:14" s="329" customFormat="1" ht="13.5" customHeight="1" thickTop="1" x14ac:dyDescent="0.2">
      <c r="A38" s="496" t="s">
        <v>439</v>
      </c>
      <c r="B38" s="483">
        <v>714</v>
      </c>
      <c r="C38" s="466"/>
      <c r="D38" s="466">
        <v>548596</v>
      </c>
      <c r="E38" s="466">
        <v>3540605</v>
      </c>
      <c r="F38" s="466">
        <v>3323665</v>
      </c>
      <c r="G38" s="466">
        <v>2685346</v>
      </c>
      <c r="H38" s="466">
        <v>8077517</v>
      </c>
      <c r="I38" s="466"/>
      <c r="J38" s="467"/>
      <c r="K38" s="466">
        <v>563202</v>
      </c>
      <c r="L38" s="481"/>
      <c r="M38" s="497"/>
      <c r="N38" s="497"/>
    </row>
    <row r="39" spans="1:14" s="329" customFormat="1" ht="13.5" customHeight="1" x14ac:dyDescent="0.2">
      <c r="A39" s="496" t="s">
        <v>359</v>
      </c>
      <c r="B39" s="483">
        <v>730</v>
      </c>
      <c r="C39" s="466">
        <f>67473431+626712</f>
        <v>68100143</v>
      </c>
      <c r="D39" s="466">
        <f>373547+5328952-D38</f>
        <v>5153903</v>
      </c>
      <c r="E39" s="466">
        <v>0</v>
      </c>
      <c r="F39" s="466">
        <v>0</v>
      </c>
      <c r="G39" s="466">
        <v>0</v>
      </c>
      <c r="H39" s="466">
        <v>0</v>
      </c>
      <c r="I39" s="466">
        <f>3284997+45946</f>
        <v>3330943</v>
      </c>
      <c r="J39" s="467"/>
      <c r="K39" s="466">
        <v>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158106675</v>
      </c>
      <c r="N40" s="497"/>
    </row>
    <row r="41" spans="1:14" ht="13.5" customHeight="1" thickBot="1" x14ac:dyDescent="0.25">
      <c r="A41" s="1758" t="s">
        <v>675</v>
      </c>
      <c r="B41" s="1728"/>
      <c r="C41" s="1710">
        <f>(SUM(C34,C37,C38,C39))</f>
        <v>117759012</v>
      </c>
      <c r="D41" s="1710">
        <f t="shared" ref="D41:L41" si="2">SUM(D34,D37,D38:D39)</f>
        <v>9444427</v>
      </c>
      <c r="E41" s="1710">
        <f t="shared" si="2"/>
        <v>8362431</v>
      </c>
      <c r="F41" s="1710">
        <f t="shared" si="2"/>
        <v>4276260</v>
      </c>
      <c r="G41" s="1710">
        <f t="shared" si="2"/>
        <v>4852182</v>
      </c>
      <c r="H41" s="1710">
        <f t="shared" si="2"/>
        <v>11075894</v>
      </c>
      <c r="I41" s="1710">
        <f t="shared" si="2"/>
        <v>3340162</v>
      </c>
      <c r="J41" s="1710">
        <f t="shared" si="2"/>
        <v>0</v>
      </c>
      <c r="K41" s="1710">
        <f t="shared" si="2"/>
        <v>638469</v>
      </c>
      <c r="L41" s="1710">
        <f t="shared" si="2"/>
        <v>8990339</v>
      </c>
      <c r="M41" s="1710">
        <f>SUM(M40)</f>
        <v>158106675</v>
      </c>
      <c r="N41" s="1710">
        <f>SUM(N37)</f>
        <v>102395000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13" sqref="A12:H15"/>
      <selection pane="bottomLeft" activeCell="A13" sqref="A12:H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3"/>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4" t="s">
        <v>1236</v>
      </c>
      <c r="B3" s="2155"/>
      <c r="C3" s="1595"/>
      <c r="D3" s="1596"/>
      <c r="E3" s="1596"/>
      <c r="F3" s="1596"/>
      <c r="G3" s="1596"/>
      <c r="H3" s="1596"/>
      <c r="I3" s="1596"/>
      <c r="J3" s="1596"/>
      <c r="K3" s="1597"/>
      <c r="L3" s="506"/>
    </row>
    <row r="4" spans="1:13" ht="15.75" customHeight="1" x14ac:dyDescent="0.2">
      <c r="A4" s="1954" t="s">
        <v>1578</v>
      </c>
      <c r="B4" s="1955">
        <v>1000</v>
      </c>
      <c r="C4" s="1764">
        <f>'Revenues 9-14'!C109</f>
        <v>87203555</v>
      </c>
      <c r="D4" s="1764">
        <f>'Revenues 9-14'!D109</f>
        <v>8801754</v>
      </c>
      <c r="E4" s="1764">
        <f>'Revenues 9-14'!E109</f>
        <v>9553171</v>
      </c>
      <c r="F4" s="1764">
        <f>'Revenues 9-14'!F109</f>
        <v>1691431</v>
      </c>
      <c r="G4" s="1764">
        <f>'Revenues 9-14'!G109</f>
        <v>4242162</v>
      </c>
      <c r="H4" s="1764">
        <f>'Revenues 9-14'!H109</f>
        <v>1647877</v>
      </c>
      <c r="I4" s="1764">
        <f>'Revenues 9-14'!I109</f>
        <v>43476</v>
      </c>
      <c r="J4" s="1764">
        <f>'Revenues 9-14'!J109</f>
        <v>0</v>
      </c>
      <c r="K4" s="1764">
        <f>'Revenues 9-14'!K109</f>
        <v>23365</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2908478</v>
      </c>
      <c r="D6" s="1765">
        <f>'Revenues 9-14'!D173</f>
        <v>0</v>
      </c>
      <c r="E6" s="1765">
        <f>'Revenues 9-14'!E173</f>
        <v>0</v>
      </c>
      <c r="F6" s="1765">
        <f>'Revenues 9-14'!F173</f>
        <v>447877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2531320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92643353</v>
      </c>
      <c r="D8" s="1710">
        <f t="shared" ref="D8:K8" si="0">SUM(D4:D7)</f>
        <v>8801754</v>
      </c>
      <c r="E8" s="1710">
        <f t="shared" si="0"/>
        <v>9553171</v>
      </c>
      <c r="F8" s="1710">
        <f t="shared" si="0"/>
        <v>2139308</v>
      </c>
      <c r="G8" s="1710">
        <f t="shared" si="0"/>
        <v>4242162</v>
      </c>
      <c r="H8" s="1710">
        <f t="shared" si="0"/>
        <v>1647877</v>
      </c>
      <c r="I8" s="1710">
        <f t="shared" si="0"/>
        <v>43476</v>
      </c>
      <c r="J8" s="1710">
        <f t="shared" si="0"/>
        <v>0</v>
      </c>
      <c r="K8" s="1710">
        <f t="shared" si="0"/>
        <v>23365</v>
      </c>
      <c r="L8" s="347"/>
    </row>
    <row r="9" spans="1:13" ht="15.75" thickTop="1" x14ac:dyDescent="0.2">
      <c r="A9" s="514" t="s">
        <v>1751</v>
      </c>
      <c r="B9" s="515">
        <v>3998</v>
      </c>
      <c r="C9" s="481">
        <v>21531835</v>
      </c>
      <c r="D9" s="516"/>
      <c r="E9" s="481"/>
      <c r="F9" s="481"/>
      <c r="G9" s="517"/>
      <c r="H9" s="481"/>
      <c r="I9" s="509" t="s">
        <v>1230</v>
      </c>
      <c r="J9" s="478"/>
      <c r="K9" s="481"/>
      <c r="L9" s="347"/>
    </row>
    <row r="10" spans="1:13" s="519" customFormat="1" ht="13.5" thickBot="1" x14ac:dyDescent="0.25">
      <c r="A10" s="1758" t="s">
        <v>1234</v>
      </c>
      <c r="B10" s="1731"/>
      <c r="C10" s="1710">
        <f>SUM(C8:C9)</f>
        <v>114175188</v>
      </c>
      <c r="D10" s="1710">
        <f t="shared" ref="D10:K10" si="1">SUM(D8:D9)</f>
        <v>8801754</v>
      </c>
      <c r="E10" s="1710">
        <f t="shared" si="1"/>
        <v>9553171</v>
      </c>
      <c r="F10" s="1710">
        <f t="shared" si="1"/>
        <v>2139308</v>
      </c>
      <c r="G10" s="1710">
        <f t="shared" si="1"/>
        <v>4242162</v>
      </c>
      <c r="H10" s="1710">
        <f t="shared" si="1"/>
        <v>1647877</v>
      </c>
      <c r="I10" s="1710">
        <f t="shared" si="1"/>
        <v>43476</v>
      </c>
      <c r="J10" s="1710">
        <f t="shared" si="1"/>
        <v>0</v>
      </c>
      <c r="K10" s="1710">
        <f t="shared" si="1"/>
        <v>23365</v>
      </c>
      <c r="L10" s="518"/>
    </row>
    <row r="11" spans="1:13" s="519" customFormat="1" ht="16.7" customHeight="1" thickTop="1" x14ac:dyDescent="0.2">
      <c r="A11" s="2128" t="s">
        <v>1237</v>
      </c>
      <c r="B11" s="2129"/>
      <c r="C11" s="1592"/>
      <c r="D11" s="1593"/>
      <c r="E11" s="1593"/>
      <c r="F11" s="1593"/>
      <c r="G11" s="1593"/>
      <c r="H11" s="1593"/>
      <c r="I11" s="1593"/>
      <c r="J11" s="1593"/>
      <c r="K11" s="1594"/>
      <c r="L11" s="518"/>
    </row>
    <row r="12" spans="1:13" ht="15.75" customHeight="1" x14ac:dyDescent="0.2">
      <c r="A12" s="1598" t="s">
        <v>475</v>
      </c>
      <c r="B12" s="1600">
        <v>1000</v>
      </c>
      <c r="C12" s="1764">
        <f>'Expenditures 15-22'!K33</f>
        <v>57848442</v>
      </c>
      <c r="D12" s="520" t="s">
        <v>1230</v>
      </c>
      <c r="E12" s="468" t="s">
        <v>1230</v>
      </c>
      <c r="F12" s="468" t="s">
        <v>1230</v>
      </c>
      <c r="G12" s="1764">
        <f>'Expenditures 15-22'!K229</f>
        <v>1460685</v>
      </c>
      <c r="H12" s="521"/>
      <c r="I12" s="468" t="s">
        <v>1230</v>
      </c>
      <c r="J12" s="468" t="s">
        <v>1230</v>
      </c>
      <c r="K12" s="521" t="s">
        <v>1230</v>
      </c>
      <c r="L12" s="347"/>
    </row>
    <row r="13" spans="1:13" ht="15.75" customHeight="1" x14ac:dyDescent="0.2">
      <c r="A13" s="1598" t="s">
        <v>476</v>
      </c>
      <c r="B13" s="1600">
        <v>2000</v>
      </c>
      <c r="C13" s="1765">
        <f>'Expenditures 15-22'!K74</f>
        <v>29518474</v>
      </c>
      <c r="D13" s="1765">
        <f>'Expenditures 15-22'!K129</f>
        <v>7643155</v>
      </c>
      <c r="E13" s="469" t="s">
        <v>1230</v>
      </c>
      <c r="F13" s="1765">
        <f>'Expenditures 15-22'!K184</f>
        <v>1999632</v>
      </c>
      <c r="G13" s="1765">
        <f>'Expenditures 15-22'!K279</f>
        <v>1614419</v>
      </c>
      <c r="H13" s="1765">
        <f>'Expenditures 15-22'!K303</f>
        <v>25697831</v>
      </c>
      <c r="I13" s="468" t="s">
        <v>1230</v>
      </c>
      <c r="J13" s="1765">
        <f>'Expenditures 15-22'!K330</f>
        <v>0</v>
      </c>
      <c r="K13" s="1769">
        <f>'Expenditures 15-22'!K352</f>
        <v>1478762</v>
      </c>
      <c r="L13" s="347"/>
    </row>
    <row r="14" spans="1:13" ht="15.75" customHeight="1" x14ac:dyDescent="0.2">
      <c r="A14" s="1598" t="s">
        <v>468</v>
      </c>
      <c r="B14" s="1600">
        <v>3000</v>
      </c>
      <c r="C14" s="1765">
        <f>'Expenditures 15-22'!K75</f>
        <v>277537</v>
      </c>
      <c r="D14" s="1765">
        <f>'Expenditures 15-22'!K130</f>
        <v>98827</v>
      </c>
      <c r="E14" s="520" t="s">
        <v>1230</v>
      </c>
      <c r="F14" s="1765">
        <f>'Expenditures 15-22'!K185</f>
        <v>0</v>
      </c>
      <c r="G14" s="1765">
        <f>'Expenditures 15-22'!K280</f>
        <v>15963</v>
      </c>
      <c r="H14" s="512"/>
      <c r="I14" s="468" t="s">
        <v>1230</v>
      </c>
      <c r="J14" s="468" t="s">
        <v>1230</v>
      </c>
      <c r="K14" s="512" t="s">
        <v>1230</v>
      </c>
      <c r="L14" s="347"/>
    </row>
    <row r="15" spans="1:13" ht="15.75" customHeight="1" x14ac:dyDescent="0.2">
      <c r="A15" s="1598" t="s">
        <v>109</v>
      </c>
      <c r="B15" s="1600">
        <v>4000</v>
      </c>
      <c r="C15" s="1765">
        <f>'Expenditures 15-22'!K102</f>
        <v>1504294</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10007451</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89148747</v>
      </c>
      <c r="D17" s="1710">
        <f t="shared" si="2"/>
        <v>7741982</v>
      </c>
      <c r="E17" s="1710">
        <f t="shared" si="2"/>
        <v>10007451</v>
      </c>
      <c r="F17" s="1710">
        <f t="shared" si="2"/>
        <v>1999632</v>
      </c>
      <c r="G17" s="1710">
        <f t="shared" si="2"/>
        <v>3091067</v>
      </c>
      <c r="H17" s="1710">
        <f t="shared" si="2"/>
        <v>25697831</v>
      </c>
      <c r="I17" s="468"/>
      <c r="J17" s="1710">
        <f>SUM(J12:J16)</f>
        <v>0</v>
      </c>
      <c r="K17" s="1710">
        <f>SUM(K12:K16)</f>
        <v>1478762</v>
      </c>
      <c r="L17" s="347"/>
    </row>
    <row r="18" spans="1:12" ht="15" customHeight="1" thickTop="1" x14ac:dyDescent="0.2">
      <c r="A18" s="1766" t="s">
        <v>1752</v>
      </c>
      <c r="B18" s="1767">
        <v>4180</v>
      </c>
      <c r="C18" s="1764">
        <f t="shared" ref="C18:H18" si="3">C9</f>
        <v>21531835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110680582</v>
      </c>
      <c r="D19" s="1710">
        <f t="shared" si="4"/>
        <v>7741982</v>
      </c>
      <c r="E19" s="1710">
        <f t="shared" si="4"/>
        <v>10007451</v>
      </c>
      <c r="F19" s="1710">
        <f t="shared" si="4"/>
        <v>1999632</v>
      </c>
      <c r="G19" s="1710">
        <f t="shared" si="4"/>
        <v>3091067</v>
      </c>
      <c r="H19" s="1710">
        <f t="shared" si="4"/>
        <v>25697831</v>
      </c>
      <c r="I19" s="468"/>
      <c r="J19" s="1710">
        <f>SUM(J17:J18)</f>
        <v>0</v>
      </c>
      <c r="K19" s="1710">
        <f>SUM(K17:K18)</f>
        <v>1478762</v>
      </c>
      <c r="L19" s="347"/>
    </row>
    <row r="20" spans="1:12" ht="16.5" thickTop="1" thickBot="1" x14ac:dyDescent="0.25">
      <c r="A20" s="2144" t="s">
        <v>1753</v>
      </c>
      <c r="B20" s="2145"/>
      <c r="C20" s="1768">
        <f>C8-C17</f>
        <v>3494606</v>
      </c>
      <c r="D20" s="1768">
        <f t="shared" ref="D20:K20" si="5">D8-D17</f>
        <v>1059772</v>
      </c>
      <c r="E20" s="1768">
        <f t="shared" si="5"/>
        <v>-454280</v>
      </c>
      <c r="F20" s="1768">
        <f t="shared" si="5"/>
        <v>139676</v>
      </c>
      <c r="G20" s="1768">
        <f t="shared" si="5"/>
        <v>1151095</v>
      </c>
      <c r="H20" s="1768">
        <f t="shared" si="5"/>
        <v>-24049954</v>
      </c>
      <c r="I20" s="1768">
        <f t="shared" si="5"/>
        <v>43476</v>
      </c>
      <c r="J20" s="1768">
        <f t="shared" si="5"/>
        <v>0</v>
      </c>
      <c r="K20" s="1768">
        <f t="shared" si="5"/>
        <v>-1455397</v>
      </c>
      <c r="L20" s="347"/>
    </row>
    <row r="21" spans="1:12" ht="16.7" customHeight="1" thickTop="1" x14ac:dyDescent="0.2">
      <c r="A21" s="2156" t="s">
        <v>615</v>
      </c>
      <c r="B21" s="2157"/>
      <c r="C21" s="1592"/>
      <c r="D21" s="1593"/>
      <c r="E21" s="1593"/>
      <c r="F21" s="1593"/>
      <c r="G21" s="1593"/>
      <c r="H21" s="1593"/>
      <c r="I21" s="1593"/>
      <c r="J21" s="1593"/>
      <c r="K21" s="1594"/>
      <c r="L21" s="524"/>
    </row>
    <row r="22" spans="1:12" ht="15.75" customHeight="1" collapsed="1" x14ac:dyDescent="0.2">
      <c r="A22" s="2152" t="s">
        <v>616</v>
      </c>
      <c r="B22" s="2153"/>
      <c r="C22" s="477"/>
      <c r="D22" s="477"/>
      <c r="E22" s="477"/>
      <c r="F22" s="477"/>
      <c r="G22" s="477"/>
      <c r="H22" s="477"/>
      <c r="I22" s="477"/>
      <c r="J22" s="477"/>
      <c r="K22" s="477"/>
      <c r="L22" s="347"/>
    </row>
    <row r="23" spans="1:12" s="485" customFormat="1" ht="15.75" customHeight="1" x14ac:dyDescent="0.2">
      <c r="A23" s="2148" t="s">
        <v>310</v>
      </c>
      <c r="B23" s="2149"/>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v>6950000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2884441</v>
      </c>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50" t="s">
        <v>1037</v>
      </c>
      <c r="B32" s="2151"/>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v>6200000</v>
      </c>
      <c r="J33" s="467"/>
      <c r="K33" s="467"/>
      <c r="L33" s="524"/>
    </row>
    <row r="34" spans="1:12" s="485" customFormat="1" x14ac:dyDescent="0.2">
      <c r="A34" s="1511" t="s">
        <v>1057</v>
      </c>
      <c r="B34" s="525">
        <v>7220</v>
      </c>
      <c r="C34" s="467"/>
      <c r="D34" s="467"/>
      <c r="E34" s="467"/>
      <c r="F34" s="467"/>
      <c r="G34" s="477"/>
      <c r="H34" s="478"/>
      <c r="I34" s="478">
        <v>841073</v>
      </c>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v>16547</v>
      </c>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186225</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v>10334441</v>
      </c>
      <c r="I43" s="467"/>
      <c r="J43" s="467"/>
      <c r="K43" s="467"/>
      <c r="L43" s="524"/>
    </row>
    <row r="44" spans="1:12" s="485" customFormat="1" ht="13.5" customHeight="1" thickBot="1" x14ac:dyDescent="0.25">
      <c r="A44" s="2158" t="s">
        <v>391</v>
      </c>
      <c r="B44" s="2159"/>
      <c r="C44" s="1725">
        <f>SUM(C24:C43)</f>
        <v>16547</v>
      </c>
      <c r="D44" s="1725">
        <f t="shared" ref="D44:K44" si="6">SUM(D24:D43)</f>
        <v>9834441</v>
      </c>
      <c r="E44" s="1725">
        <f t="shared" si="6"/>
        <v>186225</v>
      </c>
      <c r="F44" s="1725">
        <f t="shared" si="6"/>
        <v>0</v>
      </c>
      <c r="G44" s="1725">
        <f t="shared" si="6"/>
        <v>0</v>
      </c>
      <c r="H44" s="1725">
        <f t="shared" si="6"/>
        <v>10334441</v>
      </c>
      <c r="I44" s="1725">
        <f t="shared" si="6"/>
        <v>7041073</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6950000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2884441</v>
      </c>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v>186225</v>
      </c>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f>6950000+3384441</f>
        <v>10334441</v>
      </c>
      <c r="E75" s="530"/>
      <c r="F75" s="532"/>
      <c r="G75" s="532"/>
      <c r="H75" s="532"/>
      <c r="I75" s="530">
        <v>88603</v>
      </c>
      <c r="J75" s="530"/>
      <c r="K75" s="532"/>
      <c r="L75" s="524"/>
    </row>
    <row r="76" spans="1:12" s="485" customFormat="1" ht="14.25" thickTop="1" thickBot="1" x14ac:dyDescent="0.25">
      <c r="A76" s="2134" t="s">
        <v>459</v>
      </c>
      <c r="B76" s="2135"/>
      <c r="C76" s="1725">
        <f t="shared" ref="C76:K76" si="7">SUM(C47:C75)</f>
        <v>2884441</v>
      </c>
      <c r="D76" s="1725">
        <f t="shared" si="7"/>
        <v>10520666</v>
      </c>
      <c r="E76" s="1725">
        <f t="shared" si="7"/>
        <v>0</v>
      </c>
      <c r="F76" s="1725">
        <f t="shared" si="7"/>
        <v>0</v>
      </c>
      <c r="G76" s="1725">
        <f t="shared" si="7"/>
        <v>0</v>
      </c>
      <c r="H76" s="1725">
        <f t="shared" si="7"/>
        <v>0</v>
      </c>
      <c r="I76" s="1725">
        <f t="shared" si="7"/>
        <v>7038603</v>
      </c>
      <c r="J76" s="1725">
        <f t="shared" si="7"/>
        <v>0</v>
      </c>
      <c r="K76" s="1725">
        <f t="shared" si="7"/>
        <v>0</v>
      </c>
      <c r="L76" s="524"/>
    </row>
    <row r="77" spans="1:12" ht="14.25" thickTop="1" thickBot="1" x14ac:dyDescent="0.25">
      <c r="A77" s="2136" t="s">
        <v>1238</v>
      </c>
      <c r="B77" s="2137"/>
      <c r="C77" s="1725">
        <f t="shared" ref="C77:K77" si="8">C44-C76</f>
        <v>-2867894</v>
      </c>
      <c r="D77" s="1725">
        <f t="shared" si="8"/>
        <v>-686225</v>
      </c>
      <c r="E77" s="1725">
        <f t="shared" si="8"/>
        <v>186225</v>
      </c>
      <c r="F77" s="1725">
        <f t="shared" si="8"/>
        <v>0</v>
      </c>
      <c r="G77" s="1725">
        <f t="shared" si="8"/>
        <v>0</v>
      </c>
      <c r="H77" s="1725">
        <f t="shared" si="8"/>
        <v>10334441</v>
      </c>
      <c r="I77" s="1725">
        <f t="shared" si="8"/>
        <v>2470</v>
      </c>
      <c r="J77" s="1725">
        <f t="shared" si="8"/>
        <v>0</v>
      </c>
      <c r="K77" s="1725">
        <f t="shared" si="8"/>
        <v>0</v>
      </c>
      <c r="L77" s="347"/>
    </row>
    <row r="78" spans="1:12" ht="21.75" customHeight="1" thickTop="1" thickBot="1" x14ac:dyDescent="0.25">
      <c r="A78" s="2140" t="s">
        <v>617</v>
      </c>
      <c r="B78" s="2141"/>
      <c r="C78" s="1724">
        <f t="shared" ref="C78:K78" si="9">C20+C77</f>
        <v>626712</v>
      </c>
      <c r="D78" s="1724">
        <f t="shared" si="9"/>
        <v>373547</v>
      </c>
      <c r="E78" s="1724">
        <f t="shared" si="9"/>
        <v>-268055</v>
      </c>
      <c r="F78" s="1724">
        <f t="shared" si="9"/>
        <v>139676</v>
      </c>
      <c r="G78" s="1724">
        <f t="shared" si="9"/>
        <v>1151095</v>
      </c>
      <c r="H78" s="1724">
        <f t="shared" si="9"/>
        <v>-13715513</v>
      </c>
      <c r="I78" s="1724">
        <f t="shared" si="9"/>
        <v>45946</v>
      </c>
      <c r="J78" s="1724">
        <f t="shared" si="9"/>
        <v>0</v>
      </c>
      <c r="K78" s="1724">
        <f t="shared" si="9"/>
        <v>-1455397</v>
      </c>
      <c r="L78" s="533"/>
    </row>
    <row r="79" spans="1:12" ht="13.5" thickTop="1" x14ac:dyDescent="0.2">
      <c r="A79" s="1516" t="s">
        <v>2067</v>
      </c>
      <c r="B79" s="534"/>
      <c r="C79" s="478">
        <v>67473431</v>
      </c>
      <c r="D79" s="535">
        <v>5328952</v>
      </c>
      <c r="E79" s="535">
        <v>3808660</v>
      </c>
      <c r="F79" s="535">
        <v>3183989</v>
      </c>
      <c r="G79" s="535">
        <v>1534251</v>
      </c>
      <c r="H79" s="535">
        <v>21793030</v>
      </c>
      <c r="I79" s="535">
        <v>3284997</v>
      </c>
      <c r="J79" s="535"/>
      <c r="K79" s="535">
        <v>2018599</v>
      </c>
      <c r="L79" s="347"/>
    </row>
    <row r="80" spans="1:12" x14ac:dyDescent="0.2">
      <c r="A80" s="2146" t="s">
        <v>1894</v>
      </c>
      <c r="B80" s="2147"/>
      <c r="C80" s="467"/>
      <c r="D80" s="467"/>
      <c r="E80" s="467"/>
      <c r="F80" s="467"/>
      <c r="G80" s="467"/>
      <c r="H80" s="467"/>
      <c r="I80" s="467"/>
      <c r="J80" s="467"/>
      <c r="K80" s="467"/>
      <c r="L80" s="347"/>
    </row>
    <row r="81" spans="1:12" ht="13.5" thickBot="1" x14ac:dyDescent="0.25">
      <c r="A81" s="2138" t="s">
        <v>2068</v>
      </c>
      <c r="B81" s="2139"/>
      <c r="C81" s="1710">
        <f>(SUM(C78:C80))</f>
        <v>68100143</v>
      </c>
      <c r="D81" s="1710">
        <f>SUM(D78:D80)</f>
        <v>5702499</v>
      </c>
      <c r="E81" s="1710">
        <f t="shared" ref="E81:K81" si="10">SUM(E78:E80)</f>
        <v>3540605</v>
      </c>
      <c r="F81" s="1710">
        <f t="shared" si="10"/>
        <v>3323665</v>
      </c>
      <c r="G81" s="1710">
        <f t="shared" si="10"/>
        <v>2685346</v>
      </c>
      <c r="H81" s="1710">
        <f t="shared" si="10"/>
        <v>8077517</v>
      </c>
      <c r="I81" s="1710">
        <f t="shared" si="10"/>
        <v>3330943</v>
      </c>
      <c r="J81" s="1710">
        <f t="shared" si="10"/>
        <v>0</v>
      </c>
      <c r="K81" s="1710">
        <f t="shared" si="10"/>
        <v>563202</v>
      </c>
      <c r="L81" s="347"/>
    </row>
    <row r="82" spans="1:12" ht="0.75" customHeight="1" thickTop="1" thickBot="1" x14ac:dyDescent="0.25">
      <c r="A82" s="536" t="s">
        <v>360</v>
      </c>
      <c r="B82" s="537"/>
      <c r="C82" s="538">
        <f>(C81-C79)</f>
        <v>626712</v>
      </c>
      <c r="D82" s="538">
        <f t="shared" ref="D82:K82" si="11">(D81-D79)</f>
        <v>373547</v>
      </c>
      <c r="E82" s="538">
        <f t="shared" si="11"/>
        <v>-268055</v>
      </c>
      <c r="F82" s="538">
        <f t="shared" si="11"/>
        <v>139676</v>
      </c>
      <c r="G82" s="538">
        <f t="shared" si="11"/>
        <v>1151095</v>
      </c>
      <c r="H82" s="538">
        <f t="shared" si="11"/>
        <v>-13715513</v>
      </c>
      <c r="I82" s="538">
        <f t="shared" si="11"/>
        <v>45946</v>
      </c>
      <c r="J82" s="538">
        <f t="shared" si="11"/>
        <v>0</v>
      </c>
      <c r="K82" s="538">
        <f t="shared" si="11"/>
        <v>-1455397</v>
      </c>
    </row>
    <row r="83" spans="1:12" ht="14.25" hidden="1" thickTop="1" thickBot="1" x14ac:dyDescent="0.25">
      <c r="A83" s="539" t="s">
        <v>361</v>
      </c>
      <c r="B83" s="464"/>
      <c r="C83" s="540">
        <f>C82/C81</f>
        <v>9.2028000587311542E-3</v>
      </c>
      <c r="D83" s="540">
        <f t="shared" ref="D83:K83" si="12">D82/D81</f>
        <v>6.5505842263190228E-2</v>
      </c>
      <c r="E83" s="540">
        <f t="shared" si="12"/>
        <v>-7.5708812476963677E-2</v>
      </c>
      <c r="F83" s="540">
        <f t="shared" si="12"/>
        <v>4.202469262094706E-2</v>
      </c>
      <c r="G83" s="540">
        <f t="shared" si="12"/>
        <v>0.4286579829936254</v>
      </c>
      <c r="H83" s="540">
        <f t="shared" si="12"/>
        <v>-1.6979862747425973</v>
      </c>
      <c r="I83" s="540">
        <f t="shared" si="12"/>
        <v>1.37936914561432E-2</v>
      </c>
      <c r="J83" s="540" t="e">
        <f t="shared" si="12"/>
        <v>#DIV/0!</v>
      </c>
      <c r="K83" s="540">
        <f t="shared" si="12"/>
        <v>-2.584147428453734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13" sqref="A12:H15"/>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1901</v>
      </c>
      <c r="B1" s="452"/>
      <c r="C1" s="453" t="s">
        <v>444</v>
      </c>
      <c r="D1" s="453" t="s">
        <v>445</v>
      </c>
      <c r="E1" s="453" t="s">
        <v>446</v>
      </c>
      <c r="F1" s="453" t="s">
        <v>447</v>
      </c>
      <c r="G1" s="453" t="s">
        <v>448</v>
      </c>
      <c r="H1" s="453" t="s">
        <v>449</v>
      </c>
      <c r="I1" s="453" t="s">
        <v>450</v>
      </c>
      <c r="J1" s="453" t="s">
        <v>451</v>
      </c>
      <c r="K1" s="453" t="s">
        <v>779</v>
      </c>
    </row>
    <row r="2" spans="1:12" ht="36" x14ac:dyDescent="0.2">
      <c r="A2" s="2143"/>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83215957</v>
      </c>
      <c r="D5" s="481">
        <v>7191910</v>
      </c>
      <c r="E5" s="466">
        <v>9552338</v>
      </c>
      <c r="F5" s="548">
        <v>1336484</v>
      </c>
      <c r="G5" s="466">
        <v>1971078</v>
      </c>
      <c r="H5" s="466"/>
      <c r="I5" s="466"/>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432</v>
      </c>
      <c r="B8" s="470">
        <v>1150</v>
      </c>
      <c r="C8" s="475"/>
      <c r="D8" s="475"/>
      <c r="E8" s="477"/>
      <c r="F8" s="477"/>
      <c r="G8" s="481">
        <v>2210087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83215957</v>
      </c>
      <c r="D12" s="1729">
        <f t="shared" si="0"/>
        <v>7191910</v>
      </c>
      <c r="E12" s="1729">
        <f t="shared" si="0"/>
        <v>9552338</v>
      </c>
      <c r="F12" s="1729">
        <f t="shared" si="0"/>
        <v>1336484</v>
      </c>
      <c r="G12" s="1729">
        <f t="shared" si="0"/>
        <v>4181165</v>
      </c>
      <c r="H12" s="1729">
        <f t="shared" si="0"/>
        <v>0</v>
      </c>
      <c r="I12" s="1729">
        <f t="shared" si="0"/>
        <v>0</v>
      </c>
      <c r="J12" s="1729">
        <f t="shared" si="0"/>
        <v>0</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v>987207</v>
      </c>
      <c r="E16" s="466"/>
      <c r="F16" s="466"/>
      <c r="G16" s="466">
        <v>37899</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0</v>
      </c>
      <c r="D18" s="1732">
        <f t="shared" ref="D18:K18" si="1">SUM(D14:D17)</f>
        <v>987207</v>
      </c>
      <c r="E18" s="1732">
        <f t="shared" si="1"/>
        <v>0</v>
      </c>
      <c r="F18" s="1732">
        <f t="shared" si="1"/>
        <v>0</v>
      </c>
      <c r="G18" s="1732">
        <f t="shared" si="1"/>
        <v>37899</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716388</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v>578697</v>
      </c>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1295085</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307391</v>
      </c>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307391</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1076191</v>
      </c>
      <c r="D65" s="466">
        <v>80119</v>
      </c>
      <c r="E65" s="466">
        <v>833</v>
      </c>
      <c r="F65" s="467">
        <v>47556</v>
      </c>
      <c r="G65" s="466">
        <v>23098</v>
      </c>
      <c r="H65" s="466">
        <v>346862</v>
      </c>
      <c r="I65" s="466">
        <v>43476</v>
      </c>
      <c r="J65" s="467"/>
      <c r="K65" s="466">
        <v>23365</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1076191</v>
      </c>
      <c r="D67" s="1710">
        <f t="shared" ref="D67:K67" si="2">SUM(D65:D66)</f>
        <v>80119</v>
      </c>
      <c r="E67" s="1710">
        <f t="shared" si="2"/>
        <v>833</v>
      </c>
      <c r="F67" s="1710">
        <f t="shared" si="2"/>
        <v>47556</v>
      </c>
      <c r="G67" s="1710">
        <f t="shared" si="2"/>
        <v>23098</v>
      </c>
      <c r="H67" s="1710">
        <f t="shared" si="2"/>
        <v>346862</v>
      </c>
      <c r="I67" s="1710">
        <f t="shared" si="2"/>
        <v>43476</v>
      </c>
      <c r="J67" s="1710">
        <f t="shared" si="2"/>
        <v>0</v>
      </c>
      <c r="K67" s="1710">
        <f t="shared" si="2"/>
        <v>23365</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533000</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533000</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f>1028893-111725</f>
        <v>917168</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917168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85659</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85659</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382044</v>
      </c>
      <c r="E95" s="521"/>
      <c r="F95" s="521"/>
      <c r="G95" s="521"/>
      <c r="H95" s="521"/>
      <c r="I95" s="521"/>
      <c r="J95" s="521"/>
      <c r="K95" s="521"/>
    </row>
    <row r="96" spans="1:11" ht="12.75" customHeight="1" x14ac:dyDescent="0.2">
      <c r="A96" s="463" t="s">
        <v>408</v>
      </c>
      <c r="B96" s="470">
        <v>1920</v>
      </c>
      <c r="C96" s="551"/>
      <c r="D96" s="551"/>
      <c r="E96" s="479"/>
      <c r="F96" s="478"/>
      <c r="G96" s="478"/>
      <c r="H96" s="478">
        <v>1285604</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80495</v>
      </c>
      <c r="D99" s="466">
        <v>90</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c r="D107" s="466">
        <v>160384</v>
      </c>
      <c r="E107" s="466"/>
      <c r="F107" s="466"/>
      <c r="G107" s="466"/>
      <c r="H107" s="466">
        <v>15411</v>
      </c>
      <c r="I107" s="466"/>
      <c r="J107" s="467"/>
      <c r="K107" s="466"/>
    </row>
    <row r="108" spans="1:12" ht="12.75" customHeight="1" thickBot="1" x14ac:dyDescent="0.25">
      <c r="A108" s="1730" t="s">
        <v>507</v>
      </c>
      <c r="B108" s="1734"/>
      <c r="C108" s="1729">
        <f>SUM(C95:C107)</f>
        <v>80495</v>
      </c>
      <c r="D108" s="1729">
        <f t="shared" ref="D108:K108" si="3">SUM(D95:D107)</f>
        <v>542518</v>
      </c>
      <c r="E108" s="1729">
        <f t="shared" si="3"/>
        <v>0</v>
      </c>
      <c r="F108" s="1729">
        <f t="shared" si="3"/>
        <v>0</v>
      </c>
      <c r="G108" s="1729">
        <f t="shared" si="3"/>
        <v>0</v>
      </c>
      <c r="H108" s="1729">
        <f t="shared" si="3"/>
        <v>1301015</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87203555</v>
      </c>
      <c r="D109" s="1737">
        <f t="shared" si="4"/>
        <v>8801754</v>
      </c>
      <c r="E109" s="1737">
        <f t="shared" si="4"/>
        <v>9553171</v>
      </c>
      <c r="F109" s="1737">
        <f t="shared" si="4"/>
        <v>1691431</v>
      </c>
      <c r="G109" s="1737">
        <f t="shared" si="4"/>
        <v>4242162</v>
      </c>
      <c r="H109" s="1737">
        <f t="shared" si="4"/>
        <v>1647877</v>
      </c>
      <c r="I109" s="1737">
        <f t="shared" si="4"/>
        <v>43476</v>
      </c>
      <c r="J109" s="1737">
        <f t="shared" si="4"/>
        <v>0</v>
      </c>
      <c r="K109" s="1724">
        <f t="shared" si="4"/>
        <v>23365</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2262769</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2262769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98411</v>
      </c>
      <c r="D124" s="561"/>
      <c r="E124" s="468"/>
      <c r="F124" s="548"/>
      <c r="G124" s="468"/>
      <c r="H124" s="468"/>
      <c r="I124" s="468"/>
      <c r="J124" s="468"/>
      <c r="K124" s="468"/>
    </row>
    <row r="125" spans="1:11" ht="12.75" customHeight="1" x14ac:dyDescent="0.2">
      <c r="A125" s="463" t="s">
        <v>1520</v>
      </c>
      <c r="B125" s="562">
        <v>3105</v>
      </c>
      <c r="C125" s="466">
        <v>119600</v>
      </c>
      <c r="D125" s="561"/>
      <c r="E125" s="468"/>
      <c r="F125" s="466"/>
      <c r="G125" s="468"/>
      <c r="H125" s="468"/>
      <c r="I125" s="468"/>
      <c r="J125" s="468"/>
      <c r="K125" s="468"/>
    </row>
    <row r="126" spans="1:11" ht="12.75" customHeight="1" x14ac:dyDescent="0.2">
      <c r="A126" s="463" t="s">
        <v>921</v>
      </c>
      <c r="B126" s="562">
        <v>3110</v>
      </c>
      <c r="C126" s="551">
        <v>303029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4845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525885</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79976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79976</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8065</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8065</v>
      </c>
      <c r="D144" s="468"/>
      <c r="E144" s="509"/>
      <c r="F144" s="468"/>
      <c r="G144" s="1743">
        <f>SUM(G142:G143)</f>
        <v>0</v>
      </c>
      <c r="H144" s="468"/>
      <c r="I144" s="468"/>
      <c r="J144" s="468"/>
      <c r="K144" s="468"/>
    </row>
    <row r="145" spans="1:11" s="202" customFormat="1" ht="12.75" customHeight="1" thickTop="1" x14ac:dyDescent="0.2">
      <c r="A145" s="1520" t="s">
        <v>1115</v>
      </c>
      <c r="B145" s="568">
        <v>3360</v>
      </c>
      <c r="C145" s="569"/>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26219</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c r="G151" s="467"/>
      <c r="H151" s="468"/>
      <c r="I151" s="468"/>
      <c r="J151" s="468"/>
      <c r="K151" s="468"/>
    </row>
    <row r="152" spans="1:11" ht="12.75" customHeight="1" x14ac:dyDescent="0.2">
      <c r="A152" s="463" t="s">
        <v>1116</v>
      </c>
      <c r="B152" s="562">
        <v>3510</v>
      </c>
      <c r="C152" s="551"/>
      <c r="D152" s="466"/>
      <c r="E152" s="561"/>
      <c r="F152" s="466">
        <v>447877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447877</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5564</v>
      </c>
      <c r="D171" s="580"/>
      <c r="E171" s="580"/>
      <c r="F171" s="580"/>
      <c r="G171" s="581"/>
      <c r="H171" s="582"/>
      <c r="I171" s="581"/>
      <c r="J171" s="581"/>
      <c r="K171" s="582"/>
    </row>
    <row r="172" spans="1:11" ht="12.75" customHeight="1" thickTop="1" thickBot="1" x14ac:dyDescent="0.25">
      <c r="A172" s="2162" t="s">
        <v>417</v>
      </c>
      <c r="B172" s="2163"/>
      <c r="C172" s="1744">
        <f t="shared" ref="C172:K172" si="6">SUM(C131,C140,C144,C145:C149,C154,C155:C170,C171)</f>
        <v>645709</v>
      </c>
      <c r="D172" s="1744">
        <f t="shared" si="6"/>
        <v>0</v>
      </c>
      <c r="E172" s="1744">
        <f t="shared" si="6"/>
        <v>0</v>
      </c>
      <c r="F172" s="1744">
        <f t="shared" si="6"/>
        <v>447877</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2908478</v>
      </c>
      <c r="D173" s="1737">
        <f>SUM(D121,D172)</f>
        <v>0</v>
      </c>
      <c r="E173" s="1737">
        <f>SUM(E121,E172)</f>
        <v>0</v>
      </c>
      <c r="F173" s="1737">
        <f t="shared" ref="F173:K173" si="7">SUM(F121,F172)</f>
        <v>447877</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4" t="s">
        <v>1571</v>
      </c>
      <c r="B175" s="2165"/>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8" t="s">
        <v>1763</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1762</v>
      </c>
      <c r="B179" s="2173"/>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0" t="s">
        <v>817</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1902</v>
      </c>
      <c r="B185" s="2167"/>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0</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908250</v>
      </c>
      <c r="D220" s="466"/>
      <c r="E220" s="468"/>
      <c r="F220" s="466"/>
      <c r="G220" s="466"/>
      <c r="H220" s="468"/>
      <c r="I220" s="468"/>
      <c r="J220" s="468"/>
      <c r="K220" s="468"/>
    </row>
    <row r="221" spans="1:11" ht="12.75" customHeight="1" x14ac:dyDescent="0.2">
      <c r="A221" s="463" t="s">
        <v>1113</v>
      </c>
      <c r="B221" s="470">
        <v>4625</v>
      </c>
      <c r="C221" s="551">
        <v>1506361</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2414611</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58272</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58272</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v>701</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29817</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0</v>
      </c>
      <c r="D270" s="576"/>
      <c r="E270" s="468"/>
      <c r="F270" s="576"/>
      <c r="G270" s="576"/>
      <c r="H270" s="468"/>
      <c r="I270" s="468"/>
      <c r="J270" s="468"/>
      <c r="K270" s="468"/>
    </row>
    <row r="271" spans="1:11" ht="12.75" customHeight="1" thickTop="1" thickBot="1" x14ac:dyDescent="0.25">
      <c r="A271" s="463" t="s">
        <v>394</v>
      </c>
      <c r="B271" s="470">
        <v>4992</v>
      </c>
      <c r="C271" s="575">
        <v>1931</v>
      </c>
      <c r="D271" s="576"/>
      <c r="E271" s="468"/>
      <c r="F271" s="576"/>
      <c r="G271" s="576"/>
      <c r="H271" s="468"/>
      <c r="I271" s="468"/>
      <c r="J271" s="468"/>
      <c r="K271" s="468"/>
    </row>
    <row r="272" spans="1:11" s="594" customFormat="1" ht="12.75" customHeight="1" thickTop="1" thickBot="1" x14ac:dyDescent="0.25">
      <c r="A272" s="563" t="s">
        <v>77</v>
      </c>
      <c r="B272" s="557">
        <v>4999</v>
      </c>
      <c r="C272" s="575">
        <v>25988</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2531320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2531320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92643353</v>
      </c>
      <c r="D275" s="1737">
        <f t="shared" si="12"/>
        <v>8801754</v>
      </c>
      <c r="E275" s="1737">
        <f t="shared" si="12"/>
        <v>9553171</v>
      </c>
      <c r="F275" s="1737">
        <f t="shared" si="12"/>
        <v>2139308</v>
      </c>
      <c r="G275" s="1737">
        <f t="shared" si="12"/>
        <v>4242162</v>
      </c>
      <c r="H275" s="1737">
        <f t="shared" si="12"/>
        <v>1647877</v>
      </c>
      <c r="I275" s="1737">
        <f t="shared" si="12"/>
        <v>43476</v>
      </c>
      <c r="J275" s="1737">
        <f t="shared" si="12"/>
        <v>0</v>
      </c>
      <c r="K275" s="1724">
        <f t="shared" si="12"/>
        <v>23365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6" activePane="bottomLeft" state="frozen"/>
      <selection activeCell="A13" sqref="A12:H15"/>
      <selection pane="bottomLeft" activeCell="A13" sqref="A12:H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6"/>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2" t="s">
        <v>314</v>
      </c>
      <c r="B3" s="2183"/>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32219801</v>
      </c>
      <c r="D5" s="466">
        <v>4316530</v>
      </c>
      <c r="E5" s="466">
        <v>361033</v>
      </c>
      <c r="F5" s="466">
        <v>703696</v>
      </c>
      <c r="G5" s="466">
        <v>193483</v>
      </c>
      <c r="H5" s="466">
        <v>8559</v>
      </c>
      <c r="I5" s="467"/>
      <c r="J5" s="467"/>
      <c r="K5" s="1693">
        <f>SUM(C5:J5)</f>
        <v>37803102</v>
      </c>
      <c r="L5" s="466">
        <v>39905924</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c r="D7" s="467"/>
      <c r="E7" s="467"/>
      <c r="F7" s="467"/>
      <c r="G7" s="467"/>
      <c r="H7" s="467"/>
      <c r="I7" s="467"/>
      <c r="J7" s="467"/>
      <c r="K7" s="1693">
        <f t="shared" ref="K7:K32" si="0">SUM(C7:J7)</f>
        <v>0</v>
      </c>
      <c r="L7" s="466"/>
    </row>
    <row r="8" spans="1:14" x14ac:dyDescent="0.2">
      <c r="A8" s="1526" t="s">
        <v>166</v>
      </c>
      <c r="B8" s="615">
        <v>1200</v>
      </c>
      <c r="C8" s="466">
        <v>7243500</v>
      </c>
      <c r="D8" s="466">
        <v>1087410</v>
      </c>
      <c r="E8" s="466">
        <v>114868</v>
      </c>
      <c r="F8" s="466">
        <v>52351</v>
      </c>
      <c r="G8" s="466">
        <v>23774</v>
      </c>
      <c r="H8" s="466">
        <v>1849</v>
      </c>
      <c r="I8" s="467"/>
      <c r="J8" s="467"/>
      <c r="K8" s="1693">
        <f t="shared" si="0"/>
        <v>8523752</v>
      </c>
      <c r="L8" s="466">
        <v>8358499</v>
      </c>
    </row>
    <row r="9" spans="1:14" x14ac:dyDescent="0.2">
      <c r="A9" s="1526" t="s">
        <v>744</v>
      </c>
      <c r="B9" s="615" t="s">
        <v>1024</v>
      </c>
      <c r="C9" s="467"/>
      <c r="D9" s="467"/>
      <c r="E9" s="467"/>
      <c r="F9" s="467"/>
      <c r="G9" s="467"/>
      <c r="H9" s="467"/>
      <c r="I9" s="467"/>
      <c r="J9" s="467"/>
      <c r="K9" s="1693">
        <f t="shared" si="0"/>
        <v>0</v>
      </c>
      <c r="L9" s="466"/>
    </row>
    <row r="10" spans="1:14" x14ac:dyDescent="0.2">
      <c r="A10" s="1526" t="s">
        <v>745</v>
      </c>
      <c r="B10" s="615">
        <v>1250</v>
      </c>
      <c r="C10" s="466"/>
      <c r="D10" s="466"/>
      <c r="E10" s="466"/>
      <c r="F10" s="466"/>
      <c r="G10" s="466"/>
      <c r="H10" s="466"/>
      <c r="I10" s="467"/>
      <c r="J10" s="467"/>
      <c r="K10" s="1693">
        <f t="shared" si="0"/>
        <v>0</v>
      </c>
      <c r="L10" s="466"/>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v>467906</v>
      </c>
      <c r="D12" s="466">
        <v>13674</v>
      </c>
      <c r="E12" s="466">
        <v>76844</v>
      </c>
      <c r="F12" s="466">
        <v>8199</v>
      </c>
      <c r="G12" s="466"/>
      <c r="H12" s="466">
        <v>435</v>
      </c>
      <c r="I12" s="467"/>
      <c r="J12" s="467"/>
      <c r="K12" s="1693">
        <f t="shared" si="0"/>
        <v>567058</v>
      </c>
      <c r="L12" s="466">
        <v>492026</v>
      </c>
    </row>
    <row r="13" spans="1:14" x14ac:dyDescent="0.2">
      <c r="A13" s="1526" t="s">
        <v>746</v>
      </c>
      <c r="B13" s="615">
        <v>1400</v>
      </c>
      <c r="C13" s="466"/>
      <c r="D13" s="466"/>
      <c r="E13" s="466">
        <v>3450</v>
      </c>
      <c r="F13" s="466">
        <v>1197</v>
      </c>
      <c r="G13" s="466"/>
      <c r="H13" s="466"/>
      <c r="I13" s="467"/>
      <c r="J13" s="467"/>
      <c r="K13" s="1693">
        <f t="shared" si="0"/>
        <v>4647</v>
      </c>
      <c r="L13" s="466">
        <v>2500</v>
      </c>
    </row>
    <row r="14" spans="1:14" x14ac:dyDescent="0.2">
      <c r="A14" s="1526" t="s">
        <v>1019</v>
      </c>
      <c r="B14" s="615">
        <v>1500</v>
      </c>
      <c r="C14" s="466">
        <v>5428544</v>
      </c>
      <c r="D14" s="466">
        <v>195601</v>
      </c>
      <c r="E14" s="466">
        <v>647818</v>
      </c>
      <c r="F14" s="466">
        <v>311380</v>
      </c>
      <c r="G14" s="466">
        <v>15378</v>
      </c>
      <c r="H14" s="466">
        <v>120077</v>
      </c>
      <c r="I14" s="467"/>
      <c r="J14" s="467"/>
      <c r="K14" s="1693">
        <f t="shared" si="0"/>
        <v>6718798</v>
      </c>
      <c r="L14" s="466">
        <v>6855905</v>
      </c>
    </row>
    <row r="15" spans="1:14" x14ac:dyDescent="0.2">
      <c r="A15" s="1526" t="s">
        <v>1020</v>
      </c>
      <c r="B15" s="615">
        <v>1600</v>
      </c>
      <c r="C15" s="466">
        <v>508866</v>
      </c>
      <c r="D15" s="466">
        <v>5596</v>
      </c>
      <c r="E15" s="466">
        <v>7015</v>
      </c>
      <c r="F15" s="466">
        <v>31850</v>
      </c>
      <c r="G15" s="466"/>
      <c r="H15" s="466">
        <v>6405</v>
      </c>
      <c r="I15" s="467"/>
      <c r="J15" s="467"/>
      <c r="K15" s="1693">
        <f t="shared" si="0"/>
        <v>559732</v>
      </c>
      <c r="L15" s="466">
        <v>813000</v>
      </c>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158113</v>
      </c>
      <c r="D17" s="467">
        <v>13694</v>
      </c>
      <c r="E17" s="467">
        <v>200</v>
      </c>
      <c r="F17" s="467"/>
      <c r="G17" s="467"/>
      <c r="H17" s="467"/>
      <c r="I17" s="467"/>
      <c r="J17" s="467"/>
      <c r="K17" s="1693">
        <f t="shared" si="0"/>
        <v>172007</v>
      </c>
      <c r="L17" s="466">
        <v>162612</v>
      </c>
    </row>
    <row r="18" spans="1:12" x14ac:dyDescent="0.2">
      <c r="A18" s="1526" t="s">
        <v>1147</v>
      </c>
      <c r="B18" s="615">
        <v>1800</v>
      </c>
      <c r="C18" s="466">
        <v>226733</v>
      </c>
      <c r="D18" s="466">
        <v>38678</v>
      </c>
      <c r="E18" s="466">
        <v>3964</v>
      </c>
      <c r="F18" s="466">
        <v>4471</v>
      </c>
      <c r="G18" s="466"/>
      <c r="H18" s="466"/>
      <c r="I18" s="467"/>
      <c r="J18" s="467"/>
      <c r="K18" s="1693">
        <f t="shared" si="0"/>
        <v>273846</v>
      </c>
      <c r="L18" s="466">
        <v>330925</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3225500</v>
      </c>
      <c r="I22" s="617"/>
      <c r="J22" s="477"/>
      <c r="K22" s="1693">
        <f t="shared" si="0"/>
        <v>3225500</v>
      </c>
      <c r="L22" s="471">
        <v>3045000</v>
      </c>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46253463</v>
      </c>
      <c r="D33" s="1692">
        <f t="shared" ref="D33:L33" si="1">SUM(D5:D32)</f>
        <v>5671183</v>
      </c>
      <c r="E33" s="1692">
        <f t="shared" si="1"/>
        <v>1215192</v>
      </c>
      <c r="F33" s="1692">
        <f t="shared" si="1"/>
        <v>1113144</v>
      </c>
      <c r="G33" s="1692">
        <f t="shared" si="1"/>
        <v>232635</v>
      </c>
      <c r="H33" s="1692">
        <f t="shared" si="1"/>
        <v>3362825</v>
      </c>
      <c r="I33" s="1692">
        <f t="shared" si="1"/>
        <v>0</v>
      </c>
      <c r="J33" s="1692">
        <f t="shared" si="1"/>
        <v>0</v>
      </c>
      <c r="K33" s="1692">
        <f t="shared" si="1"/>
        <v>57848442</v>
      </c>
      <c r="L33" s="1692">
        <f t="shared" si="1"/>
        <v>59966391</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1325414</v>
      </c>
      <c r="D36" s="481">
        <v>165510</v>
      </c>
      <c r="E36" s="481">
        <v>17561</v>
      </c>
      <c r="F36" s="481">
        <v>12109</v>
      </c>
      <c r="G36" s="481"/>
      <c r="H36" s="481"/>
      <c r="I36" s="467"/>
      <c r="J36" s="467"/>
      <c r="K36" s="1693">
        <f t="shared" ref="K36:K41" si="2">SUM(C36:J36)</f>
        <v>1520594</v>
      </c>
      <c r="L36" s="466">
        <v>1480347</v>
      </c>
    </row>
    <row r="37" spans="1:14" x14ac:dyDescent="0.2">
      <c r="A37" s="1526" t="s">
        <v>1150</v>
      </c>
      <c r="B37" s="615">
        <v>2120</v>
      </c>
      <c r="C37" s="466">
        <v>7258858</v>
      </c>
      <c r="D37" s="466">
        <v>905966</v>
      </c>
      <c r="E37" s="466">
        <v>109357</v>
      </c>
      <c r="F37" s="466">
        <v>71465</v>
      </c>
      <c r="G37" s="466"/>
      <c r="H37" s="466">
        <v>3175</v>
      </c>
      <c r="I37" s="467"/>
      <c r="J37" s="467"/>
      <c r="K37" s="1693">
        <f t="shared" si="2"/>
        <v>8348821</v>
      </c>
      <c r="L37" s="466">
        <v>8216603</v>
      </c>
    </row>
    <row r="38" spans="1:14" x14ac:dyDescent="0.2">
      <c r="A38" s="1526" t="s">
        <v>207</v>
      </c>
      <c r="B38" s="615">
        <v>2130</v>
      </c>
      <c r="C38" s="466">
        <v>487057</v>
      </c>
      <c r="D38" s="466">
        <v>59549</v>
      </c>
      <c r="E38" s="466">
        <v>79796</v>
      </c>
      <c r="F38" s="466">
        <v>12723</v>
      </c>
      <c r="G38" s="466">
        <v>3323</v>
      </c>
      <c r="H38" s="466">
        <v>432</v>
      </c>
      <c r="I38" s="467"/>
      <c r="J38" s="467"/>
      <c r="K38" s="1693">
        <f t="shared" si="2"/>
        <v>642880</v>
      </c>
      <c r="L38" s="466">
        <v>574474</v>
      </c>
    </row>
    <row r="39" spans="1:14" x14ac:dyDescent="0.2">
      <c r="A39" s="1526" t="s">
        <v>208</v>
      </c>
      <c r="B39" s="615">
        <v>2140</v>
      </c>
      <c r="C39" s="466">
        <v>477691</v>
      </c>
      <c r="D39" s="466">
        <v>51017</v>
      </c>
      <c r="E39" s="466">
        <v>5316</v>
      </c>
      <c r="F39" s="466">
        <v>1361</v>
      </c>
      <c r="G39" s="466"/>
      <c r="H39" s="466">
        <v>840</v>
      </c>
      <c r="I39" s="467"/>
      <c r="J39" s="467"/>
      <c r="K39" s="1693">
        <f t="shared" si="2"/>
        <v>536225</v>
      </c>
      <c r="L39" s="466">
        <v>559886</v>
      </c>
    </row>
    <row r="40" spans="1:14" x14ac:dyDescent="0.2">
      <c r="A40" s="1526" t="s">
        <v>209</v>
      </c>
      <c r="B40" s="615">
        <v>2150</v>
      </c>
      <c r="C40" s="466">
        <v>340123</v>
      </c>
      <c r="D40" s="466">
        <v>52556</v>
      </c>
      <c r="E40" s="466"/>
      <c r="F40" s="466"/>
      <c r="G40" s="466"/>
      <c r="H40" s="466"/>
      <c r="I40" s="467"/>
      <c r="J40" s="467"/>
      <c r="K40" s="1693">
        <f t="shared" si="2"/>
        <v>392679</v>
      </c>
      <c r="L40" s="466">
        <v>392824</v>
      </c>
    </row>
    <row r="41" spans="1:14" x14ac:dyDescent="0.2">
      <c r="A41" s="1526" t="s">
        <v>1767</v>
      </c>
      <c r="B41" s="615">
        <v>2190</v>
      </c>
      <c r="C41" s="466">
        <v>113343</v>
      </c>
      <c r="D41" s="466">
        <v>28897</v>
      </c>
      <c r="E41" s="466">
        <v>2505</v>
      </c>
      <c r="F41" s="466">
        <v>44502</v>
      </c>
      <c r="G41" s="466"/>
      <c r="H41" s="466"/>
      <c r="I41" s="467"/>
      <c r="J41" s="467"/>
      <c r="K41" s="1693">
        <f t="shared" si="2"/>
        <v>189247</v>
      </c>
      <c r="L41" s="466">
        <v>154418</v>
      </c>
    </row>
    <row r="42" spans="1:14" ht="12.75" customHeight="1" thickBot="1" x14ac:dyDescent="0.25">
      <c r="A42" s="1690" t="s">
        <v>580</v>
      </c>
      <c r="B42" s="1691" t="s">
        <v>739</v>
      </c>
      <c r="C42" s="1692">
        <f>SUM(C36:C41)</f>
        <v>10002486</v>
      </c>
      <c r="D42" s="1692">
        <f t="shared" ref="D42:L42" si="3">SUM(D36:D41)</f>
        <v>1263495</v>
      </c>
      <c r="E42" s="1692">
        <f t="shared" si="3"/>
        <v>214535</v>
      </c>
      <c r="F42" s="1692">
        <f t="shared" si="3"/>
        <v>142160</v>
      </c>
      <c r="G42" s="1692">
        <f t="shared" si="3"/>
        <v>3323</v>
      </c>
      <c r="H42" s="1692">
        <f t="shared" si="3"/>
        <v>4447</v>
      </c>
      <c r="I42" s="1692">
        <f t="shared" si="3"/>
        <v>0</v>
      </c>
      <c r="J42" s="1692">
        <f t="shared" si="3"/>
        <v>0</v>
      </c>
      <c r="K42" s="1692">
        <f t="shared" si="3"/>
        <v>11630446</v>
      </c>
      <c r="L42" s="1692">
        <f t="shared" si="3"/>
        <v>11378552</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487199</v>
      </c>
      <c r="D44" s="481">
        <v>81695</v>
      </c>
      <c r="E44" s="481">
        <v>295613</v>
      </c>
      <c r="F44" s="481">
        <v>64793</v>
      </c>
      <c r="G44" s="481"/>
      <c r="H44" s="481">
        <v>8615</v>
      </c>
      <c r="I44" s="467"/>
      <c r="J44" s="467"/>
      <c r="K44" s="1694">
        <f>SUM(C44:J44)</f>
        <v>937915</v>
      </c>
      <c r="L44" s="481">
        <v>874023</v>
      </c>
    </row>
    <row r="45" spans="1:14" x14ac:dyDescent="0.2">
      <c r="A45" s="1526" t="s">
        <v>868</v>
      </c>
      <c r="B45" s="615">
        <v>2220</v>
      </c>
      <c r="C45" s="466">
        <v>1681345</v>
      </c>
      <c r="D45" s="466">
        <v>247868</v>
      </c>
      <c r="E45" s="466">
        <v>456990</v>
      </c>
      <c r="F45" s="466">
        <v>54275</v>
      </c>
      <c r="G45" s="466">
        <v>1673093</v>
      </c>
      <c r="H45" s="466"/>
      <c r="I45" s="467"/>
      <c r="J45" s="467"/>
      <c r="K45" s="1694">
        <f>SUM(C45:J45)</f>
        <v>4113571</v>
      </c>
      <c r="L45" s="466">
        <v>3844200</v>
      </c>
    </row>
    <row r="46" spans="1:14" x14ac:dyDescent="0.2">
      <c r="A46" s="1526" t="s">
        <v>869</v>
      </c>
      <c r="B46" s="615">
        <v>2230</v>
      </c>
      <c r="C46" s="466">
        <v>171991</v>
      </c>
      <c r="D46" s="466">
        <v>31595</v>
      </c>
      <c r="E46" s="466">
        <v>38923</v>
      </c>
      <c r="F46" s="466">
        <v>117061</v>
      </c>
      <c r="G46" s="466"/>
      <c r="H46" s="466">
        <v>140</v>
      </c>
      <c r="I46" s="467"/>
      <c r="J46" s="467"/>
      <c r="K46" s="1694">
        <f>SUM(C46:J46)</f>
        <v>359710</v>
      </c>
      <c r="L46" s="466">
        <v>347081</v>
      </c>
    </row>
    <row r="47" spans="1:14" ht="12.75" customHeight="1" thickBot="1" x14ac:dyDescent="0.25">
      <c r="A47" s="1690" t="s">
        <v>581</v>
      </c>
      <c r="B47" s="1691" t="s">
        <v>32</v>
      </c>
      <c r="C47" s="1692">
        <f>SUM(C44:C46)</f>
        <v>2340535</v>
      </c>
      <c r="D47" s="1692">
        <f t="shared" ref="D47:K47" si="4">SUM(D44:D46)</f>
        <v>361158</v>
      </c>
      <c r="E47" s="1692">
        <f t="shared" si="4"/>
        <v>791526</v>
      </c>
      <c r="F47" s="1692">
        <f t="shared" si="4"/>
        <v>236129</v>
      </c>
      <c r="G47" s="1692">
        <f t="shared" si="4"/>
        <v>1673093</v>
      </c>
      <c r="H47" s="1692">
        <f t="shared" si="4"/>
        <v>8755</v>
      </c>
      <c r="I47" s="1692">
        <f t="shared" si="4"/>
        <v>0</v>
      </c>
      <c r="J47" s="1692">
        <f t="shared" si="4"/>
        <v>0</v>
      </c>
      <c r="K47" s="1692">
        <f t="shared" si="4"/>
        <v>5411196</v>
      </c>
      <c r="L47" s="1692">
        <f>SUM(L44:L46)</f>
        <v>5065304</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600</v>
      </c>
      <c r="D49" s="481">
        <v>3</v>
      </c>
      <c r="E49" s="481">
        <v>1411260</v>
      </c>
      <c r="F49" s="481">
        <v>27198</v>
      </c>
      <c r="G49" s="481"/>
      <c r="H49" s="481">
        <v>128689</v>
      </c>
      <c r="I49" s="467"/>
      <c r="J49" s="467"/>
      <c r="K49" s="1694">
        <f>SUM(C49:J49)</f>
        <v>1567750</v>
      </c>
      <c r="L49" s="481">
        <v>1421415</v>
      </c>
    </row>
    <row r="50" spans="1:14" x14ac:dyDescent="0.2">
      <c r="A50" s="1526" t="s">
        <v>871</v>
      </c>
      <c r="B50" s="615">
        <v>2320</v>
      </c>
      <c r="C50" s="466">
        <v>343334</v>
      </c>
      <c r="D50" s="466">
        <v>135973</v>
      </c>
      <c r="E50" s="466">
        <v>40687</v>
      </c>
      <c r="F50" s="466">
        <v>13145</v>
      </c>
      <c r="G50" s="466"/>
      <c r="H50" s="466">
        <v>19504</v>
      </c>
      <c r="I50" s="467"/>
      <c r="J50" s="467"/>
      <c r="K50" s="1694">
        <f>SUM(C50:J50)</f>
        <v>552643</v>
      </c>
      <c r="L50" s="466">
        <v>503278</v>
      </c>
    </row>
    <row r="51" spans="1:14" x14ac:dyDescent="0.2">
      <c r="A51" s="1526" t="s">
        <v>44</v>
      </c>
      <c r="B51" s="615">
        <v>2330</v>
      </c>
      <c r="C51" s="466"/>
      <c r="D51" s="466"/>
      <c r="E51" s="466"/>
      <c r="F51" s="466">
        <v>18</v>
      </c>
      <c r="G51" s="466"/>
      <c r="H51" s="466"/>
      <c r="I51" s="467"/>
      <c r="J51" s="467"/>
      <c r="K51" s="1694">
        <f>SUM(C51:J51)</f>
        <v>18</v>
      </c>
      <c r="L51" s="466">
        <v>500</v>
      </c>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343934</v>
      </c>
      <c r="D53" s="1692">
        <f t="shared" ref="D53:L53" si="5">SUM(D49:D52)</f>
        <v>135976</v>
      </c>
      <c r="E53" s="1692">
        <f t="shared" si="5"/>
        <v>1451947</v>
      </c>
      <c r="F53" s="1692">
        <f t="shared" si="5"/>
        <v>40361</v>
      </c>
      <c r="G53" s="1692">
        <f t="shared" si="5"/>
        <v>0</v>
      </c>
      <c r="H53" s="1692">
        <f t="shared" si="5"/>
        <v>148193</v>
      </c>
      <c r="I53" s="1692">
        <f t="shared" si="5"/>
        <v>0</v>
      </c>
      <c r="J53" s="1692">
        <f t="shared" si="5"/>
        <v>0</v>
      </c>
      <c r="K53" s="1692">
        <f t="shared" si="5"/>
        <v>2120411</v>
      </c>
      <c r="L53" s="1692">
        <f t="shared" si="5"/>
        <v>1925193</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1245159</v>
      </c>
      <c r="D55" s="481">
        <v>197269</v>
      </c>
      <c r="E55" s="481">
        <v>90443</v>
      </c>
      <c r="F55" s="481">
        <v>103166</v>
      </c>
      <c r="G55" s="481">
        <v>26096</v>
      </c>
      <c r="H55" s="481">
        <v>6380</v>
      </c>
      <c r="I55" s="467"/>
      <c r="J55" s="467"/>
      <c r="K55" s="1694">
        <f>SUM(C55:J55)</f>
        <v>1668513</v>
      </c>
      <c r="L55" s="481">
        <v>1589563</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1245159</v>
      </c>
      <c r="D57" s="1696">
        <f t="shared" ref="D57:K57" si="6">SUM(D55:D56)</f>
        <v>197269</v>
      </c>
      <c r="E57" s="1696">
        <f t="shared" si="6"/>
        <v>90443</v>
      </c>
      <c r="F57" s="1696">
        <f t="shared" si="6"/>
        <v>103166</v>
      </c>
      <c r="G57" s="1696">
        <f t="shared" si="6"/>
        <v>26096</v>
      </c>
      <c r="H57" s="1696">
        <f t="shared" si="6"/>
        <v>6380</v>
      </c>
      <c r="I57" s="1696">
        <f t="shared" si="6"/>
        <v>0</v>
      </c>
      <c r="J57" s="1696">
        <f t="shared" si="6"/>
        <v>0</v>
      </c>
      <c r="K57" s="1696">
        <f t="shared" si="6"/>
        <v>1668513</v>
      </c>
      <c r="L57" s="1692">
        <f>SUM(L55:L56)</f>
        <v>1589563</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251580</v>
      </c>
      <c r="D59" s="481">
        <v>26130</v>
      </c>
      <c r="E59" s="481">
        <v>51288</v>
      </c>
      <c r="F59" s="481">
        <v>5186</v>
      </c>
      <c r="G59" s="481"/>
      <c r="H59" s="481">
        <v>4475</v>
      </c>
      <c r="I59" s="467"/>
      <c r="J59" s="467"/>
      <c r="K59" s="1694">
        <f t="shared" ref="K59:K64" si="7">SUM(C59:J59)</f>
        <v>338659</v>
      </c>
      <c r="L59" s="481">
        <v>296529</v>
      </c>
      <c r="M59" s="610"/>
      <c r="N59" s="610"/>
    </row>
    <row r="60" spans="1:14" s="343" customFormat="1" x14ac:dyDescent="0.2">
      <c r="A60" s="1526" t="s">
        <v>482</v>
      </c>
      <c r="B60" s="615">
        <v>2520</v>
      </c>
      <c r="C60" s="466">
        <v>486896</v>
      </c>
      <c r="D60" s="466">
        <v>71108</v>
      </c>
      <c r="E60" s="466">
        <v>138264</v>
      </c>
      <c r="F60" s="466">
        <v>5990</v>
      </c>
      <c r="G60" s="466">
        <v>9636</v>
      </c>
      <c r="H60" s="466">
        <v>172445</v>
      </c>
      <c r="I60" s="467"/>
      <c r="J60" s="467"/>
      <c r="K60" s="1694">
        <f t="shared" si="7"/>
        <v>884339</v>
      </c>
      <c r="L60" s="466">
        <v>938799</v>
      </c>
      <c r="M60" s="610"/>
      <c r="N60" s="610"/>
    </row>
    <row r="61" spans="1:14" s="343" customFormat="1" x14ac:dyDescent="0.2">
      <c r="A61" s="1526" t="s">
        <v>206</v>
      </c>
      <c r="B61" s="615">
        <v>2540</v>
      </c>
      <c r="C61" s="466">
        <v>1126909</v>
      </c>
      <c r="D61" s="466">
        <v>235361</v>
      </c>
      <c r="E61" s="466">
        <v>634153</v>
      </c>
      <c r="F61" s="466">
        <v>1903912</v>
      </c>
      <c r="G61" s="466">
        <v>697498</v>
      </c>
      <c r="H61" s="466"/>
      <c r="I61" s="467"/>
      <c r="J61" s="467"/>
      <c r="K61" s="1694">
        <f t="shared" si="7"/>
        <v>4597833</v>
      </c>
      <c r="L61" s="466">
        <v>5011903</v>
      </c>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50775</v>
      </c>
      <c r="D63" s="466">
        <v>445</v>
      </c>
      <c r="E63" s="466">
        <v>178332</v>
      </c>
      <c r="F63" s="466"/>
      <c r="G63" s="466"/>
      <c r="H63" s="466"/>
      <c r="I63" s="467"/>
      <c r="J63" s="467"/>
      <c r="K63" s="1694">
        <f t="shared" si="7"/>
        <v>229552</v>
      </c>
      <c r="L63" s="466">
        <v>241450</v>
      </c>
    </row>
    <row r="64" spans="1:14" s="610" customFormat="1" x14ac:dyDescent="0.2">
      <c r="A64" s="1531" t="s">
        <v>103</v>
      </c>
      <c r="B64" s="631">
        <v>2570</v>
      </c>
      <c r="C64" s="481">
        <v>40335</v>
      </c>
      <c r="D64" s="481">
        <v>6869</v>
      </c>
      <c r="E64" s="481">
        <v>11660</v>
      </c>
      <c r="F64" s="481">
        <v>65956</v>
      </c>
      <c r="G64" s="481"/>
      <c r="H64" s="481"/>
      <c r="I64" s="467"/>
      <c r="J64" s="467"/>
      <c r="K64" s="1694">
        <f t="shared" si="7"/>
        <v>124820</v>
      </c>
      <c r="L64" s="481">
        <v>131421</v>
      </c>
    </row>
    <row r="65" spans="1:14" s="343" customFormat="1" ht="12.75" customHeight="1" thickBot="1" x14ac:dyDescent="0.25">
      <c r="A65" s="1690" t="s">
        <v>742</v>
      </c>
      <c r="B65" s="1691" t="s">
        <v>35</v>
      </c>
      <c r="C65" s="1692">
        <f>SUM(C59:C64)</f>
        <v>1956495</v>
      </c>
      <c r="D65" s="1692">
        <f t="shared" ref="D65:L65" si="8">SUM(D59:D64)</f>
        <v>339913</v>
      </c>
      <c r="E65" s="1692">
        <f t="shared" si="8"/>
        <v>1013697</v>
      </c>
      <c r="F65" s="1692">
        <f t="shared" si="8"/>
        <v>1981044</v>
      </c>
      <c r="G65" s="1692">
        <f t="shared" si="8"/>
        <v>707134</v>
      </c>
      <c r="H65" s="1692">
        <f t="shared" si="8"/>
        <v>176920</v>
      </c>
      <c r="I65" s="1692">
        <f t="shared" si="8"/>
        <v>0</v>
      </c>
      <c r="J65" s="1692">
        <f t="shared" si="8"/>
        <v>0</v>
      </c>
      <c r="K65" s="1692">
        <f t="shared" si="8"/>
        <v>6175203</v>
      </c>
      <c r="L65" s="1692">
        <f t="shared" si="8"/>
        <v>6620102</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v>246238</v>
      </c>
      <c r="D68" s="466">
        <v>51182</v>
      </c>
      <c r="E68" s="466">
        <v>184918</v>
      </c>
      <c r="F68" s="466">
        <v>17597</v>
      </c>
      <c r="G68" s="466">
        <v>226239</v>
      </c>
      <c r="H68" s="466"/>
      <c r="I68" s="467"/>
      <c r="J68" s="467"/>
      <c r="K68" s="1694">
        <f>SUM(C68:J68)</f>
        <v>726174</v>
      </c>
      <c r="L68" s="466">
        <v>436828</v>
      </c>
      <c r="M68" s="610"/>
      <c r="N68" s="610"/>
    </row>
    <row r="69" spans="1:14" s="343" customFormat="1" x14ac:dyDescent="0.2">
      <c r="A69" s="1526" t="s">
        <v>1120</v>
      </c>
      <c r="B69" s="615">
        <v>2630</v>
      </c>
      <c r="C69" s="466">
        <v>189657</v>
      </c>
      <c r="D69" s="466">
        <v>22282</v>
      </c>
      <c r="E69" s="466">
        <v>205531</v>
      </c>
      <c r="F69" s="466">
        <v>6854</v>
      </c>
      <c r="G69" s="466">
        <v>119</v>
      </c>
      <c r="H69" s="466"/>
      <c r="I69" s="467"/>
      <c r="J69" s="467"/>
      <c r="K69" s="1694">
        <f>SUM(C69:J69)</f>
        <v>424443</v>
      </c>
      <c r="L69" s="466">
        <v>431943</v>
      </c>
      <c r="M69" s="610"/>
      <c r="N69" s="610"/>
    </row>
    <row r="70" spans="1:14" s="343" customFormat="1" x14ac:dyDescent="0.2">
      <c r="A70" s="1526" t="s">
        <v>422</v>
      </c>
      <c r="B70" s="615">
        <v>2640</v>
      </c>
      <c r="C70" s="466">
        <v>506230</v>
      </c>
      <c r="D70" s="466">
        <v>109690</v>
      </c>
      <c r="E70" s="466">
        <v>13794</v>
      </c>
      <c r="F70" s="466">
        <v>7616</v>
      </c>
      <c r="G70" s="466"/>
      <c r="H70" s="466">
        <v>750</v>
      </c>
      <c r="I70" s="467"/>
      <c r="J70" s="467"/>
      <c r="K70" s="1694">
        <f>SUM(C70:J70)</f>
        <v>638080</v>
      </c>
      <c r="L70" s="466">
        <v>691906</v>
      </c>
      <c r="M70" s="610"/>
      <c r="N70" s="610"/>
    </row>
    <row r="71" spans="1:14" s="343" customFormat="1" x14ac:dyDescent="0.2">
      <c r="A71" s="1526" t="s">
        <v>423</v>
      </c>
      <c r="B71" s="615">
        <v>2660</v>
      </c>
      <c r="C71" s="466">
        <v>255474</v>
      </c>
      <c r="D71" s="466">
        <v>39439</v>
      </c>
      <c r="E71" s="466">
        <f>371894-17171</f>
        <v>354723</v>
      </c>
      <c r="F71" s="466"/>
      <c r="G71" s="466">
        <v>74372</v>
      </c>
      <c r="H71" s="466"/>
      <c r="I71" s="467"/>
      <c r="J71" s="467"/>
      <c r="K71" s="1694">
        <f>SUM(C71:J71)</f>
        <v>724008</v>
      </c>
      <c r="L71" s="466">
        <v>818190</v>
      </c>
      <c r="M71" s="610"/>
      <c r="N71" s="610"/>
    </row>
    <row r="72" spans="1:14" s="343" customFormat="1" ht="12.75" customHeight="1" thickBot="1" x14ac:dyDescent="0.25">
      <c r="A72" s="1690" t="s">
        <v>37</v>
      </c>
      <c r="B72" s="1697" t="s">
        <v>36</v>
      </c>
      <c r="C72" s="1692">
        <f>SUM(C67:C71)</f>
        <v>1197599</v>
      </c>
      <c r="D72" s="1692">
        <f t="shared" ref="D72:K72" si="9">SUM(D67:D71)</f>
        <v>222593</v>
      </c>
      <c r="E72" s="1692">
        <f t="shared" si="9"/>
        <v>758966</v>
      </c>
      <c r="F72" s="1692">
        <f t="shared" si="9"/>
        <v>32067</v>
      </c>
      <c r="G72" s="1692">
        <f t="shared" si="9"/>
        <v>300730</v>
      </c>
      <c r="H72" s="1692">
        <f t="shared" si="9"/>
        <v>750</v>
      </c>
      <c r="I72" s="1692">
        <f t="shared" si="9"/>
        <v>0</v>
      </c>
      <c r="J72" s="1692">
        <f t="shared" si="9"/>
        <v>0</v>
      </c>
      <c r="K72" s="1692">
        <f t="shared" si="9"/>
        <v>2512705</v>
      </c>
      <c r="L72" s="1692">
        <f>SUM(L67:L71)</f>
        <v>2378867</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c r="M73" s="610"/>
      <c r="N73" s="610"/>
    </row>
    <row r="74" spans="1:14" ht="12.75" customHeight="1" thickTop="1" thickBot="1" x14ac:dyDescent="0.25">
      <c r="A74" s="1690" t="s">
        <v>864</v>
      </c>
      <c r="B74" s="1698">
        <v>2000</v>
      </c>
      <c r="C74" s="1699">
        <f>SUM(C42,C47,C53,C57,C65,C72,C73)</f>
        <v>17086208</v>
      </c>
      <c r="D74" s="1699">
        <f t="shared" ref="D74:K74" si="10">SUM(D42,D47,D53,D57,D65,D72,D73)</f>
        <v>2520404</v>
      </c>
      <c r="E74" s="1699">
        <f t="shared" si="10"/>
        <v>4321114</v>
      </c>
      <c r="F74" s="1699">
        <f t="shared" si="10"/>
        <v>2534927</v>
      </c>
      <c r="G74" s="1699">
        <f t="shared" si="10"/>
        <v>2710376</v>
      </c>
      <c r="H74" s="1699">
        <f t="shared" si="10"/>
        <v>345445</v>
      </c>
      <c r="I74" s="1699">
        <f t="shared" si="10"/>
        <v>0</v>
      </c>
      <c r="J74" s="1699">
        <f t="shared" si="10"/>
        <v>0</v>
      </c>
      <c r="K74" s="1699">
        <f t="shared" si="10"/>
        <v>29518474</v>
      </c>
      <c r="L74" s="1699">
        <f>SUM(L42,L47,L53,L57,L65,L72,L73)</f>
        <v>28957581</v>
      </c>
    </row>
    <row r="75" spans="1:14" s="259" customFormat="1" ht="15.75" customHeight="1" thickTop="1" thickBot="1" x14ac:dyDescent="0.25">
      <c r="A75" s="1632" t="s">
        <v>49</v>
      </c>
      <c r="B75" s="1633" t="s">
        <v>595</v>
      </c>
      <c r="C75" s="573">
        <v>212992</v>
      </c>
      <c r="D75" s="573">
        <v>45100</v>
      </c>
      <c r="E75" s="573">
        <v>1700</v>
      </c>
      <c r="F75" s="573">
        <v>17745</v>
      </c>
      <c r="G75" s="573"/>
      <c r="H75" s="573"/>
      <c r="I75" s="531"/>
      <c r="J75" s="531"/>
      <c r="K75" s="1692">
        <f>SUM(C75:J75)</f>
        <v>277537</v>
      </c>
      <c r="L75" s="576">
        <v>368731</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f>1505994-1700</f>
        <v>1504294</v>
      </c>
      <c r="I79" s="477"/>
      <c r="J79" s="477"/>
      <c r="K79" s="1693">
        <f t="shared" si="11"/>
        <v>1504294</v>
      </c>
      <c r="L79" s="466">
        <v>1300000</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1504294</v>
      </c>
      <c r="I84" s="477"/>
      <c r="J84" s="477"/>
      <c r="K84" s="1692">
        <f>SUM(K78:K83)</f>
        <v>1504294</v>
      </c>
      <c r="L84" s="1692">
        <f>SUM(L78:L83)</f>
        <v>1300000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1504294</v>
      </c>
      <c r="I102" s="477"/>
      <c r="J102" s="477"/>
      <c r="K102" s="1699">
        <f>SUM(K84,K92,K100,K101)</f>
        <v>1504294</v>
      </c>
      <c r="L102" s="1699">
        <f>SUM(L84,L92,L100,L101)</f>
        <v>1300000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529380</v>
      </c>
      <c r="M113" s="614"/>
      <c r="N113" s="614"/>
    </row>
    <row r="114" spans="1:14" ht="12.75" customHeight="1" thickTop="1" thickBot="1" x14ac:dyDescent="0.25">
      <c r="A114" s="1690" t="s">
        <v>50</v>
      </c>
      <c r="B114" s="1704"/>
      <c r="C114" s="1692">
        <f>SUM(C33,C74,C75,C102,C112,C113)</f>
        <v>63552663</v>
      </c>
      <c r="D114" s="1692">
        <f t="shared" ref="D114:K114" si="13">SUM(D33,D74,D75,D102,D112,D113)</f>
        <v>8236687</v>
      </c>
      <c r="E114" s="1692">
        <f t="shared" si="13"/>
        <v>5538006</v>
      </c>
      <c r="F114" s="1692">
        <f t="shared" si="13"/>
        <v>3665816</v>
      </c>
      <c r="G114" s="1692">
        <f t="shared" si="13"/>
        <v>2943011</v>
      </c>
      <c r="H114" s="1692">
        <f>SUM(H33,H74,H75,H102,H112,H113)</f>
        <v>5212564</v>
      </c>
      <c r="I114" s="1692">
        <f t="shared" si="13"/>
        <v>0</v>
      </c>
      <c r="J114" s="1692">
        <f t="shared" si="13"/>
        <v>0</v>
      </c>
      <c r="K114" s="1692">
        <f t="shared" si="13"/>
        <v>89148747</v>
      </c>
      <c r="L114" s="1692">
        <f>SUM(L33,L74,L75,L102,L112,L113)</f>
        <v>91122083</v>
      </c>
    </row>
    <row r="115" spans="1:14" ht="13.5" thickTop="1" x14ac:dyDescent="0.2">
      <c r="A115" s="2174" t="s">
        <v>1052</v>
      </c>
      <c r="B115" s="2175"/>
      <c r="C115" s="619"/>
      <c r="D115" s="619"/>
      <c r="E115" s="619"/>
      <c r="F115" s="619"/>
      <c r="G115" s="619"/>
      <c r="H115" s="619"/>
      <c r="I115" s="619"/>
      <c r="J115" s="619"/>
      <c r="K115" s="1706">
        <f>'Revenues 9-14'!C275-'Expenditures 15-22'!K114</f>
        <v>3494606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313</v>
      </c>
      <c r="B117" s="2180"/>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112798</v>
      </c>
      <c r="F123" s="466"/>
      <c r="G123" s="466"/>
      <c r="H123" s="466"/>
      <c r="I123" s="467"/>
      <c r="J123" s="467"/>
      <c r="K123" s="1692">
        <f>SUM(C123:J123)</f>
        <v>112798</v>
      </c>
      <c r="L123" s="466">
        <v>135500</v>
      </c>
    </row>
    <row r="124" spans="1:14" ht="14.25" thickTop="1" thickBot="1" x14ac:dyDescent="0.25">
      <c r="A124" s="1526" t="s">
        <v>206</v>
      </c>
      <c r="B124" s="615">
        <v>2540</v>
      </c>
      <c r="C124" s="466">
        <v>4136231</v>
      </c>
      <c r="D124" s="466">
        <v>812469</v>
      </c>
      <c r="E124" s="466">
        <v>1169062</v>
      </c>
      <c r="F124" s="466">
        <v>709464</v>
      </c>
      <c r="G124" s="466">
        <v>699689</v>
      </c>
      <c r="H124" s="466">
        <v>3442</v>
      </c>
      <c r="I124" s="467"/>
      <c r="J124" s="467"/>
      <c r="K124" s="1692">
        <f>SUM(C124:J124)</f>
        <v>7530357</v>
      </c>
      <c r="L124" s="466">
        <v>7495556</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4136231</v>
      </c>
      <c r="D127" s="1692">
        <f t="shared" ref="D127:L127" si="14">SUM(D122:D126)</f>
        <v>812469</v>
      </c>
      <c r="E127" s="1692">
        <f t="shared" si="14"/>
        <v>1281860</v>
      </c>
      <c r="F127" s="1692">
        <f t="shared" si="14"/>
        <v>709464</v>
      </c>
      <c r="G127" s="1692">
        <f t="shared" si="14"/>
        <v>699689</v>
      </c>
      <c r="H127" s="1692">
        <f t="shared" si="14"/>
        <v>3442</v>
      </c>
      <c r="I127" s="1692">
        <f t="shared" si="14"/>
        <v>0</v>
      </c>
      <c r="J127" s="1692">
        <f t="shared" si="14"/>
        <v>0</v>
      </c>
      <c r="K127" s="1692">
        <f t="shared" si="14"/>
        <v>7643155</v>
      </c>
      <c r="L127" s="1692">
        <f t="shared" si="14"/>
        <v>7631056</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4136231</v>
      </c>
      <c r="D129" s="1699">
        <f t="shared" ref="D129:L129" si="15">SUM(D120,D127,D128)</f>
        <v>812469</v>
      </c>
      <c r="E129" s="1699">
        <f t="shared" si="15"/>
        <v>1281860</v>
      </c>
      <c r="F129" s="1699">
        <f t="shared" si="15"/>
        <v>709464</v>
      </c>
      <c r="G129" s="1699">
        <f t="shared" si="15"/>
        <v>699689</v>
      </c>
      <c r="H129" s="1699">
        <f t="shared" si="15"/>
        <v>3442</v>
      </c>
      <c r="I129" s="1699">
        <f t="shared" si="15"/>
        <v>0</v>
      </c>
      <c r="J129" s="1699">
        <f t="shared" si="15"/>
        <v>0</v>
      </c>
      <c r="K129" s="1699">
        <f t="shared" si="15"/>
        <v>7643155</v>
      </c>
      <c r="L129" s="1699">
        <f t="shared" si="15"/>
        <v>7631056</v>
      </c>
    </row>
    <row r="130" spans="1:14" ht="15.75" customHeight="1" thickTop="1" thickBot="1" x14ac:dyDescent="0.25">
      <c r="A130" s="1632" t="s">
        <v>1095</v>
      </c>
      <c r="B130" s="1633" t="s">
        <v>595</v>
      </c>
      <c r="C130" s="576">
        <v>98827</v>
      </c>
      <c r="D130" s="576"/>
      <c r="E130" s="576"/>
      <c r="F130" s="576"/>
      <c r="G130" s="576"/>
      <c r="H130" s="576"/>
      <c r="I130" s="531"/>
      <c r="J130" s="531"/>
      <c r="K130" s="1692">
        <f>SUM(C130:J130)</f>
        <v>98827</v>
      </c>
      <c r="L130" s="576">
        <v>98827</v>
      </c>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1952</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1" t="s">
        <v>640</v>
      </c>
      <c r="B151" s="2171"/>
      <c r="C151" s="1692">
        <f>SUM(C129,C130,C139,C149,C150)</f>
        <v>4235058</v>
      </c>
      <c r="D151" s="1692">
        <f t="shared" ref="D151:K151" si="16">SUM(D129,D130,D139,D149,D150)</f>
        <v>812469</v>
      </c>
      <c r="E151" s="1692">
        <f t="shared" si="16"/>
        <v>1281860</v>
      </c>
      <c r="F151" s="1692">
        <f t="shared" si="16"/>
        <v>709464</v>
      </c>
      <c r="G151" s="1692">
        <f t="shared" si="16"/>
        <v>699689</v>
      </c>
      <c r="H151" s="1692">
        <f t="shared" si="16"/>
        <v>3442</v>
      </c>
      <c r="I151" s="1692">
        <f t="shared" si="16"/>
        <v>0</v>
      </c>
      <c r="J151" s="1692">
        <f t="shared" si="16"/>
        <v>0</v>
      </c>
      <c r="K151" s="1692">
        <f t="shared" si="16"/>
        <v>7741982</v>
      </c>
      <c r="L151" s="1692">
        <f>SUM(L129,L130,L139,L149,L150)</f>
        <v>7729883</v>
      </c>
    </row>
    <row r="152" spans="1:14" ht="12.75" customHeight="1" thickTop="1" x14ac:dyDescent="0.2">
      <c r="A152" s="2194" t="s">
        <v>1239</v>
      </c>
      <c r="B152" s="2195"/>
      <c r="C152" s="619"/>
      <c r="D152" s="619"/>
      <c r="E152" s="619"/>
      <c r="F152" s="619"/>
      <c r="G152" s="619"/>
      <c r="H152" s="619"/>
      <c r="I152" s="619"/>
      <c r="J152" s="617"/>
      <c r="K152" s="1706">
        <f>'Revenues 9-14'!D275-'Expenditures 15-22'!K151</f>
        <v>1059772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641</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1953</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1952</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1954</v>
      </c>
      <c r="C158" s="617"/>
      <c r="D158" s="617"/>
      <c r="E158" s="617"/>
      <c r="F158" s="617"/>
      <c r="G158" s="617"/>
      <c r="H158" s="467"/>
      <c r="I158" s="617"/>
      <c r="J158" s="617"/>
      <c r="K158" s="1693">
        <f>H158</f>
        <v>0</v>
      </c>
      <c r="L158" s="467"/>
      <c r="M158" s="620"/>
      <c r="N158" s="620"/>
    </row>
    <row r="159" spans="1:14" s="621" customFormat="1" ht="12" x14ac:dyDescent="0.2">
      <c r="A159" s="1849" t="s">
        <v>1955</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1956</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3237212</v>
      </c>
      <c r="I169" s="617"/>
      <c r="J169" s="617"/>
      <c r="K169" s="1693">
        <f>SUM(C169:H169)</f>
        <v>3237212</v>
      </c>
      <c r="L169" s="657">
        <v>3140266</v>
      </c>
    </row>
    <row r="170" spans="1:14" ht="33.75" customHeight="1" x14ac:dyDescent="0.2">
      <c r="A170" s="670" t="s">
        <v>1768</v>
      </c>
      <c r="B170" s="672" t="s">
        <v>31</v>
      </c>
      <c r="C170" s="617"/>
      <c r="D170" s="617"/>
      <c r="E170" s="617"/>
      <c r="F170" s="617"/>
      <c r="G170" s="617"/>
      <c r="H170" s="569">
        <v>6765000</v>
      </c>
      <c r="I170" s="617"/>
      <c r="J170" s="617"/>
      <c r="K170" s="1693">
        <f>SUM(C170:J170)</f>
        <v>6765000</v>
      </c>
      <c r="L170" s="569">
        <v>6765000</v>
      </c>
    </row>
    <row r="171" spans="1:14" ht="15.75" customHeight="1" x14ac:dyDescent="0.2">
      <c r="A171" s="622" t="s">
        <v>789</v>
      </c>
      <c r="B171" s="673" t="s">
        <v>86</v>
      </c>
      <c r="C171" s="617"/>
      <c r="D171" s="617"/>
      <c r="E171" s="466"/>
      <c r="F171" s="617"/>
      <c r="G171" s="617"/>
      <c r="H171" s="569">
        <v>5239</v>
      </c>
      <c r="I171" s="477"/>
      <c r="J171" s="617"/>
      <c r="K171" s="1693">
        <f>SUM(C171:J171)</f>
        <v>5239</v>
      </c>
      <c r="L171" s="569">
        <v>2500</v>
      </c>
    </row>
    <row r="172" spans="1:14" ht="12.75" customHeight="1" thickBot="1" x14ac:dyDescent="0.25">
      <c r="A172" s="1690" t="s">
        <v>658</v>
      </c>
      <c r="B172" s="1691" t="s">
        <v>512</v>
      </c>
      <c r="C172" s="617"/>
      <c r="D172" s="617"/>
      <c r="E172" s="1699">
        <f>SUM(E168,E169,E170,E171)</f>
        <v>0</v>
      </c>
      <c r="F172" s="617"/>
      <c r="G172" s="617"/>
      <c r="H172" s="1699">
        <f>SUM(H168,H169,H170,H171)</f>
        <v>10007451</v>
      </c>
      <c r="I172" s="639"/>
      <c r="J172" s="617"/>
      <c r="K172" s="1699">
        <f>SUM(K168,K169,K170,K171)</f>
        <v>10007451</v>
      </c>
      <c r="L172" s="1699">
        <f>SUM(L168,L169,L170,L171)</f>
        <v>9907766</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10007451</v>
      </c>
      <c r="I174" s="639"/>
      <c r="J174" s="617"/>
      <c r="K174" s="1699">
        <f>SUM(K160,K172,K173)</f>
        <v>10007451</v>
      </c>
      <c r="L174" s="1699">
        <f>SUM(L160,L172,L173)</f>
        <v>9907766</v>
      </c>
    </row>
    <row r="175" spans="1:14" ht="13.5" thickTop="1" x14ac:dyDescent="0.2">
      <c r="A175" s="2174" t="s">
        <v>1052</v>
      </c>
      <c r="B175" s="2175"/>
      <c r="C175" s="617"/>
      <c r="D175" s="617"/>
      <c r="E175" s="617"/>
      <c r="F175" s="617"/>
      <c r="G175" s="617"/>
      <c r="H175" s="619"/>
      <c r="I175" s="617"/>
      <c r="J175" s="617"/>
      <c r="K175" s="1706">
        <f>'Revenues 9-14'!E275-'Expenditures 15-22'!K174</f>
        <v>-454280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74160</v>
      </c>
      <c r="D182" s="466">
        <v>16262</v>
      </c>
      <c r="E182" s="466">
        <v>1817045</v>
      </c>
      <c r="F182" s="466">
        <v>45983</v>
      </c>
      <c r="G182" s="466">
        <v>46182</v>
      </c>
      <c r="H182" s="466"/>
      <c r="I182" s="467"/>
      <c r="J182" s="467"/>
      <c r="K182" s="1693">
        <f>SUM(C182:J182)</f>
        <v>1999632</v>
      </c>
      <c r="L182" s="466">
        <v>1829243</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74160</v>
      </c>
      <c r="D184" s="1699">
        <f t="shared" ref="D184:J184" si="17">SUM(D180,D182,D183)</f>
        <v>16262</v>
      </c>
      <c r="E184" s="1699">
        <f t="shared" si="17"/>
        <v>1817045</v>
      </c>
      <c r="F184" s="1699">
        <f t="shared" si="17"/>
        <v>45983</v>
      </c>
      <c r="G184" s="1699">
        <f t="shared" si="17"/>
        <v>46182</v>
      </c>
      <c r="H184" s="1699">
        <f t="shared" si="17"/>
        <v>0</v>
      </c>
      <c r="I184" s="1699">
        <f t="shared" si="17"/>
        <v>0</v>
      </c>
      <c r="J184" s="1699">
        <f t="shared" si="17"/>
        <v>0</v>
      </c>
      <c r="K184" s="1699">
        <f>SUM(K180,K182,K183)</f>
        <v>1999632</v>
      </c>
      <c r="L184" s="1699">
        <f>SUM(L180, L182:L183)</f>
        <v>1829243</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v>40800</v>
      </c>
    </row>
    <row r="210" spans="1:14" ht="12.75" customHeight="1" thickTop="1" thickBot="1" x14ac:dyDescent="0.25">
      <c r="A210" s="1714" t="s">
        <v>294</v>
      </c>
      <c r="B210" s="1715"/>
      <c r="C210" s="1692">
        <f>SUM(C184,C185)</f>
        <v>74160</v>
      </c>
      <c r="D210" s="1692">
        <f>SUM(D184,D185)</f>
        <v>16262</v>
      </c>
      <c r="E210" s="1692">
        <f>SUM(E184,E185,E196)</f>
        <v>1817045</v>
      </c>
      <c r="F210" s="1692">
        <f>SUM(F184,F185)</f>
        <v>45983</v>
      </c>
      <c r="G210" s="1692">
        <f>SUM(G184,G185)</f>
        <v>46182</v>
      </c>
      <c r="H210" s="1692">
        <f>SUM(H184,H185,H196,H208,H209)</f>
        <v>0</v>
      </c>
      <c r="I210" s="1692">
        <f>SUM(I184,I185)</f>
        <v>0</v>
      </c>
      <c r="J210" s="1692">
        <f>SUM(J184,J185)</f>
        <v>0</v>
      </c>
      <c r="K210" s="1693">
        <f>SUM(K184,K185,K196,K208,K209)</f>
        <v>1999632</v>
      </c>
      <c r="L210" s="1692">
        <f>SUM(L184,L185,L196,L208,L209)</f>
        <v>1870043</v>
      </c>
    </row>
    <row r="211" spans="1:14" ht="13.5" thickTop="1" x14ac:dyDescent="0.2">
      <c r="A211" s="2174" t="s">
        <v>1052</v>
      </c>
      <c r="B211" s="2175"/>
      <c r="C211" s="619"/>
      <c r="D211" s="619"/>
      <c r="E211" s="619"/>
      <c r="F211" s="619"/>
      <c r="G211" s="619"/>
      <c r="H211" s="619"/>
      <c r="I211" s="617"/>
      <c r="J211" s="617"/>
      <c r="K211" s="1706">
        <f>'Revenues 9-14'!F275-'Expenditures 15-22'!K210</f>
        <v>139676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1021</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716509</v>
      </c>
      <c r="E215" s="617"/>
      <c r="F215" s="617"/>
      <c r="G215" s="617"/>
      <c r="H215" s="617"/>
      <c r="I215" s="617"/>
      <c r="J215" s="617"/>
      <c r="K215" s="1693">
        <f>D215</f>
        <v>716509</v>
      </c>
      <c r="L215" s="466">
        <v>958131</v>
      </c>
    </row>
    <row r="216" spans="1:14" x14ac:dyDescent="0.2">
      <c r="A216" s="1526" t="s">
        <v>165</v>
      </c>
      <c r="B216" s="615" t="s">
        <v>1023</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368231</v>
      </c>
      <c r="E217" s="617"/>
      <c r="F217" s="617"/>
      <c r="G217" s="617"/>
      <c r="H217" s="617"/>
      <c r="I217" s="617"/>
      <c r="J217" s="617"/>
      <c r="K217" s="1693">
        <f t="shared" si="19"/>
        <v>368231</v>
      </c>
      <c r="L217" s="466">
        <v>351546</v>
      </c>
    </row>
    <row r="218" spans="1:14" x14ac:dyDescent="0.2">
      <c r="A218" s="1526" t="s">
        <v>295</v>
      </c>
      <c r="B218" s="615" t="s">
        <v>1024</v>
      </c>
      <c r="C218" s="617"/>
      <c r="D218" s="467"/>
      <c r="E218" s="617"/>
      <c r="F218" s="617"/>
      <c r="G218" s="617"/>
      <c r="H218" s="617"/>
      <c r="I218" s="617"/>
      <c r="J218" s="617"/>
      <c r="K218" s="1693">
        <f t="shared" si="19"/>
        <v>0</v>
      </c>
      <c r="L218" s="466"/>
    </row>
    <row r="219" spans="1:14" x14ac:dyDescent="0.2">
      <c r="A219" s="1526" t="s">
        <v>296</v>
      </c>
      <c r="B219" s="615">
        <v>1250</v>
      </c>
      <c r="C219" s="617"/>
      <c r="D219" s="466"/>
      <c r="E219" s="617"/>
      <c r="F219" s="617"/>
      <c r="G219" s="617"/>
      <c r="H219" s="617"/>
      <c r="I219" s="617"/>
      <c r="J219" s="617"/>
      <c r="K219" s="1693">
        <f t="shared" si="19"/>
        <v>0</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v>54752</v>
      </c>
      <c r="E221" s="617"/>
      <c r="F221" s="617"/>
      <c r="G221" s="617"/>
      <c r="H221" s="617"/>
      <c r="I221" s="617"/>
      <c r="J221" s="617"/>
      <c r="K221" s="1693">
        <f t="shared" si="19"/>
        <v>54752</v>
      </c>
      <c r="L221" s="466">
        <v>50070</v>
      </c>
    </row>
    <row r="222" spans="1:14" x14ac:dyDescent="0.2">
      <c r="A222" s="1526" t="s">
        <v>746</v>
      </c>
      <c r="B222" s="615">
        <v>1400</v>
      </c>
      <c r="C222" s="617"/>
      <c r="D222" s="466">
        <v>38</v>
      </c>
      <c r="E222" s="617"/>
      <c r="F222" s="617"/>
      <c r="G222" s="617"/>
      <c r="H222" s="617"/>
      <c r="I222" s="617"/>
      <c r="J222" s="617"/>
      <c r="K222" s="1693">
        <f t="shared" si="19"/>
        <v>38</v>
      </c>
      <c r="L222" s="466"/>
    </row>
    <row r="223" spans="1:14" x14ac:dyDescent="0.2">
      <c r="A223" s="1526" t="s">
        <v>1019</v>
      </c>
      <c r="B223" s="615">
        <v>1500</v>
      </c>
      <c r="C223" s="617"/>
      <c r="D223" s="466">
        <v>284905</v>
      </c>
      <c r="E223" s="617"/>
      <c r="F223" s="617"/>
      <c r="G223" s="617"/>
      <c r="H223" s="617"/>
      <c r="I223" s="617"/>
      <c r="J223" s="617"/>
      <c r="K223" s="1693">
        <f t="shared" si="19"/>
        <v>284905</v>
      </c>
      <c r="L223" s="466">
        <v>299595</v>
      </c>
    </row>
    <row r="224" spans="1:14" x14ac:dyDescent="0.2">
      <c r="A224" s="1526" t="s">
        <v>1020</v>
      </c>
      <c r="B224" s="615">
        <v>1600</v>
      </c>
      <c r="C224" s="617"/>
      <c r="D224" s="466">
        <v>16103</v>
      </c>
      <c r="E224" s="617"/>
      <c r="F224" s="617"/>
      <c r="G224" s="617"/>
      <c r="H224" s="617"/>
      <c r="I224" s="617"/>
      <c r="J224" s="617"/>
      <c r="K224" s="1693">
        <f t="shared" si="19"/>
        <v>16103</v>
      </c>
      <c r="L224" s="466">
        <v>25000</v>
      </c>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1845</v>
      </c>
      <c r="E226" s="617"/>
      <c r="F226" s="617"/>
      <c r="G226" s="617"/>
      <c r="H226" s="617"/>
      <c r="I226" s="617"/>
      <c r="J226" s="617"/>
      <c r="K226" s="1693">
        <f t="shared" si="19"/>
        <v>1845</v>
      </c>
      <c r="L226" s="466">
        <v>1831</v>
      </c>
    </row>
    <row r="227" spans="1:12" x14ac:dyDescent="0.2">
      <c r="A227" s="1526" t="s">
        <v>1147</v>
      </c>
      <c r="B227" s="615">
        <v>1800</v>
      </c>
      <c r="C227" s="617"/>
      <c r="D227" s="466">
        <v>18302</v>
      </c>
      <c r="E227" s="617"/>
      <c r="F227" s="617"/>
      <c r="G227" s="617"/>
      <c r="H227" s="617"/>
      <c r="I227" s="617"/>
      <c r="J227" s="617"/>
      <c r="K227" s="1693">
        <f t="shared" si="19"/>
        <v>18302</v>
      </c>
      <c r="L227" s="466">
        <v>18939</v>
      </c>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1460685</v>
      </c>
      <c r="E229" s="617"/>
      <c r="F229" s="617"/>
      <c r="G229" s="617"/>
      <c r="H229" s="617"/>
      <c r="I229" s="617"/>
      <c r="J229" s="617"/>
      <c r="K229" s="1692">
        <f>SUM(K215:K228)</f>
        <v>1460685</v>
      </c>
      <c r="L229" s="1692">
        <f>SUM(L215:L228)</f>
        <v>1705112</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35551</v>
      </c>
      <c r="E232" s="617"/>
      <c r="F232" s="617"/>
      <c r="G232" s="617"/>
      <c r="H232" s="617"/>
      <c r="I232" s="617"/>
      <c r="J232" s="617"/>
      <c r="K232" s="1693">
        <f t="shared" ref="K232:K237" si="20">D232</f>
        <v>35551</v>
      </c>
      <c r="L232" s="466">
        <v>31341</v>
      </c>
    </row>
    <row r="233" spans="1:12" x14ac:dyDescent="0.2">
      <c r="A233" s="1526" t="s">
        <v>1150</v>
      </c>
      <c r="B233" s="615">
        <v>2120</v>
      </c>
      <c r="C233" s="617"/>
      <c r="D233" s="466">
        <v>164078</v>
      </c>
      <c r="E233" s="617"/>
      <c r="F233" s="617"/>
      <c r="G233" s="617"/>
      <c r="H233" s="617"/>
      <c r="I233" s="617"/>
      <c r="J233" s="617"/>
      <c r="K233" s="1693">
        <f t="shared" si="20"/>
        <v>164078</v>
      </c>
      <c r="L233" s="466">
        <v>155956</v>
      </c>
    </row>
    <row r="234" spans="1:12" x14ac:dyDescent="0.2">
      <c r="A234" s="1526" t="s">
        <v>207</v>
      </c>
      <c r="B234" s="615">
        <v>2130</v>
      </c>
      <c r="C234" s="617"/>
      <c r="D234" s="466">
        <v>38790</v>
      </c>
      <c r="E234" s="617"/>
      <c r="F234" s="617"/>
      <c r="G234" s="617"/>
      <c r="H234" s="617"/>
      <c r="I234" s="617"/>
      <c r="J234" s="617"/>
      <c r="K234" s="1693">
        <f t="shared" si="20"/>
        <v>38790</v>
      </c>
      <c r="L234" s="466">
        <v>36555</v>
      </c>
    </row>
    <row r="235" spans="1:12" x14ac:dyDescent="0.2">
      <c r="A235" s="1526" t="s">
        <v>208</v>
      </c>
      <c r="B235" s="615">
        <v>2140</v>
      </c>
      <c r="C235" s="617"/>
      <c r="D235" s="466">
        <v>10874</v>
      </c>
      <c r="E235" s="617"/>
      <c r="F235" s="617"/>
      <c r="G235" s="617"/>
      <c r="H235" s="617"/>
      <c r="I235" s="617"/>
      <c r="J235" s="617"/>
      <c r="K235" s="1693">
        <f t="shared" si="20"/>
        <v>10874</v>
      </c>
      <c r="L235" s="466">
        <v>13591</v>
      </c>
    </row>
    <row r="236" spans="1:12" x14ac:dyDescent="0.2">
      <c r="A236" s="1526" t="s">
        <v>209</v>
      </c>
      <c r="B236" s="615">
        <v>2150</v>
      </c>
      <c r="C236" s="617"/>
      <c r="D236" s="466">
        <v>4757</v>
      </c>
      <c r="E236" s="617"/>
      <c r="F236" s="617"/>
      <c r="G236" s="617"/>
      <c r="H236" s="617"/>
      <c r="I236" s="617"/>
      <c r="J236" s="617"/>
      <c r="K236" s="1693">
        <f t="shared" si="20"/>
        <v>4757</v>
      </c>
      <c r="L236" s="466">
        <v>4753</v>
      </c>
    </row>
    <row r="237" spans="1:12" x14ac:dyDescent="0.2">
      <c r="A237" s="1526" t="s">
        <v>167</v>
      </c>
      <c r="B237" s="615">
        <v>2190</v>
      </c>
      <c r="C237" s="617"/>
      <c r="D237" s="466">
        <v>16285</v>
      </c>
      <c r="E237" s="617"/>
      <c r="F237" s="617"/>
      <c r="G237" s="617"/>
      <c r="H237" s="617"/>
      <c r="I237" s="617"/>
      <c r="J237" s="617"/>
      <c r="K237" s="1693">
        <f t="shared" si="20"/>
        <v>16285</v>
      </c>
      <c r="L237" s="466">
        <v>15283</v>
      </c>
    </row>
    <row r="238" spans="1:12" ht="12.75" customHeight="1" thickBot="1" x14ac:dyDescent="0.25">
      <c r="A238" s="1690" t="s">
        <v>580</v>
      </c>
      <c r="B238" s="1697" t="s">
        <v>739</v>
      </c>
      <c r="C238" s="617"/>
      <c r="D238" s="1692">
        <f>SUM(D232:D237)</f>
        <v>270335</v>
      </c>
      <c r="E238" s="617"/>
      <c r="F238" s="617"/>
      <c r="G238" s="617"/>
      <c r="H238" s="617"/>
      <c r="I238" s="617"/>
      <c r="J238" s="617"/>
      <c r="K238" s="1692">
        <f>SUM(K232:K237)</f>
        <v>270335</v>
      </c>
      <c r="L238" s="1692">
        <f>SUM(L232:L237)</f>
        <v>257479</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17022</v>
      </c>
      <c r="E240" s="617"/>
      <c r="F240" s="617"/>
      <c r="G240" s="617"/>
      <c r="H240" s="617"/>
      <c r="I240" s="617"/>
      <c r="J240" s="617"/>
      <c r="K240" s="1694">
        <f>D240</f>
        <v>17022</v>
      </c>
      <c r="L240" s="481">
        <v>22484</v>
      </c>
    </row>
    <row r="241" spans="1:12" x14ac:dyDescent="0.2">
      <c r="A241" s="1526" t="s">
        <v>868</v>
      </c>
      <c r="B241" s="615">
        <v>2220</v>
      </c>
      <c r="C241" s="617"/>
      <c r="D241" s="466">
        <v>154265</v>
      </c>
      <c r="E241" s="617"/>
      <c r="F241" s="617"/>
      <c r="G241" s="617"/>
      <c r="H241" s="617"/>
      <c r="I241" s="617"/>
      <c r="J241" s="617"/>
      <c r="K241" s="1694">
        <f>D241</f>
        <v>154265</v>
      </c>
      <c r="L241" s="466">
        <v>105274</v>
      </c>
    </row>
    <row r="242" spans="1:12" x14ac:dyDescent="0.2">
      <c r="A242" s="1526" t="s">
        <v>869</v>
      </c>
      <c r="B242" s="615">
        <v>2230</v>
      </c>
      <c r="C242" s="617"/>
      <c r="D242" s="466">
        <v>20760</v>
      </c>
      <c r="E242" s="617"/>
      <c r="F242" s="617"/>
      <c r="G242" s="617"/>
      <c r="H242" s="617"/>
      <c r="I242" s="617"/>
      <c r="J242" s="617"/>
      <c r="K242" s="1694">
        <f>D242</f>
        <v>20760</v>
      </c>
      <c r="L242" s="466">
        <v>15297</v>
      </c>
    </row>
    <row r="243" spans="1:12" ht="12.75" customHeight="1" thickBot="1" x14ac:dyDescent="0.25">
      <c r="A243" s="1716" t="s">
        <v>581</v>
      </c>
      <c r="B243" s="1717">
        <v>2200</v>
      </c>
      <c r="C243" s="617"/>
      <c r="D243" s="1692">
        <f>SUM(D240:D242)</f>
        <v>192047</v>
      </c>
      <c r="E243" s="617"/>
      <c r="F243" s="617"/>
      <c r="G243" s="617"/>
      <c r="H243" s="617"/>
      <c r="I243" s="617"/>
      <c r="J243" s="617"/>
      <c r="K243" s="1692">
        <f>SUM(K240:K242)</f>
        <v>192047</v>
      </c>
      <c r="L243" s="1692">
        <f>SUM(L240:L242)</f>
        <v>143055</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21816</v>
      </c>
      <c r="E246" s="617"/>
      <c r="F246" s="617"/>
      <c r="G246" s="617"/>
      <c r="H246" s="617"/>
      <c r="I246" s="617"/>
      <c r="J246" s="617"/>
      <c r="K246" s="1694">
        <f t="shared" ref="K246:K256" si="21">D246</f>
        <v>21816</v>
      </c>
      <c r="L246" s="466">
        <v>16184</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1904</v>
      </c>
      <c r="B249" s="684" t="s">
        <v>299</v>
      </c>
      <c r="C249" s="617"/>
      <c r="D249" s="474"/>
      <c r="E249" s="617"/>
      <c r="F249" s="617"/>
      <c r="G249" s="617"/>
      <c r="H249" s="617"/>
      <c r="I249" s="617"/>
      <c r="J249" s="617"/>
      <c r="K249" s="1694">
        <f t="shared" si="21"/>
        <v>0</v>
      </c>
      <c r="L249" s="466"/>
    </row>
    <row r="250" spans="1:12" x14ac:dyDescent="0.2">
      <c r="A250" s="1527" t="s">
        <v>1905</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21816</v>
      </c>
      <c r="E257" s="617"/>
      <c r="F257" s="617"/>
      <c r="G257" s="617"/>
      <c r="H257" s="617"/>
      <c r="I257" s="617"/>
      <c r="J257" s="617"/>
      <c r="K257" s="1692">
        <f>SUM(K245:K256)</f>
        <v>21816</v>
      </c>
      <c r="L257" s="1692">
        <f>SUM(L245:L256)</f>
        <v>16184</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64216</v>
      </c>
      <c r="E259" s="617"/>
      <c r="F259" s="617"/>
      <c r="G259" s="617"/>
      <c r="H259" s="617"/>
      <c r="I259" s="617"/>
      <c r="J259" s="617"/>
      <c r="K259" s="1694">
        <f>D259</f>
        <v>64216</v>
      </c>
      <c r="L259" s="481">
        <v>58146</v>
      </c>
    </row>
    <row r="260" spans="1:14" s="598" customFormat="1" x14ac:dyDescent="0.2">
      <c r="A260" s="1544" t="s">
        <v>1903</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64216</v>
      </c>
      <c r="E261" s="617"/>
      <c r="F261" s="617"/>
      <c r="G261" s="617"/>
      <c r="H261" s="617"/>
      <c r="I261" s="617"/>
      <c r="J261" s="617"/>
      <c r="K261" s="1692">
        <f>SUM(K259:K260)</f>
        <v>64216</v>
      </c>
      <c r="L261" s="1692">
        <f>SUM(L259:L260)</f>
        <v>58146</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35811</v>
      </c>
      <c r="E263" s="617"/>
      <c r="F263" s="617"/>
      <c r="G263" s="617"/>
      <c r="H263" s="617"/>
      <c r="I263" s="617"/>
      <c r="J263" s="617"/>
      <c r="K263" s="1694">
        <f>D263</f>
        <v>35811</v>
      </c>
      <c r="L263" s="481">
        <v>34955</v>
      </c>
    </row>
    <row r="264" spans="1:14" x14ac:dyDescent="0.2">
      <c r="A264" s="1526" t="s">
        <v>482</v>
      </c>
      <c r="B264" s="686">
        <v>2520</v>
      </c>
      <c r="C264" s="617"/>
      <c r="D264" s="466">
        <v>73071</v>
      </c>
      <c r="E264" s="617"/>
      <c r="F264" s="617"/>
      <c r="G264" s="617"/>
      <c r="H264" s="617"/>
      <c r="I264" s="617"/>
      <c r="J264" s="617"/>
      <c r="K264" s="1694">
        <f t="shared" ref="K264:K269" si="22">D264</f>
        <v>73071</v>
      </c>
      <c r="L264" s="466">
        <v>72569</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784240</v>
      </c>
      <c r="E266" s="617"/>
      <c r="F266" s="617"/>
      <c r="G266" s="617"/>
      <c r="H266" s="617"/>
      <c r="I266" s="617"/>
      <c r="J266" s="617"/>
      <c r="K266" s="1694">
        <f t="shared" si="22"/>
        <v>784240</v>
      </c>
      <c r="L266" s="466">
        <v>664513</v>
      </c>
    </row>
    <row r="267" spans="1:14" x14ac:dyDescent="0.2">
      <c r="A267" s="1526" t="s">
        <v>1009</v>
      </c>
      <c r="B267" s="615">
        <v>2550</v>
      </c>
      <c r="C267" s="617"/>
      <c r="D267" s="466">
        <v>11092</v>
      </c>
      <c r="E267" s="617"/>
      <c r="F267" s="617"/>
      <c r="G267" s="617"/>
      <c r="H267" s="617"/>
      <c r="I267" s="617"/>
      <c r="J267" s="617"/>
      <c r="K267" s="1694">
        <f t="shared" si="22"/>
        <v>11092</v>
      </c>
      <c r="L267" s="466">
        <v>11140</v>
      </c>
    </row>
    <row r="268" spans="1:14" x14ac:dyDescent="0.2">
      <c r="A268" s="1526" t="s">
        <v>102</v>
      </c>
      <c r="B268" s="615">
        <v>2560</v>
      </c>
      <c r="C268" s="617"/>
      <c r="D268" s="466">
        <v>3487</v>
      </c>
      <c r="E268" s="617"/>
      <c r="F268" s="617"/>
      <c r="G268" s="617"/>
      <c r="H268" s="617"/>
      <c r="I268" s="617"/>
      <c r="J268" s="617"/>
      <c r="K268" s="1694">
        <f t="shared" si="22"/>
        <v>3487</v>
      </c>
      <c r="L268" s="466"/>
    </row>
    <row r="269" spans="1:14" x14ac:dyDescent="0.2">
      <c r="A269" s="1526" t="s">
        <v>103</v>
      </c>
      <c r="B269" s="615">
        <v>2570</v>
      </c>
      <c r="C269" s="617"/>
      <c r="D269" s="466">
        <v>6135</v>
      </c>
      <c r="E269" s="617"/>
      <c r="F269" s="617"/>
      <c r="G269" s="617"/>
      <c r="H269" s="617"/>
      <c r="I269" s="617"/>
      <c r="J269" s="617"/>
      <c r="K269" s="1694">
        <f t="shared" si="22"/>
        <v>6135</v>
      </c>
      <c r="L269" s="466">
        <v>6169</v>
      </c>
    </row>
    <row r="270" spans="1:14" ht="12.75" customHeight="1" thickBot="1" x14ac:dyDescent="0.25">
      <c r="A270" s="1690" t="s">
        <v>742</v>
      </c>
      <c r="B270" s="1697" t="s">
        <v>35</v>
      </c>
      <c r="C270" s="617"/>
      <c r="D270" s="1692">
        <f>SUM(D263:D269)</f>
        <v>913836</v>
      </c>
      <c r="E270" s="617"/>
      <c r="F270" s="617"/>
      <c r="G270" s="617"/>
      <c r="H270" s="617"/>
      <c r="I270" s="617"/>
      <c r="J270" s="617"/>
      <c r="K270" s="1692">
        <f>SUM(K263:K269)</f>
        <v>913836</v>
      </c>
      <c r="L270" s="1692">
        <f>SUM(L263:L269)</f>
        <v>789346</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v>15841</v>
      </c>
      <c r="E273" s="617"/>
      <c r="F273" s="617"/>
      <c r="G273" s="617"/>
      <c r="H273" s="617"/>
      <c r="I273" s="617"/>
      <c r="J273" s="617"/>
      <c r="K273" s="1694">
        <f>D273</f>
        <v>15841</v>
      </c>
      <c r="L273" s="466">
        <v>16929</v>
      </c>
    </row>
    <row r="274" spans="1:12" ht="12" customHeight="1" x14ac:dyDescent="0.2">
      <c r="A274" s="1526" t="s">
        <v>1120</v>
      </c>
      <c r="B274" s="615">
        <v>2630</v>
      </c>
      <c r="C274" s="617"/>
      <c r="D274" s="466">
        <v>35341</v>
      </c>
      <c r="E274" s="617"/>
      <c r="F274" s="617"/>
      <c r="G274" s="617"/>
      <c r="H274" s="617"/>
      <c r="I274" s="617"/>
      <c r="J274" s="617"/>
      <c r="K274" s="1694">
        <f>D274</f>
        <v>35341</v>
      </c>
      <c r="L274" s="466">
        <v>36852</v>
      </c>
    </row>
    <row r="275" spans="1:12" x14ac:dyDescent="0.2">
      <c r="A275" s="1526" t="s">
        <v>422</v>
      </c>
      <c r="B275" s="615">
        <v>2640</v>
      </c>
      <c r="C275" s="617"/>
      <c r="D275" s="466">
        <v>63050</v>
      </c>
      <c r="E275" s="617"/>
      <c r="F275" s="617"/>
      <c r="G275" s="617"/>
      <c r="H275" s="617"/>
      <c r="I275" s="617"/>
      <c r="J275" s="617"/>
      <c r="K275" s="1694">
        <f>D275</f>
        <v>63050</v>
      </c>
      <c r="L275" s="466">
        <v>66407</v>
      </c>
    </row>
    <row r="276" spans="1:12" x14ac:dyDescent="0.2">
      <c r="A276" s="1526" t="s">
        <v>423</v>
      </c>
      <c r="B276" s="615">
        <v>2660</v>
      </c>
      <c r="C276" s="617"/>
      <c r="D276" s="466">
        <v>37937</v>
      </c>
      <c r="E276" s="617"/>
      <c r="F276" s="617"/>
      <c r="G276" s="617"/>
      <c r="H276" s="617"/>
      <c r="I276" s="617"/>
      <c r="J276" s="617"/>
      <c r="K276" s="1694">
        <f>D276</f>
        <v>37937</v>
      </c>
      <c r="L276" s="466">
        <v>38009</v>
      </c>
    </row>
    <row r="277" spans="1:12" ht="12.75" customHeight="1" thickBot="1" x14ac:dyDescent="0.25">
      <c r="A277" s="1713" t="s">
        <v>37</v>
      </c>
      <c r="B277" s="1691" t="s">
        <v>36</v>
      </c>
      <c r="C277" s="617"/>
      <c r="D277" s="1692">
        <f>SUM(D272:D276)</f>
        <v>152169</v>
      </c>
      <c r="E277" s="617"/>
      <c r="F277" s="617"/>
      <c r="G277" s="617"/>
      <c r="H277" s="617"/>
      <c r="I277" s="617"/>
      <c r="J277" s="617"/>
      <c r="K277" s="1692">
        <f>SUM(K272:K276)</f>
        <v>152169</v>
      </c>
      <c r="L277" s="1692">
        <f>SUM(L272:L276)</f>
        <v>158197</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1614419</v>
      </c>
      <c r="E279" s="617"/>
      <c r="F279" s="617"/>
      <c r="G279" s="617"/>
      <c r="H279" s="617"/>
      <c r="I279" s="617"/>
      <c r="J279" s="617"/>
      <c r="K279" s="1699">
        <f>SUM(K238,K243,K257,K261,K270,K277,K278)</f>
        <v>1614419</v>
      </c>
      <c r="L279" s="1699">
        <f>SUM(L238,L243,L257,L261,L270,L277,L278)</f>
        <v>1422407</v>
      </c>
    </row>
    <row r="280" spans="1:12" ht="15.75" customHeight="1" thickTop="1" thickBot="1" x14ac:dyDescent="0.25">
      <c r="A280" s="1646" t="s">
        <v>929</v>
      </c>
      <c r="B280" s="1635">
        <v>3000</v>
      </c>
      <c r="C280" s="617"/>
      <c r="D280" s="576">
        <v>15963</v>
      </c>
      <c r="E280" s="617"/>
      <c r="F280" s="617"/>
      <c r="G280" s="617"/>
      <c r="H280" s="617"/>
      <c r="I280" s="617"/>
      <c r="J280" s="617"/>
      <c r="K280" s="1701">
        <f>D280</f>
        <v>15963</v>
      </c>
      <c r="L280" s="576">
        <v>21854</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1952</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2" t="s">
        <v>525</v>
      </c>
      <c r="B295" s="2193"/>
      <c r="C295" s="617"/>
      <c r="D295" s="1692">
        <f>SUM(D229,D279,D280,D285)</f>
        <v>3091067</v>
      </c>
      <c r="E295" s="617"/>
      <c r="F295" s="617"/>
      <c r="G295" s="617"/>
      <c r="H295" s="1692">
        <f>H293</f>
        <v>0</v>
      </c>
      <c r="I295" s="617"/>
      <c r="J295" s="617"/>
      <c r="K295" s="1692">
        <f>SUM(K229,K279,K280,K285,K293,K294)</f>
        <v>3091067</v>
      </c>
      <c r="L295" s="1692">
        <f>SUM(L229,L279,L280,L285,L293,L294)</f>
        <v>3149373</v>
      </c>
    </row>
    <row r="296" spans="1:14" ht="13.5" thickTop="1" x14ac:dyDescent="0.2">
      <c r="A296" s="2174" t="s">
        <v>1052</v>
      </c>
      <c r="B296" s="2175"/>
      <c r="C296" s="617"/>
      <c r="D296" s="619"/>
      <c r="E296" s="617"/>
      <c r="F296" s="617"/>
      <c r="G296" s="617"/>
      <c r="H296" s="688"/>
      <c r="I296" s="617"/>
      <c r="J296" s="617"/>
      <c r="K296" s="1706">
        <f>'Revenues 9-14'!G275-'Expenditures 15-22'!K295</f>
        <v>1151095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v>1810009</v>
      </c>
      <c r="F301" s="466"/>
      <c r="G301" s="466">
        <v>23887822</v>
      </c>
      <c r="H301" s="466"/>
      <c r="I301" s="467"/>
      <c r="J301" s="467"/>
      <c r="K301" s="1693">
        <f>SUM(C301:J301)</f>
        <v>25697831</v>
      </c>
      <c r="L301" s="467">
        <v>27294586</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1810009</v>
      </c>
      <c r="F303" s="1699">
        <f t="shared" si="23"/>
        <v>0</v>
      </c>
      <c r="G303" s="1699">
        <f t="shared" si="23"/>
        <v>23887822</v>
      </c>
      <c r="H303" s="1699">
        <f t="shared" si="23"/>
        <v>0</v>
      </c>
      <c r="I303" s="1699">
        <f t="shared" si="23"/>
        <v>0</v>
      </c>
      <c r="J303" s="1699">
        <f t="shared" si="23"/>
        <v>0</v>
      </c>
      <c r="K303" s="1699">
        <f t="shared" si="23"/>
        <v>25697831</v>
      </c>
      <c r="L303" s="1699">
        <f t="shared" si="23"/>
        <v>27294586</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1957</v>
      </c>
      <c r="B306" s="691" t="s">
        <v>1952</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9" t="s">
        <v>294</v>
      </c>
      <c r="B312" s="2190"/>
      <c r="C312" s="1692">
        <f>SUM(C303)</f>
        <v>0</v>
      </c>
      <c r="D312" s="1692">
        <f>SUM(D303)</f>
        <v>0</v>
      </c>
      <c r="E312" s="1692">
        <f>SUM(E303,E310)</f>
        <v>1810009</v>
      </c>
      <c r="F312" s="1692">
        <f>SUM(F303)</f>
        <v>0</v>
      </c>
      <c r="G312" s="1692">
        <f>SUM(G303)</f>
        <v>23887822</v>
      </c>
      <c r="H312" s="1692">
        <f>SUM(H303,H310)</f>
        <v>0</v>
      </c>
      <c r="I312" s="1692">
        <f>SUM(I303)</f>
        <v>0</v>
      </c>
      <c r="J312" s="1692">
        <f>SUM(J303)</f>
        <v>0</v>
      </c>
      <c r="K312" s="1692">
        <f>SUM(K303,K310,K311)</f>
        <v>25697831</v>
      </c>
      <c r="L312" s="1692">
        <f>SUM(L303,L310,L311)</f>
        <v>27294586</v>
      </c>
      <c r="M312" s="666"/>
      <c r="N312" s="666"/>
    </row>
    <row r="313" spans="1:14" ht="13.5" thickTop="1" x14ac:dyDescent="0.2">
      <c r="A313" s="2185" t="s">
        <v>1052</v>
      </c>
      <c r="B313" s="2186"/>
      <c r="C313" s="627"/>
      <c r="D313" s="627"/>
      <c r="E313" s="627"/>
      <c r="F313" s="627"/>
      <c r="G313" s="627"/>
      <c r="H313" s="627"/>
      <c r="I313" s="627"/>
      <c r="J313" s="627"/>
      <c r="K313" s="1707">
        <f>'Revenues 9-14'!H275-'Expenditures 15-22'!K312</f>
        <v>-24049954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953</v>
      </c>
      <c r="B317" s="2199"/>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299</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1958</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1952</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1954</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1959</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1052</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1022</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135447</v>
      </c>
      <c r="F349" s="466"/>
      <c r="G349" s="466">
        <v>1343315</v>
      </c>
      <c r="H349" s="466"/>
      <c r="I349" s="467"/>
      <c r="J349" s="467"/>
      <c r="K349" s="1693">
        <f>SUM(C349:J349)</f>
        <v>1478762</v>
      </c>
      <c r="L349" s="466">
        <v>1939876</v>
      </c>
    </row>
    <row r="350" spans="1:14" ht="12.75" customHeight="1" thickBot="1" x14ac:dyDescent="0.25">
      <c r="A350" s="1690" t="s">
        <v>742</v>
      </c>
      <c r="B350" s="1691" t="s">
        <v>35</v>
      </c>
      <c r="C350" s="1692">
        <f>SUM(C348:C349)</f>
        <v>0</v>
      </c>
      <c r="D350" s="1692">
        <f t="shared" ref="D350:L350" si="26">SUM(D348:D349)</f>
        <v>0</v>
      </c>
      <c r="E350" s="1692">
        <f t="shared" si="26"/>
        <v>135447</v>
      </c>
      <c r="F350" s="1692">
        <f t="shared" si="26"/>
        <v>0</v>
      </c>
      <c r="G350" s="1692">
        <f t="shared" si="26"/>
        <v>1343315</v>
      </c>
      <c r="H350" s="1692">
        <f t="shared" si="26"/>
        <v>0</v>
      </c>
      <c r="I350" s="1692">
        <f t="shared" si="26"/>
        <v>0</v>
      </c>
      <c r="J350" s="1692">
        <f t="shared" si="26"/>
        <v>0</v>
      </c>
      <c r="K350" s="1692">
        <f t="shared" si="26"/>
        <v>1478762</v>
      </c>
      <c r="L350" s="1692">
        <f t="shared" si="26"/>
        <v>1939876</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135447</v>
      </c>
      <c r="F352" s="1692">
        <f t="shared" si="27"/>
        <v>0</v>
      </c>
      <c r="G352" s="1692">
        <f t="shared" si="27"/>
        <v>1343315</v>
      </c>
      <c r="H352" s="1692">
        <f t="shared" si="27"/>
        <v>0</v>
      </c>
      <c r="I352" s="1692">
        <f t="shared" si="27"/>
        <v>0</v>
      </c>
      <c r="J352" s="1692">
        <f t="shared" si="27"/>
        <v>0</v>
      </c>
      <c r="K352" s="1692">
        <f t="shared" si="27"/>
        <v>1478762</v>
      </c>
      <c r="L352" s="1692">
        <f t="shared" si="27"/>
        <v>1939876</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1960</v>
      </c>
      <c r="B354" s="684" t="s">
        <v>1952</v>
      </c>
      <c r="C354" s="617"/>
      <c r="D354" s="617"/>
      <c r="E354" s="617"/>
      <c r="F354" s="617"/>
      <c r="G354" s="617"/>
      <c r="H354" s="474"/>
      <c r="I354" s="702"/>
      <c r="J354" s="617"/>
      <c r="K354" s="1721">
        <f>H354</f>
        <v>0</v>
      </c>
      <c r="L354" s="471"/>
    </row>
    <row r="355" spans="1:14" ht="12.75" customHeight="1" x14ac:dyDescent="0.2">
      <c r="A355" s="1535" t="s">
        <v>1961</v>
      </c>
      <c r="B355" s="691" t="s">
        <v>1954</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135447</v>
      </c>
      <c r="F367" s="1692">
        <f t="shared" si="28"/>
        <v>0</v>
      </c>
      <c r="G367" s="1692">
        <f t="shared" si="28"/>
        <v>1343315</v>
      </c>
      <c r="H367" s="1692">
        <f t="shared" si="28"/>
        <v>0</v>
      </c>
      <c r="I367" s="1692">
        <f t="shared" si="28"/>
        <v>0</v>
      </c>
      <c r="J367" s="1692">
        <f t="shared" si="28"/>
        <v>0</v>
      </c>
      <c r="K367" s="1692">
        <f t="shared" si="28"/>
        <v>1478762</v>
      </c>
      <c r="L367" s="1692">
        <f t="shared" si="28"/>
        <v>1939876</v>
      </c>
    </row>
    <row r="368" spans="1:14" ht="13.5" thickTop="1" x14ac:dyDescent="0.2">
      <c r="A368" s="2174" t="s">
        <v>1052</v>
      </c>
      <c r="B368" s="2175"/>
      <c r="C368" s="655"/>
      <c r="D368" s="655"/>
      <c r="E368" s="627"/>
      <c r="F368" s="627"/>
      <c r="G368" s="627"/>
      <c r="H368" s="627"/>
      <c r="I368" s="627"/>
      <c r="J368" s="624"/>
      <c r="K368" s="1693">
        <f>'Revenues 9-14'!K275-'Expenditures 15-22'!K367</f>
        <v>-1455397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4d435f69-8686-490b-bd6d-b153bf22ab50"/>
    <ds:schemaRef ds:uri="http://schemas.microsoft.com/office/2006/metadata/properties"/>
    <ds:schemaRef ds:uri="http://www.w3.org/XML/1998/namespace"/>
    <ds:schemaRef ds:uri="http://purl.org/dc/elements/1.1/"/>
    <ds:schemaRef ds:uri="http://schemas.microsoft.com/office/infopath/2007/PartnerControls"/>
    <ds:schemaRef ds:uri="6ce3111e-7420-4802-b50a-75d4e9a0b980"/>
    <ds:schemaRef ds:uri="http://schemas.openxmlformats.org/package/2006/metadata/core-properties"/>
    <ds:schemaRef ds:uri="http://schemas.microsoft.com/office/2006/documentManagement/types"/>
    <ds:schemaRef ds:uri="d21dc803-237d-4c68-8692-8d731fd29118"/>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2018-07-31T16:34:21Z</cp:lastPrinted>
  <dcterms:created xsi:type="dcterms:W3CDTF">2003-10-29T19:06:34Z</dcterms:created>
  <dcterms:modified xsi:type="dcterms:W3CDTF">2018-12-26T16:59:46Z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