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oncurrentCalc="0"/>
</workbook>
</file>

<file path=xl/calcChain.xml><?xml version="1.0" encoding="utf-8"?>
<calcChain xmlns="http://schemas.openxmlformats.org/spreadsheetml/2006/main">
  <c r="F17" i="181" l="1"/>
  <c r="I31" i="8"/>
  <c r="N21" i="3"/>
  <c r="J31" i="8"/>
  <c r="I32" i="8"/>
  <c r="J32" i="8"/>
  <c r="F5" i="11"/>
  <c r="M16" i="3"/>
  <c r="F8" i="11"/>
  <c r="M17" i="3"/>
  <c r="F10" i="11"/>
  <c r="M18" i="3"/>
  <c r="F12" i="11"/>
  <c r="M19" i="3"/>
  <c r="M23" i="3"/>
  <c r="M40" i="3"/>
  <c r="D27" i="3"/>
  <c r="K27" i="3"/>
  <c r="H27" i="3"/>
  <c r="D182" i="34"/>
  <c r="C12" i="5"/>
  <c r="C18" i="5"/>
  <c r="C40" i="5"/>
  <c r="C67" i="5"/>
  <c r="C75" i="5"/>
  <c r="C82" i="5"/>
  <c r="C93" i="5"/>
  <c r="C108" i="5"/>
  <c r="C109" i="5"/>
  <c r="C4" i="4"/>
  <c r="C121" i="5"/>
  <c r="C131" i="5"/>
  <c r="C144" i="5"/>
  <c r="C140" i="5"/>
  <c r="C154" i="5"/>
  <c r="C172" i="5"/>
  <c r="C173" i="5"/>
  <c r="C6" i="4"/>
  <c r="C201" i="5"/>
  <c r="C211" i="5"/>
  <c r="C191" i="5"/>
  <c r="C216" i="5"/>
  <c r="C224" i="5"/>
  <c r="C228" i="5"/>
  <c r="C259" i="5"/>
  <c r="C273" i="5"/>
  <c r="C178" i="5"/>
  <c r="C184" i="5"/>
  <c r="C274" i="5"/>
  <c r="C7" i="4"/>
  <c r="C114" i="5"/>
  <c r="C5" i="4"/>
  <c r="C8" i="4"/>
  <c r="B8" i="146"/>
  <c r="D12" i="5"/>
  <c r="D67" i="5"/>
  <c r="D108" i="5"/>
  <c r="D18" i="5"/>
  <c r="D82" i="5"/>
  <c r="D109" i="5"/>
  <c r="D4" i="4"/>
  <c r="D114" i="5"/>
  <c r="D5" i="4"/>
  <c r="D121" i="5"/>
  <c r="D131" i="5"/>
  <c r="D140" i="5"/>
  <c r="D154" i="5"/>
  <c r="D172" i="5"/>
  <c r="D173" i="5"/>
  <c r="D6" i="4"/>
  <c r="D178" i="5"/>
  <c r="D184" i="5"/>
  <c r="D191" i="5"/>
  <c r="D211" i="5"/>
  <c r="D216" i="5"/>
  <c r="D224" i="5"/>
  <c r="D228" i="5"/>
  <c r="D259" i="5"/>
  <c r="D273" i="5"/>
  <c r="D274" i="5"/>
  <c r="D7" i="4"/>
  <c r="D8" i="4"/>
  <c r="C8" i="146"/>
  <c r="F12" i="5"/>
  <c r="F18" i="5"/>
  <c r="F67" i="5"/>
  <c r="F63" i="5"/>
  <c r="F108" i="5"/>
  <c r="F109" i="5"/>
  <c r="F4" i="4"/>
  <c r="F154" i="5"/>
  <c r="F131" i="5"/>
  <c r="F172" i="5"/>
  <c r="F121" i="5"/>
  <c r="F173" i="5"/>
  <c r="F6" i="4"/>
  <c r="F114" i="5"/>
  <c r="F5" i="4"/>
  <c r="F178" i="5"/>
  <c r="F184" i="5"/>
  <c r="F191" i="5"/>
  <c r="F211" i="5"/>
  <c r="F216" i="5"/>
  <c r="F224" i="5"/>
  <c r="F259" i="5"/>
  <c r="F273" i="5"/>
  <c r="F274" i="5"/>
  <c r="F7" i="4"/>
  <c r="F8" i="4"/>
  <c r="D8" i="146"/>
  <c r="I12" i="5"/>
  <c r="I67" i="5"/>
  <c r="I18" i="5"/>
  <c r="I108" i="5"/>
  <c r="I109" i="5"/>
  <c r="I4" i="4"/>
  <c r="I172" i="5"/>
  <c r="I173" i="5"/>
  <c r="I6" i="4"/>
  <c r="I178" i="5"/>
  <c r="I274" i="5"/>
  <c r="I7" i="4"/>
  <c r="I8" i="4"/>
  <c r="E8" i="146"/>
  <c r="F8" i="146"/>
  <c r="K5" i="29"/>
  <c r="K7" i="29"/>
  <c r="K8" i="29"/>
  <c r="K9" i="29"/>
  <c r="K10" i="29"/>
  <c r="K14" i="29"/>
  <c r="K15" i="29"/>
  <c r="K16" i="29"/>
  <c r="K18" i="29"/>
  <c r="K6" i="29"/>
  <c r="K11" i="29"/>
  <c r="K12" i="29"/>
  <c r="K13" i="29"/>
  <c r="K17" i="29"/>
  <c r="K19" i="29"/>
  <c r="K20" i="29"/>
  <c r="K21" i="29"/>
  <c r="K22" i="29"/>
  <c r="K23" i="29"/>
  <c r="K24" i="29"/>
  <c r="K25" i="29"/>
  <c r="K26" i="29"/>
  <c r="K27" i="29"/>
  <c r="K28" i="29"/>
  <c r="K29" i="29"/>
  <c r="K30" i="29"/>
  <c r="K31" i="29"/>
  <c r="K32" i="29"/>
  <c r="K33" i="29"/>
  <c r="C12" i="4"/>
  <c r="K36" i="29"/>
  <c r="K38" i="29"/>
  <c r="K39" i="29"/>
  <c r="K40" i="29"/>
  <c r="K41" i="29"/>
  <c r="K37" i="29"/>
  <c r="K42" i="29"/>
  <c r="K44" i="29"/>
  <c r="K45" i="29"/>
  <c r="K46" i="29"/>
  <c r="K47" i="29"/>
  <c r="K49" i="29"/>
  <c r="K50" i="29"/>
  <c r="K51" i="29"/>
  <c r="K52" i="29"/>
  <c r="K53" i="29"/>
  <c r="K55" i="29"/>
  <c r="K56" i="29"/>
  <c r="K57" i="29"/>
  <c r="K59" i="29"/>
  <c r="K60" i="29"/>
  <c r="K63" i="29"/>
  <c r="K64" i="29"/>
  <c r="K61" i="29"/>
  <c r="K62" i="29"/>
  <c r="K65" i="29"/>
  <c r="K67" i="29"/>
  <c r="K69" i="29"/>
  <c r="K68" i="29"/>
  <c r="K70" i="29"/>
  <c r="K71" i="29"/>
  <c r="K72" i="29"/>
  <c r="K73" i="29"/>
  <c r="K74" i="29"/>
  <c r="C13" i="4"/>
  <c r="K79" i="29"/>
  <c r="K78" i="29"/>
  <c r="K80" i="29"/>
  <c r="K81" i="29"/>
  <c r="K82" i="29"/>
  <c r="K83" i="29"/>
  <c r="K84" i="29"/>
  <c r="H92" i="29"/>
  <c r="K92" i="29"/>
  <c r="K93" i="29"/>
  <c r="K94" i="29"/>
  <c r="K95" i="29"/>
  <c r="K96" i="29"/>
  <c r="K97" i="29"/>
  <c r="K98" i="29"/>
  <c r="K99" i="29"/>
  <c r="K100" i="29"/>
  <c r="K101" i="29"/>
  <c r="K102" i="29"/>
  <c r="C15" i="4"/>
  <c r="K75" i="29"/>
  <c r="C14" i="4"/>
  <c r="K105" i="29"/>
  <c r="K106" i="29"/>
  <c r="K107" i="29"/>
  <c r="K108" i="29"/>
  <c r="K109" i="29"/>
  <c r="K110" i="29"/>
  <c r="K111" i="29"/>
  <c r="K112" i="29"/>
  <c r="C16" i="4"/>
  <c r="C17" i="4"/>
  <c r="B9" i="146"/>
  <c r="K148" i="29"/>
  <c r="K142" i="29"/>
  <c r="K143" i="29"/>
  <c r="K144" i="29"/>
  <c r="K145" i="29"/>
  <c r="K146" i="29"/>
  <c r="K147" i="29"/>
  <c r="K149" i="29"/>
  <c r="D16" i="4"/>
  <c r="K124" i="29"/>
  <c r="K122" i="29"/>
  <c r="K123" i="29"/>
  <c r="K125" i="29"/>
  <c r="K126" i="29"/>
  <c r="K127" i="29"/>
  <c r="K120" i="29"/>
  <c r="K128" i="29"/>
  <c r="K129" i="29"/>
  <c r="D13" i="4"/>
  <c r="K130" i="29"/>
  <c r="D14" i="4"/>
  <c r="K133" i="29"/>
  <c r="K134" i="29"/>
  <c r="K135" i="29"/>
  <c r="K136" i="29"/>
  <c r="K137" i="29"/>
  <c r="K138" i="29"/>
  <c r="K139" i="29"/>
  <c r="D15" i="4"/>
  <c r="D17" i="4"/>
  <c r="C9" i="146"/>
  <c r="K182" i="29"/>
  <c r="K180" i="29"/>
  <c r="K183" i="29"/>
  <c r="K184" i="29"/>
  <c r="F13" i="4"/>
  <c r="K185" i="29"/>
  <c r="F14" i="4"/>
  <c r="K188" i="29"/>
  <c r="K189" i="29"/>
  <c r="K190" i="29"/>
  <c r="K191" i="29"/>
  <c r="K192" i="29"/>
  <c r="K193" i="29"/>
  <c r="K194" i="29"/>
  <c r="K195" i="29"/>
  <c r="K196" i="29"/>
  <c r="F15" i="4"/>
  <c r="K199" i="29"/>
  <c r="K200" i="29"/>
  <c r="K201" i="29"/>
  <c r="K202" i="29"/>
  <c r="K203" i="29"/>
  <c r="K204" i="29"/>
  <c r="K205" i="29"/>
  <c r="K206" i="29"/>
  <c r="K207" i="29"/>
  <c r="K208" i="29"/>
  <c r="F16" i="4"/>
  <c r="F17" i="4"/>
  <c r="D9" i="146"/>
  <c r="F9" i="146"/>
  <c r="F10" i="146"/>
  <c r="C20" i="4"/>
  <c r="C44" i="4"/>
  <c r="C76" i="4"/>
  <c r="C77" i="4"/>
  <c r="C78" i="4"/>
  <c r="C81" i="4"/>
  <c r="B11" i="146"/>
  <c r="D20" i="4"/>
  <c r="D44" i="4"/>
  <c r="D76" i="4"/>
  <c r="D77" i="4"/>
  <c r="D78" i="4"/>
  <c r="D81" i="4"/>
  <c r="C11" i="146"/>
  <c r="F20" i="4"/>
  <c r="F44" i="4"/>
  <c r="F76" i="4"/>
  <c r="F77" i="4"/>
  <c r="F78" i="4"/>
  <c r="F81" i="4"/>
  <c r="D11" i="146"/>
  <c r="I20" i="4"/>
  <c r="I44" i="4"/>
  <c r="I47" i="4"/>
  <c r="I48" i="4"/>
  <c r="I76" i="4"/>
  <c r="I77" i="4"/>
  <c r="I78" i="4"/>
  <c r="I81" i="4"/>
  <c r="E11" i="146"/>
  <c r="F11" i="146"/>
  <c r="D29" i="36"/>
  <c r="J24" i="2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11" i="182"/>
  <c r="J12" i="182"/>
  <c r="J13" i="182"/>
  <c r="J14" i="182"/>
  <c r="J15" i="182"/>
  <c r="J16" i="182"/>
  <c r="J17" i="182"/>
  <c r="J18" i="182"/>
  <c r="J19" i="182"/>
  <c r="J20" i="182"/>
  <c r="J21" i="182"/>
  <c r="J22" i="182"/>
  <c r="J23" i="182"/>
  <c r="J24" i="182"/>
  <c r="J34" i="182"/>
  <c r="I25" i="182"/>
  <c r="H25" i="182"/>
  <c r="I24" i="182"/>
  <c r="H24" i="182"/>
  <c r="I23" i="182"/>
  <c r="H23" i="182"/>
  <c r="I22" i="182"/>
  <c r="H22" i="182"/>
  <c r="I21" i="182"/>
  <c r="H21" i="182"/>
  <c r="I20" i="182"/>
  <c r="H20" i="182"/>
  <c r="I19" i="182"/>
  <c r="H19" i="182"/>
  <c r="I18" i="182"/>
  <c r="H18" i="182"/>
  <c r="I17" i="182"/>
  <c r="H17" i="182"/>
  <c r="I16" i="182"/>
  <c r="H16" i="182"/>
  <c r="I15" i="182"/>
  <c r="H15" i="182"/>
  <c r="I14" i="182"/>
  <c r="H14" i="182"/>
  <c r="I13" i="182"/>
  <c r="H13" i="182"/>
  <c r="I12" i="182"/>
  <c r="I11" i="182"/>
  <c r="I34" i="182"/>
  <c r="H12" i="182"/>
  <c r="H11" i="182"/>
  <c r="H34" i="182"/>
  <c r="K34" i="182"/>
  <c r="D81" i="36"/>
  <c r="E178" i="5"/>
  <c r="E259" i="5"/>
  <c r="E273" i="5"/>
  <c r="E274" i="5"/>
  <c r="E7" i="4"/>
  <c r="G178" i="5"/>
  <c r="G184" i="5"/>
  <c r="G191" i="5"/>
  <c r="G201" i="5"/>
  <c r="G211" i="5"/>
  <c r="G216" i="5"/>
  <c r="G224" i="5"/>
  <c r="G228" i="5"/>
  <c r="G259" i="5"/>
  <c r="G273" i="5"/>
  <c r="G274" i="5"/>
  <c r="G7" i="4"/>
  <c r="H178" i="5"/>
  <c r="H184" i="5"/>
  <c r="H259" i="5"/>
  <c r="H273" i="5"/>
  <c r="H274" i="5"/>
  <c r="H7" i="4"/>
  <c r="J178" i="5"/>
  <c r="J259" i="5"/>
  <c r="J273" i="5"/>
  <c r="J274" i="5"/>
  <c r="J7" i="4"/>
  <c r="K178" i="5"/>
  <c r="K184" i="5"/>
  <c r="K259" i="5"/>
  <c r="K273" i="5"/>
  <c r="K274" i="5"/>
  <c r="K7" i="4"/>
  <c r="D10" i="171"/>
  <c r="K114" i="29"/>
  <c r="F8" i="34"/>
  <c r="K322" i="29"/>
  <c r="K328" i="29"/>
  <c r="K325" i="29"/>
  <c r="K319" i="29"/>
  <c r="K320" i="29"/>
  <c r="K321" i="29"/>
  <c r="K323" i="29"/>
  <c r="K324" i="29"/>
  <c r="K326" i="29"/>
  <c r="K327" i="29"/>
  <c r="K329" i="29"/>
  <c r="K330" i="29"/>
  <c r="K332" i="29"/>
  <c r="K333" i="29"/>
  <c r="K334" i="29"/>
  <c r="K337" i="29"/>
  <c r="K338" i="29"/>
  <c r="K339" i="29"/>
  <c r="K340" i="29"/>
  <c r="K342" i="29"/>
  <c r="F13" i="34"/>
  <c r="K151" i="29"/>
  <c r="F9" i="34"/>
  <c r="K170" i="29"/>
  <c r="K169" i="29"/>
  <c r="K163" i="29"/>
  <c r="K164" i="29"/>
  <c r="K165" i="29"/>
  <c r="K166" i="29"/>
  <c r="K167" i="29"/>
  <c r="K168" i="29"/>
  <c r="K171" i="29"/>
  <c r="K172" i="29"/>
  <c r="K157" i="29"/>
  <c r="K158" i="29"/>
  <c r="K159" i="29"/>
  <c r="K160" i="29"/>
  <c r="K174" i="29"/>
  <c r="F10" i="34"/>
  <c r="K215" i="29"/>
  <c r="K216" i="29"/>
  <c r="K217" i="29"/>
  <c r="K219" i="29"/>
  <c r="K223" i="29"/>
  <c r="K224" i="29"/>
  <c r="K225" i="29"/>
  <c r="K227" i="29"/>
  <c r="K218" i="29"/>
  <c r="K220" i="29"/>
  <c r="K221" i="29"/>
  <c r="K222" i="29"/>
  <c r="K226" i="29"/>
  <c r="K228" i="29"/>
  <c r="K229" i="29"/>
  <c r="K232" i="29"/>
  <c r="K234" i="29"/>
  <c r="K235" i="29"/>
  <c r="K236" i="29"/>
  <c r="K237" i="29"/>
  <c r="K233" i="29"/>
  <c r="K238" i="29"/>
  <c r="K240" i="29"/>
  <c r="K241" i="29"/>
  <c r="K242" i="29"/>
  <c r="K243" i="29"/>
  <c r="K246" i="29"/>
  <c r="K245" i="29"/>
  <c r="K247" i="29"/>
  <c r="K248" i="29"/>
  <c r="K249" i="29"/>
  <c r="K250" i="29"/>
  <c r="K251" i="29"/>
  <c r="K252" i="29"/>
  <c r="K253" i="29"/>
  <c r="K254" i="29"/>
  <c r="K255" i="29"/>
  <c r="K256" i="29"/>
  <c r="K257" i="29"/>
  <c r="K259" i="29"/>
  <c r="K260" i="29"/>
  <c r="K261" i="29"/>
  <c r="K263" i="29"/>
  <c r="K264" i="29"/>
  <c r="K266" i="29"/>
  <c r="K268" i="29"/>
  <c r="K265" i="29"/>
  <c r="K267" i="29"/>
  <c r="K269" i="29"/>
  <c r="K270" i="29"/>
  <c r="K272" i="29"/>
  <c r="K274" i="29"/>
  <c r="K273" i="29"/>
  <c r="K275" i="29"/>
  <c r="K276" i="29"/>
  <c r="K277" i="29"/>
  <c r="K278" i="29"/>
  <c r="K279" i="29"/>
  <c r="K280" i="29"/>
  <c r="K282" i="29"/>
  <c r="K283" i="29"/>
  <c r="K284" i="29"/>
  <c r="K285" i="29"/>
  <c r="K288" i="29"/>
  <c r="K289" i="29"/>
  <c r="K290" i="29"/>
  <c r="K291" i="29"/>
  <c r="K292" i="29"/>
  <c r="K293" i="29"/>
  <c r="K295" i="29"/>
  <c r="F12" i="34"/>
  <c r="K210" i="29"/>
  <c r="F11" i="34"/>
  <c r="F14" i="34"/>
  <c r="G33" i="29"/>
  <c r="G42" i="29"/>
  <c r="G47" i="29"/>
  <c r="G53" i="29"/>
  <c r="G57" i="29"/>
  <c r="G65" i="29"/>
  <c r="G72" i="29"/>
  <c r="G74" i="29"/>
  <c r="G114" i="29"/>
  <c r="F54" i="34"/>
  <c r="I33" i="29"/>
  <c r="I65" i="29"/>
  <c r="I42" i="29"/>
  <c r="I47" i="29"/>
  <c r="I53" i="29"/>
  <c r="I57" i="29"/>
  <c r="I72" i="29"/>
  <c r="I74" i="29"/>
  <c r="I114" i="29"/>
  <c r="F55" i="34"/>
  <c r="F34" i="34"/>
  <c r="F35" i="34"/>
  <c r="F38" i="34"/>
  <c r="F53" i="34"/>
  <c r="F61" i="34"/>
  <c r="F67" i="34"/>
  <c r="F71" i="34"/>
  <c r="G127" i="29"/>
  <c r="G129" i="29"/>
  <c r="G151" i="29"/>
  <c r="F58" i="34"/>
  <c r="I127" i="29"/>
  <c r="I129" i="29"/>
  <c r="I151" i="29"/>
  <c r="F59" i="34"/>
  <c r="F18" i="34"/>
  <c r="F19" i="34"/>
  <c r="F20" i="34"/>
  <c r="F21" i="34"/>
  <c r="F22" i="34"/>
  <c r="F23" i="34"/>
  <c r="F24" i="34"/>
  <c r="F25" i="34"/>
  <c r="F26" i="34"/>
  <c r="F27" i="34"/>
  <c r="F28" i="34"/>
  <c r="F149" i="34"/>
  <c r="F29" i="34"/>
  <c r="F30" i="34"/>
  <c r="F31" i="34"/>
  <c r="F32" i="34"/>
  <c r="F33" i="34"/>
  <c r="F36" i="34"/>
  <c r="F37" i="34"/>
  <c r="F39" i="34"/>
  <c r="F40" i="34"/>
  <c r="F41" i="34"/>
  <c r="F42" i="34"/>
  <c r="F43" i="34"/>
  <c r="F44" i="34"/>
  <c r="F45" i="34"/>
  <c r="F46" i="34"/>
  <c r="F47" i="34"/>
  <c r="F48" i="34"/>
  <c r="F49" i="34"/>
  <c r="F50" i="34"/>
  <c r="F51" i="34"/>
  <c r="F52" i="34"/>
  <c r="F56" i="34"/>
  <c r="F57" i="34"/>
  <c r="F60" i="34"/>
  <c r="F62" i="34"/>
  <c r="F63" i="34"/>
  <c r="F64" i="34"/>
  <c r="G184" i="29"/>
  <c r="G210" i="29"/>
  <c r="F65" i="34"/>
  <c r="I184" i="29"/>
  <c r="I210" i="29"/>
  <c r="F66" i="34"/>
  <c r="F68" i="34"/>
  <c r="F69" i="34"/>
  <c r="F70" i="34"/>
  <c r="F72" i="34"/>
  <c r="F73" i="34"/>
  <c r="F74" i="34"/>
  <c r="F76" i="34"/>
  <c r="F77" i="34"/>
  <c r="F79" i="34"/>
  <c r="J15" i="4"/>
  <c r="B7796" i="106"/>
  <c r="K356" i="29"/>
  <c r="K355" i="29"/>
  <c r="B7794" i="106"/>
  <c r="K354" i="29"/>
  <c r="H357" i="29"/>
  <c r="L334" i="29"/>
  <c r="B7788" i="106"/>
  <c r="H334" i="29"/>
  <c r="B7789" i="106"/>
  <c r="B7784" i="106"/>
  <c r="H160" i="29"/>
  <c r="B7780" i="106"/>
  <c r="B7795" i="106"/>
  <c r="B7776" i="106"/>
  <c r="B7793" i="106"/>
  <c r="B7791" i="106"/>
  <c r="B7787" i="106"/>
  <c r="B7786" i="106"/>
  <c r="B7785" i="106"/>
  <c r="B7783" i="106"/>
  <c r="B7782" i="106"/>
  <c r="B7781" i="106"/>
  <c r="B7779" i="106"/>
  <c r="B7778" i="106"/>
  <c r="B7777" i="106"/>
  <c r="B7775" i="106"/>
  <c r="B7774" i="106"/>
  <c r="K357" i="29"/>
  <c r="B7792" i="106"/>
  <c r="K15" i="4"/>
  <c r="B7790" i="106"/>
  <c r="G350" i="29"/>
  <c r="G352" i="29"/>
  <c r="G367" i="29"/>
  <c r="F350" i="29"/>
  <c r="F352" i="29"/>
  <c r="F367" i="29"/>
  <c r="E350" i="29"/>
  <c r="E352" i="29"/>
  <c r="E367" i="29"/>
  <c r="D350" i="29"/>
  <c r="D352" i="29"/>
  <c r="D367" i="29"/>
  <c r="C350" i="29"/>
  <c r="C352" i="29"/>
  <c r="C367" i="29"/>
  <c r="L350" i="29"/>
  <c r="L352" i="29"/>
  <c r="L357" i="29"/>
  <c r="L362" i="29"/>
  <c r="L365" i="29"/>
  <c r="L367" i="29"/>
  <c r="J350" i="29"/>
  <c r="J352" i="29"/>
  <c r="J367" i="29"/>
  <c r="I350" i="29"/>
  <c r="I352" i="29"/>
  <c r="I367" i="29"/>
  <c r="L285" i="29"/>
  <c r="D285" i="29"/>
  <c r="D229" i="29"/>
  <c r="D238" i="29"/>
  <c r="D243" i="29"/>
  <c r="D257" i="29"/>
  <c r="D261" i="29"/>
  <c r="D270" i="29"/>
  <c r="D277" i="29"/>
  <c r="D279" i="29"/>
  <c r="D295" i="29"/>
  <c r="L160" i="29"/>
  <c r="L137" i="29"/>
  <c r="H137" i="29"/>
  <c r="E137" i="29"/>
  <c r="E139" i="29"/>
  <c r="E15" i="4"/>
  <c r="F139" i="181"/>
  <c r="G139" i="181"/>
  <c r="E139" i="181"/>
  <c r="F138" i="181"/>
  <c r="G138" i="181"/>
  <c r="E138" i="181"/>
  <c r="F137" i="181"/>
  <c r="G137" i="181"/>
  <c r="E137" i="181"/>
  <c r="F136" i="181"/>
  <c r="G136" i="181"/>
  <c r="E136" i="181"/>
  <c r="F135" i="181"/>
  <c r="G135" i="181"/>
  <c r="E135" i="181"/>
  <c r="F134" i="181"/>
  <c r="G134" i="181"/>
  <c r="E134" i="181"/>
  <c r="F133" i="181"/>
  <c r="G133" i="181"/>
  <c r="E133" i="181"/>
  <c r="E132" i="181"/>
  <c r="F132" i="181"/>
  <c r="G132" i="181"/>
  <c r="F131" i="181"/>
  <c r="G131" i="181"/>
  <c r="E131" i="181"/>
  <c r="F130" i="181"/>
  <c r="G130" i="181"/>
  <c r="E130" i="181"/>
  <c r="F129" i="181"/>
  <c r="G129" i="181"/>
  <c r="E129" i="181"/>
  <c r="F128" i="181"/>
  <c r="G128" i="181"/>
  <c r="E128" i="181"/>
  <c r="E127" i="181"/>
  <c r="F127" i="181"/>
  <c r="G127" i="181"/>
  <c r="F126" i="181"/>
  <c r="G126" i="181"/>
  <c r="E126" i="181"/>
  <c r="F125" i="181"/>
  <c r="G125" i="181"/>
  <c r="E125" i="181"/>
  <c r="F124" i="181"/>
  <c r="G124" i="181"/>
  <c r="E124" i="181"/>
  <c r="E123" i="181"/>
  <c r="F123" i="181"/>
  <c r="G123" i="181"/>
  <c r="F122" i="181"/>
  <c r="G122" i="181"/>
  <c r="E122" i="181"/>
  <c r="F121" i="181"/>
  <c r="G121" i="181"/>
  <c r="E121" i="181"/>
  <c r="F120" i="181"/>
  <c r="G120" i="181"/>
  <c r="E120" i="181"/>
  <c r="F119" i="181"/>
  <c r="G119" i="181"/>
  <c r="E119" i="181"/>
  <c r="F118" i="181"/>
  <c r="G118" i="181"/>
  <c r="E118" i="181"/>
  <c r="F117" i="181"/>
  <c r="G117" i="181"/>
  <c r="E117" i="181"/>
  <c r="F116" i="181"/>
  <c r="G116" i="181"/>
  <c r="E116" i="181"/>
  <c r="F115" i="181"/>
  <c r="G115" i="181"/>
  <c r="E115" i="181"/>
  <c r="E114" i="181"/>
  <c r="F114" i="181"/>
  <c r="G114" i="181"/>
  <c r="F113" i="181"/>
  <c r="G113" i="181"/>
  <c r="E113" i="181"/>
  <c r="F112" i="181"/>
  <c r="G112" i="181"/>
  <c r="E112" i="181"/>
  <c r="F111" i="181"/>
  <c r="G111" i="181"/>
  <c r="E111" i="181"/>
  <c r="E110" i="181"/>
  <c r="F110" i="181"/>
  <c r="G110" i="181"/>
  <c r="F109" i="181"/>
  <c r="G109" i="181"/>
  <c r="E109" i="181"/>
  <c r="F108" i="181"/>
  <c r="G108" i="181"/>
  <c r="E108" i="181"/>
  <c r="F107" i="181"/>
  <c r="G107" i="181"/>
  <c r="E107" i="181"/>
  <c r="F106" i="181"/>
  <c r="G106" i="181"/>
  <c r="E106" i="181"/>
  <c r="F105" i="181"/>
  <c r="G105" i="181"/>
  <c r="E105" i="181"/>
  <c r="F104" i="181"/>
  <c r="G104" i="181"/>
  <c r="E104" i="181"/>
  <c r="F99" i="181"/>
  <c r="G99" i="181"/>
  <c r="E99" i="181"/>
  <c r="F103" i="181"/>
  <c r="G103" i="181"/>
  <c r="E103" i="181"/>
  <c r="E102" i="181"/>
  <c r="F102" i="181"/>
  <c r="G102" i="181"/>
  <c r="F101" i="181"/>
  <c r="G101" i="181"/>
  <c r="E101" i="181"/>
  <c r="E100" i="181"/>
  <c r="F100" i="181"/>
  <c r="G100" i="181"/>
  <c r="F98" i="181"/>
  <c r="G98" i="181"/>
  <c r="E98" i="181"/>
  <c r="E97" i="181"/>
  <c r="F97" i="181"/>
  <c r="G97" i="181"/>
  <c r="F96" i="181"/>
  <c r="G96" i="181"/>
  <c r="E96" i="181"/>
  <c r="E95" i="181"/>
  <c r="F95" i="181"/>
  <c r="G95" i="181"/>
  <c r="F93" i="181"/>
  <c r="G93" i="181"/>
  <c r="E93" i="181"/>
  <c r="F92" i="181"/>
  <c r="G92" i="181"/>
  <c r="E92" i="181"/>
  <c r="E91" i="181"/>
  <c r="F91" i="181"/>
  <c r="G91" i="181"/>
  <c r="F90" i="181"/>
  <c r="G90" i="181"/>
  <c r="E90" i="181"/>
  <c r="F89" i="181"/>
  <c r="G89" i="181"/>
  <c r="E89" i="181"/>
  <c r="E88" i="181"/>
  <c r="F88" i="181"/>
  <c r="G88" i="181"/>
  <c r="F87" i="181"/>
  <c r="G87" i="181"/>
  <c r="E87" i="181"/>
  <c r="E86" i="181"/>
  <c r="F86" i="181"/>
  <c r="G86" i="181"/>
  <c r="F84" i="181"/>
  <c r="G84" i="181"/>
  <c r="E84" i="181"/>
  <c r="F83" i="181"/>
  <c r="G83" i="181"/>
  <c r="E83" i="181"/>
  <c r="F82" i="181"/>
  <c r="G82" i="181"/>
  <c r="E82" i="181"/>
  <c r="F81" i="181"/>
  <c r="G81" i="181"/>
  <c r="E81" i="181"/>
  <c r="F80" i="181"/>
  <c r="G80" i="181"/>
  <c r="E80" i="181"/>
  <c r="F79" i="181"/>
  <c r="G79" i="181"/>
  <c r="E79" i="181"/>
  <c r="F78" i="181"/>
  <c r="G78" i="181"/>
  <c r="E78" i="181"/>
  <c r="F77" i="181"/>
  <c r="G77" i="181"/>
  <c r="E77" i="181"/>
  <c r="F76" i="181"/>
  <c r="G76" i="181"/>
  <c r="E76" i="181"/>
  <c r="E75" i="181"/>
  <c r="F75" i="181"/>
  <c r="G75" i="181"/>
  <c r="F74" i="181"/>
  <c r="G74" i="181"/>
  <c r="E74" i="181"/>
  <c r="F73" i="181"/>
  <c r="G73" i="181"/>
  <c r="E73" i="181"/>
  <c r="F140" i="181"/>
  <c r="G140" i="181"/>
  <c r="E140" i="181"/>
  <c r="F94" i="181"/>
  <c r="G94" i="181"/>
  <c r="E94" i="181"/>
  <c r="F85" i="181"/>
  <c r="G85" i="181"/>
  <c r="E85" i="181"/>
  <c r="E72" i="181"/>
  <c r="F72" i="181"/>
  <c r="G72" i="181"/>
  <c r="F71" i="181"/>
  <c r="G71" i="181"/>
  <c r="E71" i="181"/>
  <c r="F70" i="181"/>
  <c r="G70" i="181"/>
  <c r="E70" i="181"/>
  <c r="F69" i="181"/>
  <c r="G69" i="181"/>
  <c r="E69" i="181"/>
  <c r="F68" i="181"/>
  <c r="G68" i="181"/>
  <c r="E68" i="181"/>
  <c r="F67" i="181"/>
  <c r="G67" i="181"/>
  <c r="E67" i="181"/>
  <c r="F66" i="181"/>
  <c r="G66" i="181"/>
  <c r="E66" i="181"/>
  <c r="E65" i="181"/>
  <c r="F65" i="181"/>
  <c r="G65" i="181"/>
  <c r="E64" i="181"/>
  <c r="F64" i="181"/>
  <c r="G64" i="181"/>
  <c r="F63" i="181"/>
  <c r="G63" i="181"/>
  <c r="E63" i="181"/>
  <c r="F62" i="181"/>
  <c r="G62" i="181"/>
  <c r="E62" i="181"/>
  <c r="F61" i="181"/>
  <c r="G61" i="181"/>
  <c r="E61" i="181"/>
  <c r="E60" i="181"/>
  <c r="F60" i="181"/>
  <c r="G60" i="181"/>
  <c r="F59" i="181"/>
  <c r="G59" i="181"/>
  <c r="E59" i="181"/>
  <c r="E58" i="181"/>
  <c r="F58" i="181"/>
  <c r="G58" i="181"/>
  <c r="F57" i="181"/>
  <c r="G57" i="181"/>
  <c r="E57" i="181"/>
  <c r="E56" i="181"/>
  <c r="F56" i="181"/>
  <c r="G56" i="181"/>
  <c r="F55" i="181"/>
  <c r="G55" i="181"/>
  <c r="E55" i="181"/>
  <c r="E54" i="181"/>
  <c r="F54" i="181"/>
  <c r="G54" i="181"/>
  <c r="F53" i="181"/>
  <c r="G53" i="181"/>
  <c r="E53" i="181"/>
  <c r="F52" i="181"/>
  <c r="G52" i="181"/>
  <c r="E52" i="181"/>
  <c r="F51" i="181"/>
  <c r="G51" i="181"/>
  <c r="E51" i="181"/>
  <c r="F50" i="181"/>
  <c r="G50" i="181"/>
  <c r="E50" i="181"/>
  <c r="F49" i="181"/>
  <c r="G49" i="181"/>
  <c r="E49" i="181"/>
  <c r="E48" i="181"/>
  <c r="F48" i="181"/>
  <c r="G48" i="181"/>
  <c r="F47" i="181"/>
  <c r="G47" i="181"/>
  <c r="E47" i="181"/>
  <c r="F46" i="181"/>
  <c r="G46" i="181"/>
  <c r="E46" i="181"/>
  <c r="F45" i="181"/>
  <c r="G45" i="181"/>
  <c r="E45" i="181"/>
  <c r="F44" i="181"/>
  <c r="G44" i="181"/>
  <c r="E44" i="181"/>
  <c r="E43" i="181"/>
  <c r="F43" i="181"/>
  <c r="G43" i="181"/>
  <c r="E42" i="181"/>
  <c r="F42" i="181"/>
  <c r="G42" i="181"/>
  <c r="F41" i="181"/>
  <c r="G41" i="181"/>
  <c r="E41" i="181"/>
  <c r="F40" i="181"/>
  <c r="G40" i="181"/>
  <c r="E40" i="181"/>
  <c r="F39" i="181"/>
  <c r="G39" i="181"/>
  <c r="E39" i="181"/>
  <c r="E38" i="181"/>
  <c r="F38" i="181"/>
  <c r="G38" i="181"/>
  <c r="F37" i="181"/>
  <c r="G37" i="181"/>
  <c r="E37" i="181"/>
  <c r="E36" i="181"/>
  <c r="F36" i="181"/>
  <c r="G36" i="181"/>
  <c r="E35" i="181"/>
  <c r="F35" i="181"/>
  <c r="G35" i="181"/>
  <c r="F34" i="181"/>
  <c r="G34" i="181"/>
  <c r="E34" i="181"/>
  <c r="E33" i="181"/>
  <c r="F33" i="181"/>
  <c r="G33" i="181"/>
  <c r="F32" i="181"/>
  <c r="G32" i="181"/>
  <c r="E32" i="181"/>
  <c r="F31" i="181"/>
  <c r="G31" i="181"/>
  <c r="E31" i="181"/>
  <c r="F30" i="181"/>
  <c r="G30" i="181"/>
  <c r="E30" i="181"/>
  <c r="E29" i="181"/>
  <c r="F29" i="181"/>
  <c r="G29" i="181"/>
  <c r="F28" i="181"/>
  <c r="G28" i="181"/>
  <c r="E28" i="181"/>
  <c r="E27" i="181"/>
  <c r="F27" i="181"/>
  <c r="G27" i="181"/>
  <c r="F26" i="181"/>
  <c r="G26" i="181"/>
  <c r="E26" i="181"/>
  <c r="E25" i="181"/>
  <c r="F25" i="181"/>
  <c r="G25" i="181"/>
  <c r="F24" i="181"/>
  <c r="G24" i="181"/>
  <c r="E24" i="181"/>
  <c r="F23" i="181"/>
  <c r="G23" i="181"/>
  <c r="E23" i="181"/>
  <c r="F22" i="181"/>
  <c r="G22" i="181"/>
  <c r="E22" i="181"/>
  <c r="F21" i="181"/>
  <c r="G21" i="181"/>
  <c r="E21" i="181"/>
  <c r="F20" i="181"/>
  <c r="G20" i="181"/>
  <c r="E20" i="181"/>
  <c r="E19" i="181"/>
  <c r="F19" i="181"/>
  <c r="G19" i="181"/>
  <c r="F18" i="181"/>
  <c r="G18" i="181"/>
  <c r="E18" i="181"/>
  <c r="D141" i="181"/>
  <c r="D80" i="36"/>
  <c r="B7797" i="106"/>
  <c r="E141" i="181"/>
  <c r="E17" i="181"/>
  <c r="E16" i="181"/>
  <c r="F16" i="181"/>
  <c r="G16" i="181"/>
  <c r="G17" i="181"/>
  <c r="G141" i="181"/>
  <c r="G40" i="108"/>
  <c r="G19" i="108"/>
  <c r="G21" i="108"/>
  <c r="G22" i="108"/>
  <c r="G330" i="29"/>
  <c r="I330" i="29"/>
  <c r="G23" i="108"/>
  <c r="G24" i="108"/>
  <c r="G26" i="108"/>
  <c r="G27" i="108"/>
  <c r="G28" i="108"/>
  <c r="G29" i="108"/>
  <c r="G30" i="108"/>
  <c r="G31" i="108"/>
  <c r="G33" i="108"/>
  <c r="G34" i="108"/>
  <c r="G35" i="108"/>
  <c r="G36" i="108"/>
  <c r="G37" i="108"/>
  <c r="G38" i="108"/>
  <c r="G39" i="108"/>
  <c r="G41" i="108"/>
  <c r="B7799" i="106"/>
  <c r="F141" i="181"/>
  <c r="B7798" i="106"/>
  <c r="E40" i="108"/>
  <c r="E19" i="108"/>
  <c r="E21" i="108"/>
  <c r="E22" i="108"/>
  <c r="E23" i="108"/>
  <c r="E24" i="108"/>
  <c r="E26" i="108"/>
  <c r="E27" i="108"/>
  <c r="E28" i="108"/>
  <c r="E29" i="108"/>
  <c r="E30" i="108"/>
  <c r="E31" i="108"/>
  <c r="E33" i="108"/>
  <c r="E34" i="108"/>
  <c r="E35" i="108"/>
  <c r="E36" i="108"/>
  <c r="E37" i="108"/>
  <c r="E38" i="108"/>
  <c r="E39" i="108"/>
  <c r="E41" i="108"/>
  <c r="F4" i="7"/>
  <c r="F5" i="7"/>
  <c r="F6" i="7"/>
  <c r="F7" i="7"/>
  <c r="F8" i="7"/>
  <c r="F9" i="7"/>
  <c r="F10" i="7"/>
  <c r="F11" i="7"/>
  <c r="F12" i="7"/>
  <c r="F13" i="7"/>
  <c r="F14" i="7"/>
  <c r="F15" i="7"/>
  <c r="F16" i="7"/>
  <c r="F17" i="7"/>
  <c r="F18" i="7"/>
  <c r="F19" i="7"/>
  <c r="B1807" i="106"/>
  <c r="B4" i="179"/>
  <c r="D17" i="171"/>
  <c r="E7" i="169"/>
  <c r="B2" i="179"/>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A7" i="169"/>
  <c r="B4" i="177"/>
  <c r="B4" i="176"/>
  <c r="B4" i="175"/>
  <c r="G43" i="174"/>
  <c r="D47" i="174"/>
  <c r="B4" i="174"/>
  <c r="B2" i="174"/>
  <c r="E34" i="173"/>
  <c r="A4" i="173"/>
  <c r="A2"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A2" i="170"/>
  <c r="B2" i="177"/>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B7766" i="106"/>
  <c r="B7765" i="106"/>
  <c r="B7764" i="106"/>
  <c r="J85" i="28"/>
  <c r="B7758" i="106"/>
  <c r="D7758" i="106"/>
  <c r="J88" i="28"/>
  <c r="B7763" i="106"/>
  <c r="B7762" i="106"/>
  <c r="K12" i="12"/>
  <c r="K23" i="12"/>
  <c r="K24" i="12"/>
  <c r="B7733" i="106"/>
  <c r="J12" i="12"/>
  <c r="J21" i="12"/>
  <c r="J23" i="12"/>
  <c r="B7729" i="106"/>
  <c r="B7734" i="106"/>
  <c r="B7726" i="106"/>
  <c r="D76" i="36"/>
  <c r="F162" i="34"/>
  <c r="B30" i="36"/>
  <c r="B33" i="36"/>
  <c r="B43" i="36"/>
  <c r="B56" i="36"/>
  <c r="B66" i="36"/>
  <c r="B70" i="36"/>
  <c r="B74" i="36"/>
  <c r="D73" i="36"/>
  <c r="B7761" i="106"/>
  <c r="L127" i="29"/>
  <c r="L129" i="29"/>
  <c r="L139" i="29"/>
  <c r="L149" i="29"/>
  <c r="I7" i="145"/>
  <c r="I6" i="145"/>
  <c r="J12" i="145"/>
  <c r="J13" i="145"/>
  <c r="J14" i="145"/>
  <c r="J15" i="145"/>
  <c r="J16" i="145"/>
  <c r="J17" i="145"/>
  <c r="J18" i="145"/>
  <c r="J19" i="145"/>
  <c r="D82" i="36"/>
  <c r="D78" i="36"/>
  <c r="F15" i="145"/>
  <c r="F19" i="145"/>
  <c r="E15" i="145"/>
  <c r="G15" i="145"/>
  <c r="E14" i="145"/>
  <c r="G14" i="145"/>
  <c r="E13" i="145"/>
  <c r="G13" i="145"/>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B959" i="106"/>
  <c r="D959" i="106"/>
  <c r="B960" i="106"/>
  <c r="D960" i="106"/>
  <c r="B961" i="106"/>
  <c r="D961" i="106"/>
  <c r="B962" i="106"/>
  <c r="D962" i="106"/>
  <c r="B963" i="106"/>
  <c r="D963" i="106"/>
  <c r="B964" i="106"/>
  <c r="D964" i="106"/>
  <c r="B965" i="106"/>
  <c r="D965" i="106"/>
  <c r="B966" i="106"/>
  <c r="D966" i="106"/>
  <c r="B967" i="106"/>
  <c r="D967" i="106"/>
  <c r="B968" i="106"/>
  <c r="D968" i="106"/>
  <c r="B969" i="106"/>
  <c r="D969" i="106"/>
  <c r="B970" i="106"/>
  <c r="D970" i="106"/>
  <c r="B971" i="106"/>
  <c r="D971" i="106"/>
  <c r="B972" i="106"/>
  <c r="D972" i="106"/>
  <c r="B973" i="106"/>
  <c r="D973" i="106"/>
  <c r="B974" i="106"/>
  <c r="D974" i="106"/>
  <c r="B975" i="106"/>
  <c r="D975" i="106"/>
  <c r="D976" i="106"/>
  <c r="B977" i="106"/>
  <c r="D977" i="106"/>
  <c r="B978" i="106"/>
  <c r="D978" i="106"/>
  <c r="B979" i="106"/>
  <c r="D979" i="106"/>
  <c r="B980" i="106"/>
  <c r="D980" i="106"/>
  <c r="B981" i="106"/>
  <c r="D981" i="106"/>
  <c r="D982" i="106"/>
  <c r="B983" i="106"/>
  <c r="D983" i="106"/>
  <c r="D984" i="106"/>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c r="D1095" i="106"/>
  <c r="D1096" i="106"/>
  <c r="D1097" i="106"/>
  <c r="D1098" i="106"/>
  <c r="D1099" i="106"/>
  <c r="B1100" i="106"/>
  <c r="D1100" i="106"/>
  <c r="D1101" i="106"/>
  <c r="D1102" i="106"/>
  <c r="D1103" i="106"/>
  <c r="B1104" i="106"/>
  <c r="D1104" i="106"/>
  <c r="B1106" i="106"/>
  <c r="D1106" i="106"/>
  <c r="B1107" i="106"/>
  <c r="D1107" i="106"/>
  <c r="B1110" i="106"/>
  <c r="D1110" i="106"/>
  <c r="B1111" i="106"/>
  <c r="D1111" i="106"/>
  <c r="B1112" i="106"/>
  <c r="D1112" i="106"/>
  <c r="B1113" i="106"/>
  <c r="D1113" i="106"/>
  <c r="B1114" i="106"/>
  <c r="D1114" i="106"/>
  <c r="B1118" i="106"/>
  <c r="D1118" i="106"/>
  <c r="B1120" i="106"/>
  <c r="D1120" i="106"/>
  <c r="B1124" i="106"/>
  <c r="D1124" i="106"/>
  <c r="B1126" i="106"/>
  <c r="D1126" i="106"/>
  <c r="B1128" i="106"/>
  <c r="D1128" i="106"/>
  <c r="B1129" i="106"/>
  <c r="D1129" i="106"/>
  <c r="B1130" i="106"/>
  <c r="D1130" i="106"/>
  <c r="D1132" i="106"/>
  <c r="B1136" i="106"/>
  <c r="D1136" i="106"/>
  <c r="B1137" i="106"/>
  <c r="D1137" i="106"/>
  <c r="D1138" i="106"/>
  <c r="B1139" i="106"/>
  <c r="D1139" i="106"/>
  <c r="D1140" i="106"/>
  <c r="B1142" i="106"/>
  <c r="D1142" i="106"/>
  <c r="B1147" i="106"/>
  <c r="D1147" i="106"/>
  <c r="D1148" i="106"/>
  <c r="B1149" i="106"/>
  <c r="D1149"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C129" i="29"/>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B1276" i="106"/>
  <c r="D1276" i="106"/>
  <c r="B1277" i="106"/>
  <c r="D1277" i="106"/>
  <c r="D1278" i="106"/>
  <c r="B1280" i="106"/>
  <c r="D1280" i="106"/>
  <c r="B2987" i="106"/>
  <c r="D2987" i="106"/>
  <c r="B2988" i="106"/>
  <c r="D2988" i="106"/>
  <c r="B1284" i="106"/>
  <c r="D1284" i="106"/>
  <c r="B1285" i="106"/>
  <c r="D1285" i="106"/>
  <c r="D1286" i="106"/>
  <c r="B2811" i="106"/>
  <c r="D2811" i="106"/>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c r="E174" i="29"/>
  <c r="B1309" i="106"/>
  <c r="D1309" i="106"/>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B1324" i="106"/>
  <c r="D1324" i="106"/>
  <c r="B1325" i="106"/>
  <c r="D1325" i="106"/>
  <c r="B1326" i="106"/>
  <c r="D1326" i="106"/>
  <c r="B1327" i="106"/>
  <c r="D1327" i="106"/>
  <c r="B2818" i="106"/>
  <c r="B1329" i="106"/>
  <c r="D1329" i="106"/>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B1364" i="106"/>
  <c r="D1364" i="106"/>
  <c r="B1365" i="106"/>
  <c r="D1365"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B1380" i="106"/>
  <c r="D1380" i="106"/>
  <c r="B3007" i="106"/>
  <c r="D3007" i="106"/>
  <c r="B2839" i="106"/>
  <c r="B1383" i="106"/>
  <c r="D1383" i="106"/>
  <c r="B1384" i="106"/>
  <c r="D1384" i="106"/>
  <c r="B1385" i="106"/>
  <c r="D1385" i="106"/>
  <c r="D1386" i="106"/>
  <c r="B2841" i="106"/>
  <c r="D2841"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B1410" i="106"/>
  <c r="D1410" i="106"/>
  <c r="B1411" i="106"/>
  <c r="D1411" i="106"/>
  <c r="B1412" i="106"/>
  <c r="D1412" i="106"/>
  <c r="B1413" i="106"/>
  <c r="D1413" i="106"/>
  <c r="B1414" i="106"/>
  <c r="D1414" i="106"/>
  <c r="B1415" i="106"/>
  <c r="D1415" i="106"/>
  <c r="B1416" i="106"/>
  <c r="D1416" i="106"/>
  <c r="B1418" i="106"/>
  <c r="D1418" i="106"/>
  <c r="B1419" i="106"/>
  <c r="D1419" i="106"/>
  <c r="B1420" i="106"/>
  <c r="D1420" i="106"/>
  <c r="B1421" i="106"/>
  <c r="D1421" i="106"/>
  <c r="B1422" i="106"/>
  <c r="D1422" i="106"/>
  <c r="B1423" i="106"/>
  <c r="D1423" i="106"/>
  <c r="B1424" i="106"/>
  <c r="D1424" i="106"/>
  <c r="B1425" i="106"/>
  <c r="D1425" i="106"/>
  <c r="B1426" i="106"/>
  <c r="D1426" i="106"/>
  <c r="B1427" i="106"/>
  <c r="D1427" i="106"/>
  <c r="B1428" i="106"/>
  <c r="D1428" i="106"/>
  <c r="B1429" i="106"/>
  <c r="D1429" i="106"/>
  <c r="B1430" i="106"/>
  <c r="D1430" i="106"/>
  <c r="B1431" i="106"/>
  <c r="D1431" i="106"/>
  <c r="B1432" i="106"/>
  <c r="D1432" i="106"/>
  <c r="B1433" i="106"/>
  <c r="D1433" i="106"/>
  <c r="B1434" i="106"/>
  <c r="D1434" i="106"/>
  <c r="D1435" i="106"/>
  <c r="B1436" i="106"/>
  <c r="D1436" i="106"/>
  <c r="B1437" i="106"/>
  <c r="D1437" i="106"/>
  <c r="B1438" i="106"/>
  <c r="D1438" i="106"/>
  <c r="B1439" i="106"/>
  <c r="D1439" i="106"/>
  <c r="B1440" i="106"/>
  <c r="D1440" i="106"/>
  <c r="D1441" i="106"/>
  <c r="B1442" i="106"/>
  <c r="D1442" i="106"/>
  <c r="D1443" i="106"/>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B1460" i="106"/>
  <c r="D1460" i="106"/>
  <c r="D1461" i="106"/>
  <c r="D1462" i="106"/>
  <c r="D1463" i="106"/>
  <c r="D1464" i="106"/>
  <c r="D1465" i="106"/>
  <c r="B1466" i="106"/>
  <c r="D1466" i="106"/>
  <c r="D1467" i="106"/>
  <c r="D1468" i="106"/>
  <c r="D1469" i="106"/>
  <c r="B1470" i="106"/>
  <c r="D1470" i="106"/>
  <c r="B1471" i="106"/>
  <c r="D1471" i="106"/>
  <c r="B1472" i="106"/>
  <c r="D1472" i="106"/>
  <c r="B1473" i="106"/>
  <c r="D1473" i="106"/>
  <c r="B3390" i="106"/>
  <c r="D3390" i="106"/>
  <c r="B3391" i="106"/>
  <c r="D3391" i="106"/>
  <c r="B3065" i="106"/>
  <c r="D3065" i="106"/>
  <c r="B1476" i="106"/>
  <c r="D1476" i="106"/>
  <c r="B1477" i="106"/>
  <c r="D1477" i="106"/>
  <c r="B1478" i="106"/>
  <c r="D1478" i="106"/>
  <c r="B1479" i="106"/>
  <c r="D1479" i="106"/>
  <c r="B1480" i="106"/>
  <c r="D1480" i="106"/>
  <c r="B1482" i="106"/>
  <c r="D1482" i="106"/>
  <c r="B1483" i="106"/>
  <c r="D1483" i="106"/>
  <c r="B1484" i="106"/>
  <c r="D1484" i="106"/>
  <c r="B1486" i="106"/>
  <c r="D1486" i="106"/>
  <c r="B1487" i="106"/>
  <c r="D1487" i="106"/>
  <c r="B1489" i="106"/>
  <c r="D1489" i="106"/>
  <c r="B1490" i="106"/>
  <c r="D1490" i="106"/>
  <c r="B1493" i="106"/>
  <c r="D1493" i="106"/>
  <c r="B1494" i="106"/>
  <c r="D1494" i="106"/>
  <c r="B1495" i="106"/>
  <c r="D1495" i="106"/>
  <c r="B1496" i="106"/>
  <c r="D1496" i="106"/>
  <c r="B1497" i="106"/>
  <c r="D1497" i="106"/>
  <c r="B1498" i="106"/>
  <c r="D1498" i="106"/>
  <c r="D1499" i="106"/>
  <c r="B1501" i="106"/>
  <c r="D1501" i="106"/>
  <c r="B1502" i="106"/>
  <c r="D1502" i="106"/>
  <c r="B1503" i="106"/>
  <c r="D1503" i="106"/>
  <c r="B1504" i="106"/>
  <c r="D1504" i="106"/>
  <c r="D1505" i="106"/>
  <c r="B1506" i="106"/>
  <c r="D1506" i="106"/>
  <c r="D1507" i="106"/>
  <c r="B1509" i="106"/>
  <c r="D1509" i="106"/>
  <c r="B1511" i="106"/>
  <c r="D1511" i="106"/>
  <c r="B1513" i="106"/>
  <c r="D1513" i="106"/>
  <c r="B1514" i="106"/>
  <c r="D1514" i="106"/>
  <c r="B2845" i="106"/>
  <c r="B2846" i="106"/>
  <c r="D2846" i="106"/>
  <c r="D151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B1792" i="106"/>
  <c r="D1792" i="106"/>
  <c r="B1793" i="106"/>
  <c r="D1793" i="106"/>
  <c r="B1794" i="106"/>
  <c r="D1794" i="106"/>
  <c r="B1795" i="106"/>
  <c r="D1795" i="106"/>
  <c r="B1796" i="106"/>
  <c r="D1796" i="106"/>
  <c r="B1797" i="106"/>
  <c r="D1797" i="106"/>
  <c r="D1798" i="106"/>
  <c r="B1799" i="106"/>
  <c r="D1799" i="106"/>
  <c r="B1800" i="106"/>
  <c r="D1800" i="106"/>
  <c r="B1801" i="106"/>
  <c r="D1801" i="106"/>
  <c r="B1802" i="106"/>
  <c r="D1802" i="106"/>
  <c r="D1803" i="106"/>
  <c r="B1804" i="106"/>
  <c r="D1804" i="106"/>
  <c r="D1805" i="106"/>
  <c r="D1806" i="106"/>
  <c r="D1807"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F21" i="8"/>
  <c r="B1879" i="106"/>
  <c r="D187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I24" i="12"/>
  <c r="B1996" i="106"/>
  <c r="D1996"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B2027" i="106"/>
  <c r="D2027" i="106"/>
  <c r="B2028" i="106"/>
  <c r="D2028" i="106"/>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L13" i="11"/>
  <c r="B2060" i="106"/>
  <c r="D206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B2089" i="106"/>
  <c r="D2089" i="106"/>
  <c r="D2090" i="106"/>
  <c r="B2091" i="106"/>
  <c r="D2091" i="106"/>
  <c r="B2092" i="106"/>
  <c r="D2092" i="106"/>
  <c r="B2094" i="106"/>
  <c r="D2094" i="106"/>
  <c r="D2095" i="106"/>
  <c r="D2096" i="106"/>
  <c r="D2097" i="106"/>
  <c r="D2098" i="106"/>
  <c r="D2099" i="106"/>
  <c r="D2100" i="106"/>
  <c r="D2101" i="106"/>
  <c r="D2103" i="106"/>
  <c r="D2104" i="106"/>
  <c r="B2105" i="106"/>
  <c r="D2105" i="106"/>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5" i="106"/>
  <c r="D2795"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D2839" i="106"/>
  <c r="B2840" i="106"/>
  <c r="D2840" i="106"/>
  <c r="B2843" i="106"/>
  <c r="D2843" i="106"/>
  <c r="B2844" i="106"/>
  <c r="D2844" i="106"/>
  <c r="D2845"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4" i="106"/>
  <c r="D2974" i="106"/>
  <c r="B2975" i="106"/>
  <c r="D2975" i="106"/>
  <c r="B2976" i="106"/>
  <c r="D2976" i="106"/>
  <c r="B2977" i="106"/>
  <c r="D2977" i="106"/>
  <c r="B2978" i="106"/>
  <c r="D2978"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B3009" i="106"/>
  <c r="D3009" i="106"/>
  <c r="B3010" i="106"/>
  <c r="D3010" i="106"/>
  <c r="B3011" i="106"/>
  <c r="D3011"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B3230" i="106"/>
  <c r="D3230" i="106"/>
  <c r="B3231" i="106"/>
  <c r="D3231" i="106"/>
  <c r="B3234" i="106"/>
  <c r="D3234" i="106"/>
  <c r="B3236" i="106"/>
  <c r="D3236" i="106"/>
  <c r="B3237" i="106"/>
  <c r="D3237" i="106"/>
  <c r="D3240" i="106"/>
  <c r="D3241" i="106"/>
  <c r="D3242" i="106"/>
  <c r="D3243" i="106"/>
  <c r="D3244" i="106"/>
  <c r="D3245" i="106"/>
  <c r="D3246" i="106"/>
  <c r="D3247" i="106"/>
  <c r="D3248" i="106"/>
  <c r="D3249" i="106"/>
  <c r="D3250" i="106"/>
  <c r="B3251" i="106"/>
  <c r="D3251" i="106"/>
  <c r="B3252" i="106"/>
  <c r="D3252" i="106"/>
  <c r="B3253" i="106"/>
  <c r="D3253" i="106"/>
  <c r="B3254" i="106"/>
  <c r="D3254" i="106"/>
  <c r="B3255" i="106"/>
  <c r="D3255"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E38" i="4"/>
  <c r="E39" i="4"/>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B3449" i="106"/>
  <c r="D3449" i="106"/>
  <c r="B3450" i="106"/>
  <c r="D3450" i="106"/>
  <c r="B3451" i="106"/>
  <c r="D3451" i="106"/>
  <c r="B3452" i="106"/>
  <c r="D3452" i="106"/>
  <c r="B3453" i="106"/>
  <c r="D3453" i="106"/>
  <c r="F15" i="11"/>
  <c r="B3454" i="106"/>
  <c r="D3454" i="106"/>
  <c r="D3455" i="106"/>
  <c r="D3456" i="106"/>
  <c r="D3457" i="106"/>
  <c r="D3458" i="106"/>
  <c r="L15" i="11"/>
  <c r="B3459" i="106"/>
  <c r="D3459"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K41" i="3"/>
  <c r="B3568" i="106"/>
  <c r="D3568" i="106"/>
  <c r="B3577" i="106"/>
  <c r="D3577" i="106"/>
  <c r="B3578" i="106"/>
  <c r="D3578" i="106"/>
  <c r="B3579" i="106"/>
  <c r="D3579" i="106"/>
  <c r="B3580" i="106"/>
  <c r="D3580" i="106"/>
  <c r="B3581" i="106"/>
  <c r="D3581" i="106"/>
  <c r="B3582" i="106"/>
  <c r="D3582" i="106"/>
  <c r="B3583" i="106"/>
  <c r="D3583" i="106"/>
  <c r="K44" i="4"/>
  <c r="B3584" i="106"/>
  <c r="D3584" i="106"/>
  <c r="B3585" i="106"/>
  <c r="D3585" i="106"/>
  <c r="K52" i="4"/>
  <c r="K53" i="4"/>
  <c r="K76" i="4"/>
  <c r="B3586" i="106"/>
  <c r="D3586" i="106"/>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B3619" i="106"/>
  <c r="D3619" i="106"/>
  <c r="B3620" i="106"/>
  <c r="D3620" i="106"/>
  <c r="B3621" i="106"/>
  <c r="D3621" i="106"/>
  <c r="D3623" i="106"/>
  <c r="B3624" i="106"/>
  <c r="D3624" i="106"/>
  <c r="B3625" i="106"/>
  <c r="D3625" i="106"/>
  <c r="B3626" i="106"/>
  <c r="D3626" i="106"/>
  <c r="B3627" i="106"/>
  <c r="D3627" i="106"/>
  <c r="D3630" i="106"/>
  <c r="B3631" i="106"/>
  <c r="D3631" i="106"/>
  <c r="B3632" i="106"/>
  <c r="D3632" i="106"/>
  <c r="B3634" i="106"/>
  <c r="D3634" i="106"/>
  <c r="D3637" i="106"/>
  <c r="B3638" i="106"/>
  <c r="D3638" i="106"/>
  <c r="B3639" i="106"/>
  <c r="D3639" i="106"/>
  <c r="B3641" i="106"/>
  <c r="D3641" i="106"/>
  <c r="D3644" i="106"/>
  <c r="B3645" i="106"/>
  <c r="D3645" i="106"/>
  <c r="B3646" i="106"/>
  <c r="D3646" i="106"/>
  <c r="B3647" i="106"/>
  <c r="D3647" i="106"/>
  <c r="B3648" i="106"/>
  <c r="D3648" i="106"/>
  <c r="B3649" i="106"/>
  <c r="D3649" i="106"/>
  <c r="D3651" i="106"/>
  <c r="B3652" i="106"/>
  <c r="D3652" i="106"/>
  <c r="B3653" i="106"/>
  <c r="D3653" i="106"/>
  <c r="H350" i="29"/>
  <c r="B3654" i="106"/>
  <c r="D3654" i="106"/>
  <c r="B3655" i="106"/>
  <c r="D3655" i="106"/>
  <c r="B3657" i="106"/>
  <c r="D3657" i="106"/>
  <c r="H362" i="29"/>
  <c r="B3658" i="106"/>
  <c r="D3658" i="106"/>
  <c r="D3659" i="106"/>
  <c r="H365" i="29"/>
  <c r="H352" i="29"/>
  <c r="H367" i="29"/>
  <c r="D3661" i="106"/>
  <c r="D3662" i="106"/>
  <c r="D3663" i="106"/>
  <c r="D3664" i="106"/>
  <c r="D3665" i="106"/>
  <c r="D3666" i="106"/>
  <c r="D3667" i="106"/>
  <c r="K348" i="29"/>
  <c r="B3668" i="106"/>
  <c r="D3668" i="106"/>
  <c r="K349" i="29"/>
  <c r="B3669" i="106"/>
  <c r="D3669" i="106"/>
  <c r="K350" i="29"/>
  <c r="B3670" i="106"/>
  <c r="D3670" i="106"/>
  <c r="K351" i="29"/>
  <c r="B3671" i="106"/>
  <c r="D3671" i="106"/>
  <c r="K352" i="29"/>
  <c r="B3673" i="106"/>
  <c r="D3673" i="106"/>
  <c r="K360" i="29"/>
  <c r="B3675" i="106"/>
  <c r="D3675" i="106"/>
  <c r="K361" i="29"/>
  <c r="D3677" i="106"/>
  <c r="K363" i="29"/>
  <c r="K364" i="29"/>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B4108" i="106"/>
  <c r="D4108" i="106"/>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B5313"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B5856"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J41" i="3"/>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J77" i="4"/>
  <c r="B6262" i="106"/>
  <c r="D6262" i="106"/>
  <c r="B6264" i="106"/>
  <c r="D6264" i="106"/>
  <c r="B6265" i="106"/>
  <c r="D6265" i="106"/>
  <c r="B6285" i="106"/>
  <c r="D6285" i="106"/>
  <c r="B6286" i="106"/>
  <c r="D6286" i="106"/>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B6848" i="106"/>
  <c r="D6848" i="106"/>
  <c r="B6849" i="106"/>
  <c r="D6849" i="106"/>
  <c r="B6850" i="106"/>
  <c r="D6850" i="106"/>
  <c r="B6851" i="106"/>
  <c r="D6851" i="106"/>
  <c r="B6852" i="106"/>
  <c r="D6852" i="106"/>
  <c r="B6853" i="106"/>
  <c r="D6853" i="106"/>
  <c r="B6854" i="106"/>
  <c r="D6854" i="106"/>
  <c r="B6855" i="106"/>
  <c r="D6855" i="106"/>
  <c r="B6856" i="106"/>
  <c r="D6856" i="106"/>
  <c r="B6857" i="106"/>
  <c r="D6857" i="106"/>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B6878" i="106"/>
  <c r="D6878" i="106"/>
  <c r="B6879" i="106"/>
  <c r="D6879" i="106"/>
  <c r="B6880" i="106"/>
  <c r="D6880" i="106"/>
  <c r="B6881" i="106"/>
  <c r="D6881" i="106"/>
  <c r="B6882" i="106"/>
  <c r="D6882" i="106"/>
  <c r="B6883" i="106"/>
  <c r="D6883" i="106"/>
  <c r="B6884" i="106"/>
  <c r="D6884" i="106"/>
  <c r="B6886" i="106"/>
  <c r="D6886" i="106"/>
  <c r="B6887" i="106"/>
  <c r="D6887" i="106"/>
  <c r="B6888" i="106"/>
  <c r="D6888" i="106"/>
  <c r="B6889" i="106"/>
  <c r="D6889" i="106"/>
  <c r="B6890" i="106"/>
  <c r="D6890" i="106"/>
  <c r="B6891" i="106"/>
  <c r="D6891" i="106"/>
  <c r="B6892" i="106"/>
  <c r="D6892" i="106"/>
  <c r="B6894" i="106"/>
  <c r="D6894" i="106"/>
  <c r="B6895" i="106"/>
  <c r="D6895" i="106"/>
  <c r="B6896" i="106"/>
  <c r="D6896" i="106"/>
  <c r="B6897" i="106"/>
  <c r="D6897" i="106"/>
  <c r="B6898" i="106"/>
  <c r="D6898" i="106"/>
  <c r="B6899" i="106"/>
  <c r="D6899" i="106"/>
  <c r="B6900" i="106"/>
  <c r="D6900" i="106"/>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J42" i="29"/>
  <c r="B6918" i="106"/>
  <c r="D6918" i="106"/>
  <c r="B6919" i="106"/>
  <c r="D6919" i="106"/>
  <c r="B6920" i="106"/>
  <c r="D6920" i="106"/>
  <c r="B6921" i="106"/>
  <c r="D6921" i="106"/>
  <c r="B6922" i="106"/>
  <c r="D6922" i="106"/>
  <c r="B6923" i="106"/>
  <c r="D6923" i="106"/>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B6940" i="106"/>
  <c r="D6940" i="106"/>
  <c r="B6941" i="106"/>
  <c r="D6941" i="106"/>
  <c r="B6942" i="106"/>
  <c r="D6942" i="106"/>
  <c r="J53" i="29"/>
  <c r="B6943" i="106"/>
  <c r="D6943" i="106"/>
  <c r="B6944" i="106"/>
  <c r="D6944" i="106"/>
  <c r="B6945" i="106"/>
  <c r="D6945" i="106"/>
  <c r="B6946" i="106"/>
  <c r="D6946" i="106"/>
  <c r="B6947" i="106"/>
  <c r="D6947" i="106"/>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B7033" i="106"/>
  <c r="D7033" i="106"/>
  <c r="J127" i="29"/>
  <c r="B7034" i="106"/>
  <c r="D7034" i="106"/>
  <c r="B7035" i="106"/>
  <c r="D7035" i="106"/>
  <c r="B7036" i="106"/>
  <c r="D7036" i="106"/>
  <c r="B7037" i="106"/>
  <c r="D7037" i="106"/>
  <c r="J129" i="29"/>
  <c r="B7038" i="106"/>
  <c r="D7038"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B7063" i="106"/>
  <c r="D7063" i="106"/>
  <c r="J184" i="29"/>
  <c r="B7064" i="106"/>
  <c r="D7064" i="106"/>
  <c r="B7065" i="106"/>
  <c r="D7065" i="106"/>
  <c r="B7066" i="106"/>
  <c r="D7066" i="106"/>
  <c r="B7067" i="106"/>
  <c r="D7067" i="106"/>
  <c r="B7068" i="106"/>
  <c r="D7068" i="106"/>
  <c r="B7069" i="106"/>
  <c r="D7069" i="106"/>
  <c r="B7070" i="106"/>
  <c r="D7070" i="106"/>
  <c r="B7071" i="106"/>
  <c r="D7071" i="106"/>
  <c r="J210" i="29"/>
  <c r="B7072" i="106"/>
  <c r="D7072" i="106"/>
  <c r="B7073" i="106"/>
  <c r="D7073" i="106"/>
  <c r="B7074" i="106"/>
  <c r="D7074" i="106"/>
  <c r="B7075" i="106"/>
  <c r="D7075" i="106"/>
  <c r="B7076" i="106"/>
  <c r="D7076" i="106"/>
  <c r="B7077" i="106"/>
  <c r="D7077" i="106"/>
  <c r="B7078" i="106"/>
  <c r="D7078" i="106"/>
  <c r="B7079" i="106"/>
  <c r="D7079" i="106"/>
  <c r="B7080" i="106"/>
  <c r="D7080" i="106"/>
  <c r="B7081" i="106"/>
  <c r="D7081" i="106"/>
  <c r="B7082" i="106"/>
  <c r="D7082" i="106"/>
  <c r="B7083" i="106"/>
  <c r="D7083" i="106"/>
  <c r="B7084" i="106"/>
  <c r="D7084" i="106"/>
  <c r="B7085" i="106"/>
  <c r="D7085" i="106"/>
  <c r="B7086" i="106"/>
  <c r="D7086" i="106"/>
  <c r="B7087" i="106"/>
  <c r="D7087" i="106"/>
  <c r="B7088" i="106"/>
  <c r="D7088" i="106"/>
  <c r="B7089" i="106"/>
  <c r="D7089" i="106"/>
  <c r="B7090" i="106"/>
  <c r="D7090" i="106"/>
  <c r="B7091" i="106"/>
  <c r="D7091" i="106"/>
  <c r="B7092" i="106"/>
  <c r="D7092" i="106"/>
  <c r="B7093" i="106"/>
  <c r="D7093" i="106"/>
  <c r="B7094" i="106"/>
  <c r="D7094" i="106"/>
  <c r="B7095" i="106"/>
  <c r="D7095" i="106"/>
  <c r="B7096" i="106"/>
  <c r="D7096" i="106"/>
  <c r="B7097" i="106"/>
  <c r="D7097" i="106"/>
  <c r="B7098" i="106"/>
  <c r="D7098"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B7126" i="106"/>
  <c r="D7126" i="106"/>
  <c r="B7127" i="106"/>
  <c r="D7127" i="106"/>
  <c r="B7128" i="106"/>
  <c r="D7128" i="106"/>
  <c r="B7129" i="106"/>
  <c r="D7129" i="106"/>
  <c r="B7130" i="106"/>
  <c r="D7130" i="106"/>
  <c r="B7131" i="106"/>
  <c r="D7131" i="106"/>
  <c r="B7132" i="106"/>
  <c r="D7132" i="106"/>
  <c r="B7133" i="106"/>
  <c r="D7133" i="106"/>
  <c r="B7134" i="106"/>
  <c r="D7134" i="106"/>
  <c r="B7135" i="106"/>
  <c r="D7135" i="106"/>
  <c r="B7136" i="106"/>
  <c r="D7136" i="106"/>
  <c r="B7137" i="106"/>
  <c r="D7137" i="106"/>
  <c r="B7138" i="106"/>
  <c r="D7138" i="106"/>
  <c r="B7139" i="106"/>
  <c r="D7139" i="106"/>
  <c r="B7140" i="106"/>
  <c r="D7140" i="106"/>
  <c r="B7141" i="106"/>
  <c r="D7141" i="106"/>
  <c r="B7142" i="106"/>
  <c r="D7142" i="106"/>
  <c r="B7143" i="106"/>
  <c r="D7143" i="106"/>
  <c r="B7145" i="106"/>
  <c r="D7145" i="106"/>
  <c r="B7146" i="106"/>
  <c r="D7146" i="106"/>
  <c r="B7147" i="106"/>
  <c r="D7147" i="106"/>
  <c r="B7148" i="106"/>
  <c r="D7148" i="106"/>
  <c r="B7149" i="106"/>
  <c r="D7149" i="106"/>
  <c r="B7150" i="106"/>
  <c r="D7150" i="106"/>
  <c r="B7151" i="106"/>
  <c r="D7151" i="106"/>
  <c r="B7152" i="106"/>
  <c r="D7152" i="106"/>
  <c r="B7153" i="106"/>
  <c r="D7153" i="106"/>
  <c r="B7154" i="106"/>
  <c r="D7154" i="106"/>
  <c r="B7155" i="106"/>
  <c r="D7155" i="106"/>
  <c r="B7156" i="106"/>
  <c r="D7156" i="106"/>
  <c r="B7157" i="106"/>
  <c r="D7157" i="106"/>
  <c r="B7158" i="106"/>
  <c r="D7158" i="106"/>
  <c r="B7159" i="106"/>
  <c r="D7159" i="106"/>
  <c r="B7160" i="106"/>
  <c r="D7160" i="106"/>
  <c r="B7161" i="106"/>
  <c r="D7161" i="106"/>
  <c r="B7162" i="106"/>
  <c r="D7162" i="106"/>
  <c r="B7163" i="106"/>
  <c r="D7163" i="106"/>
  <c r="B7164" i="106"/>
  <c r="D7164" i="106"/>
  <c r="B7165" i="106"/>
  <c r="D7165" i="106"/>
  <c r="B7166" i="106"/>
  <c r="D7166" i="106"/>
  <c r="B7167" i="106"/>
  <c r="D7167" i="106"/>
  <c r="B7168" i="106"/>
  <c r="D7168" i="106"/>
  <c r="B7169" i="106"/>
  <c r="D7169" i="106"/>
  <c r="B7170" i="106"/>
  <c r="D7170" i="106"/>
  <c r="B7171" i="106"/>
  <c r="D7171" i="106"/>
  <c r="B7172" i="106"/>
  <c r="D7172" i="106"/>
  <c r="B7173" i="106"/>
  <c r="D7173" i="106"/>
  <c r="B7174" i="106"/>
  <c r="D7174" i="106"/>
  <c r="B7175" i="106"/>
  <c r="D7175" i="106"/>
  <c r="B7176" i="106"/>
  <c r="D7176" i="106"/>
  <c r="B7177" i="106"/>
  <c r="D7177" i="106"/>
  <c r="B7178" i="106"/>
  <c r="D7178" i="106"/>
  <c r="B7179" i="106"/>
  <c r="D7179" i="106"/>
  <c r="B7180" i="106"/>
  <c r="D7180" i="106"/>
  <c r="B7181" i="106"/>
  <c r="D7181" i="106"/>
  <c r="B7182" i="106"/>
  <c r="D7182" i="106"/>
  <c r="B7183" i="106"/>
  <c r="D7183" i="106"/>
  <c r="B7184" i="106"/>
  <c r="D7184" i="106"/>
  <c r="B7185" i="106"/>
  <c r="D7185" i="106"/>
  <c r="B7186" i="106"/>
  <c r="D7186" i="106"/>
  <c r="B7187" i="106"/>
  <c r="D7187" i="106"/>
  <c r="B7188" i="106"/>
  <c r="D7188" i="106"/>
  <c r="B7189" i="106"/>
  <c r="D7189" i="106"/>
  <c r="B7190" i="106"/>
  <c r="D7190" i="106"/>
  <c r="B7191" i="106"/>
  <c r="D7191" i="106"/>
  <c r="B7192" i="106"/>
  <c r="D7192" i="106"/>
  <c r="B7193" i="106"/>
  <c r="D7193" i="106"/>
  <c r="B7194" i="106"/>
  <c r="D7194" i="106"/>
  <c r="B7195" i="106"/>
  <c r="D7195" i="106"/>
  <c r="B7196" i="106"/>
  <c r="D7196" i="106"/>
  <c r="B7197" i="106"/>
  <c r="D7197" i="106"/>
  <c r="B7198" i="106"/>
  <c r="D7198" i="106"/>
  <c r="C330" i="29"/>
  <c r="B7199" i="106"/>
  <c r="D7199" i="106"/>
  <c r="D330" i="29"/>
  <c r="E330" i="29"/>
  <c r="F330" i="29"/>
  <c r="B7203" i="106"/>
  <c r="D7203" i="106"/>
  <c r="H330" i="29"/>
  <c r="B7204" i="106"/>
  <c r="D7204" i="106"/>
  <c r="B7205" i="106"/>
  <c r="D7205" i="106"/>
  <c r="J330" i="29"/>
  <c r="B7206" i="106"/>
  <c r="D7206" i="106"/>
  <c r="B7696" i="106"/>
  <c r="B7208" i="106"/>
  <c r="D7208" i="106"/>
  <c r="B7209" i="106"/>
  <c r="D7209" i="106"/>
  <c r="B7210" i="106"/>
  <c r="D7210" i="106"/>
  <c r="B7212" i="106"/>
  <c r="D7212" i="106"/>
  <c r="B7213" i="106"/>
  <c r="D7213" i="106"/>
  <c r="H340" i="29"/>
  <c r="H342" i="29"/>
  <c r="C342" i="29"/>
  <c r="B7216" i="106"/>
  <c r="D7216" i="106"/>
  <c r="I342" i="29"/>
  <c r="B7222" i="106"/>
  <c r="D7222" i="106"/>
  <c r="B7226" i="106"/>
  <c r="D7226" i="106"/>
  <c r="B7227" i="106"/>
  <c r="D7227" i="106"/>
  <c r="B7228" i="106"/>
  <c r="D7228" i="106"/>
  <c r="B7229" i="106"/>
  <c r="D7229" i="106"/>
  <c r="B7231" i="106"/>
  <c r="D7231" i="106"/>
  <c r="B7232" i="106"/>
  <c r="D7232" i="106"/>
  <c r="B7233" i="106"/>
  <c r="D7233" i="106"/>
  <c r="B7235" i="106"/>
  <c r="D7235" i="106"/>
  <c r="B7236" i="106"/>
  <c r="D7236" i="106"/>
  <c r="B7237" i="106"/>
  <c r="D7237" i="106"/>
  <c r="B7238" i="106"/>
  <c r="D7238" i="106"/>
  <c r="B7239" i="106"/>
  <c r="D7239" i="106"/>
  <c r="B7240" i="106"/>
  <c r="D7240" i="106"/>
  <c r="B7241" i="106"/>
  <c r="D7241" i="106"/>
  <c r="B7242" i="106"/>
  <c r="D7242" i="106"/>
  <c r="A7245" i="106"/>
  <c r="A7246" i="106"/>
  <c r="A7247" i="106"/>
  <c r="A7248" i="106"/>
  <c r="A7249" i="106"/>
  <c r="B7245" i="106"/>
  <c r="D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D7696" i="106"/>
  <c r="B7697" i="106"/>
  <c r="D7697" i="106"/>
  <c r="B7698" i="106"/>
  <c r="D7698" i="106"/>
  <c r="B7699" i="106"/>
  <c r="D7699" i="106"/>
  <c r="B7700" i="106"/>
  <c r="D7700" i="106"/>
  <c r="B7701" i="106"/>
  <c r="D7701" i="106"/>
  <c r="B7702" i="106"/>
  <c r="D7702" i="106"/>
  <c r="B7703" i="106"/>
  <c r="D7703" i="106"/>
  <c r="B7704" i="106"/>
  <c r="D7704" i="106"/>
  <c r="B7705"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D7729" i="106"/>
  <c r="B7731" i="106"/>
  <c r="D7731" i="106"/>
  <c r="D7733" i="106"/>
  <c r="D7734" i="106"/>
  <c r="B7735" i="106"/>
  <c r="D7735" i="106"/>
  <c r="B7736" i="106"/>
  <c r="D7736" i="106"/>
  <c r="B7737" i="106"/>
  <c r="D7737" i="106"/>
  <c r="B7738" i="106"/>
  <c r="D7738" i="106"/>
  <c r="I26" i="12"/>
  <c r="B7741" i="106"/>
  <c r="D7741" i="106"/>
  <c r="K26" i="12"/>
  <c r="B7743" i="106"/>
  <c r="D7743"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F26" i="108"/>
  <c r="D27" i="108"/>
  <c r="F27" i="108"/>
  <c r="F28" i="108"/>
  <c r="F31" i="108"/>
  <c r="F36" i="108"/>
  <c r="F37" i="108"/>
  <c r="D31" i="108"/>
  <c r="D36" i="108"/>
  <c r="D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5" i="7"/>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c r="B3062" i="106"/>
  <c r="D3062" i="106"/>
  <c r="B1105" i="106"/>
  <c r="D1105" i="106"/>
  <c r="C33" i="29"/>
  <c r="D33" i="29"/>
  <c r="B778" i="106"/>
  <c r="D778" i="106"/>
  <c r="F33" i="29"/>
  <c r="B894" i="106"/>
  <c r="D894" i="106"/>
  <c r="B952" i="106"/>
  <c r="D952" i="106"/>
  <c r="H33" i="29"/>
  <c r="B1010" i="106"/>
  <c r="D1010" i="106"/>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12" i="29"/>
  <c r="L330" i="29"/>
  <c r="L340" i="29"/>
  <c r="L342" i="29"/>
  <c r="B5066" i="106"/>
  <c r="D5066" i="106"/>
  <c r="B5334" i="106"/>
  <c r="D5334" i="106"/>
  <c r="E12" i="5"/>
  <c r="B5513" i="106"/>
  <c r="D5513" i="106"/>
  <c r="B5557" i="106"/>
  <c r="D5557" i="106"/>
  <c r="G12" i="5"/>
  <c r="B5725" i="106"/>
  <c r="D5725" i="106"/>
  <c r="H12" i="5"/>
  <c r="B5873" i="106"/>
  <c r="D5873" i="106"/>
  <c r="B5918" i="106"/>
  <c r="D5918" i="106"/>
  <c r="J12" i="5"/>
  <c r="B6301" i="106"/>
  <c r="D6301" i="106"/>
  <c r="K12" i="5"/>
  <c r="B5987" i="106"/>
  <c r="D5987" i="106"/>
  <c r="B5071" i="106"/>
  <c r="D5071" i="106"/>
  <c r="B5339" i="106"/>
  <c r="D5339" i="106"/>
  <c r="E18" i="5"/>
  <c r="B5518" i="106"/>
  <c r="D5518" i="106"/>
  <c r="B5562" i="106"/>
  <c r="D5562" i="106"/>
  <c r="G18" i="5"/>
  <c r="B5730" i="106"/>
  <c r="D5730" i="106"/>
  <c r="H18" i="5"/>
  <c r="B5878" i="106"/>
  <c r="D5878" i="106"/>
  <c r="B5923" i="106"/>
  <c r="D5923" i="106"/>
  <c r="J18" i="5"/>
  <c r="B6306" i="106"/>
  <c r="D6306" i="106"/>
  <c r="K18" i="5"/>
  <c r="B5992" i="106"/>
  <c r="D5992" i="106"/>
  <c r="B5087" i="106"/>
  <c r="D5087" i="106"/>
  <c r="B5579" i="106"/>
  <c r="D5579" i="106"/>
  <c r="B5090" i="106"/>
  <c r="D5090" i="106"/>
  <c r="B5342" i="106"/>
  <c r="D5342" i="106"/>
  <c r="E67" i="5"/>
  <c r="B5521" i="106"/>
  <c r="D5521" i="106"/>
  <c r="B5582" i="106"/>
  <c r="D5582" i="106"/>
  <c r="G67" i="5"/>
  <c r="B5733" i="106"/>
  <c r="D5733" i="106"/>
  <c r="H67" i="5"/>
  <c r="B5881" i="106"/>
  <c r="D5881" i="106"/>
  <c r="B5926" i="106"/>
  <c r="D5926" i="106"/>
  <c r="J67" i="5"/>
  <c r="B6318" i="106"/>
  <c r="D6318" i="106"/>
  <c r="K67" i="5"/>
  <c r="B5995" i="106"/>
  <c r="D5995" i="106"/>
  <c r="B5096" i="106"/>
  <c r="D5096" i="106"/>
  <c r="B5102" i="106"/>
  <c r="D5102" i="106"/>
  <c r="B5348" i="106"/>
  <c r="D5348" i="106"/>
  <c r="B5112" i="106"/>
  <c r="D5112" i="106"/>
  <c r="B5120" i="106"/>
  <c r="D5120" i="106"/>
  <c r="B5355" i="106"/>
  <c r="D5355" i="106"/>
  <c r="E108" i="5"/>
  <c r="B5526" i="106"/>
  <c r="D5526" i="106"/>
  <c r="B5587" i="106"/>
  <c r="D5587" i="106"/>
  <c r="G108" i="5"/>
  <c r="B5737" i="106"/>
  <c r="D5737" i="106"/>
  <c r="H108" i="5"/>
  <c r="B5886" i="106"/>
  <c r="D5886" i="106"/>
  <c r="B5930" i="106"/>
  <c r="D5930" i="106"/>
  <c r="J108" i="5"/>
  <c r="B6351" i="106"/>
  <c r="D6351" i="106"/>
  <c r="K108" i="5"/>
  <c r="B5999" i="106"/>
  <c r="D5999" i="106"/>
  <c r="B5121" i="106"/>
  <c r="D5121" i="106"/>
  <c r="E109" i="5"/>
  <c r="G109" i="5"/>
  <c r="B6024" i="106"/>
  <c r="D6024" i="106"/>
  <c r="B5125" i="106"/>
  <c r="D5125" i="106"/>
  <c r="B5360" i="106"/>
  <c r="D5360" i="106"/>
  <c r="B5592" i="106"/>
  <c r="D5592" i="106"/>
  <c r="G114" i="5"/>
  <c r="B5741" i="106"/>
  <c r="D5741" i="106"/>
  <c r="B5132" i="106"/>
  <c r="D5132" i="106"/>
  <c r="B5367" i="106"/>
  <c r="D5367" i="106"/>
  <c r="E121" i="5"/>
  <c r="B5534" i="106"/>
  <c r="D5534" i="106"/>
  <c r="B5644" i="106"/>
  <c r="D5644" i="106"/>
  <c r="G121" i="5"/>
  <c r="B5748" i="106"/>
  <c r="D5748" i="106"/>
  <c r="H121" i="5"/>
  <c r="B5893" i="106"/>
  <c r="D5893" i="106"/>
  <c r="J121" i="5"/>
  <c r="B6357" i="106"/>
  <c r="D6357" i="106"/>
  <c r="K121" i="5"/>
  <c r="B6006" i="106"/>
  <c r="D6006" i="106"/>
  <c r="B5147" i="106"/>
  <c r="D5147" i="106"/>
  <c r="B5369" i="106"/>
  <c r="D5369" i="106"/>
  <c r="B5614" i="106"/>
  <c r="D5614" i="106"/>
  <c r="B5161" i="106"/>
  <c r="D5161" i="106"/>
  <c r="B5383" i="106"/>
  <c r="D5383" i="106"/>
  <c r="G140" i="5"/>
  <c r="G144" i="5"/>
  <c r="B5756" i="106"/>
  <c r="D5756" i="106"/>
  <c r="G154" i="5"/>
  <c r="G172" i="5"/>
  <c r="G173" i="5"/>
  <c r="B5778" i="106"/>
  <c r="D5778" i="106"/>
  <c r="B5165" i="106"/>
  <c r="D5165" i="106"/>
  <c r="B5178" i="106"/>
  <c r="D5178" i="106"/>
  <c r="B5394" i="106"/>
  <c r="D5394" i="106"/>
  <c r="B4357" i="106"/>
  <c r="D4357" i="106"/>
  <c r="E172" i="5"/>
  <c r="H172" i="5"/>
  <c r="B5899" i="106"/>
  <c r="D5899" i="106"/>
  <c r="B4363" i="106"/>
  <c r="D4363" i="106"/>
  <c r="J172" i="5"/>
  <c r="B6396" i="106"/>
  <c r="D6396" i="106"/>
  <c r="K172" i="5"/>
  <c r="B5000" i="106"/>
  <c r="D5000" i="106"/>
  <c r="B4216" i="106"/>
  <c r="D4216" i="106"/>
  <c r="K173" i="5"/>
  <c r="K6" i="4"/>
  <c r="B3570" i="106"/>
  <c r="D3570" i="106"/>
  <c r="B5225" i="106"/>
  <c r="D5225" i="106"/>
  <c r="B5423" i="106"/>
  <c r="D5423" i="106"/>
  <c r="B4372" i="106"/>
  <c r="D4372" i="106"/>
  <c r="B5655" i="106"/>
  <c r="D5655" i="106"/>
  <c r="B5780" i="106"/>
  <c r="D5780" i="106"/>
  <c r="B4373" i="106"/>
  <c r="D4373" i="106"/>
  <c r="B6400" i="106"/>
  <c r="D6400" i="106"/>
  <c r="B4951" i="106"/>
  <c r="D4951" i="106"/>
  <c r="B5232" i="106"/>
  <c r="D5232" i="106"/>
  <c r="B5425" i="106"/>
  <c r="D5425" i="106"/>
  <c r="B5658" i="106"/>
  <c r="D5658" i="106"/>
  <c r="B5784" i="106"/>
  <c r="D5784" i="106"/>
  <c r="B5908" i="106"/>
  <c r="D5908" i="106"/>
  <c r="B6016" i="106"/>
  <c r="D6016" i="106"/>
  <c r="B4395" i="106"/>
  <c r="D4395" i="106"/>
  <c r="B4396" i="106"/>
  <c r="D4396" i="106"/>
  <c r="B5246" i="106"/>
  <c r="D5246" i="106"/>
  <c r="B6409" i="106"/>
  <c r="D6409" i="106"/>
  <c r="B5260" i="106"/>
  <c r="D5260" i="106"/>
  <c r="B5444" i="106"/>
  <c r="D5444" i="106"/>
  <c r="B5677" i="106"/>
  <c r="D5677" i="106"/>
  <c r="B5803" i="106"/>
  <c r="D5803" i="106"/>
  <c r="B4411" i="106"/>
  <c r="D4411" i="106"/>
  <c r="B4412" i="106"/>
  <c r="D4412" i="106"/>
  <c r="B4413" i="106"/>
  <c r="D4413" i="106"/>
  <c r="B4414" i="106"/>
  <c r="D4414" i="106"/>
  <c r="B5286" i="106"/>
  <c r="D5286" i="106"/>
  <c r="B5470" i="106"/>
  <c r="D5470" i="106"/>
  <c r="B5703" i="106"/>
  <c r="D5703" i="106"/>
  <c r="B5829" i="106"/>
  <c r="D5829" i="106"/>
  <c r="B5304" i="106"/>
  <c r="D5304" i="106"/>
  <c r="B5488" i="106"/>
  <c r="D5488" i="106"/>
  <c r="B6837" i="106"/>
  <c r="D6837" i="106"/>
  <c r="B6833" i="106"/>
  <c r="D6833" i="106"/>
  <c r="B6834" i="106"/>
  <c r="D6834" i="106"/>
  <c r="B6836" i="106"/>
  <c r="D6836" i="106"/>
  <c r="B4441" i="106"/>
  <c r="D4441" i="106"/>
  <c r="B7054" i="106"/>
  <c r="D7054" i="106"/>
  <c r="B4442" i="106"/>
  <c r="D4442" i="106"/>
  <c r="B7041" i="106"/>
  <c r="D7041" i="106"/>
  <c r="E4" i="4"/>
  <c r="B2630" i="106"/>
  <c r="D2630" i="106"/>
  <c r="B3406" i="106"/>
  <c r="D3406" i="106"/>
  <c r="G5" i="4"/>
  <c r="B3409" i="106"/>
  <c r="D3409" i="106"/>
  <c r="G14" i="4"/>
  <c r="B2609" i="106"/>
  <c r="D2609" i="106"/>
  <c r="G15" i="4"/>
  <c r="B6032" i="106"/>
  <c r="D6032" i="106"/>
  <c r="B2596" i="106"/>
  <c r="D2596" i="106"/>
  <c r="K13" i="4"/>
  <c r="B3572" i="106"/>
  <c r="D3572" i="106"/>
  <c r="B2558" i="106"/>
  <c r="D2558" i="106"/>
  <c r="B2570" i="106"/>
  <c r="D2570" i="106"/>
  <c r="B2597" i="106"/>
  <c r="D2597" i="106"/>
  <c r="B2633" i="106"/>
  <c r="D2633" i="106"/>
  <c r="N22" i="3"/>
  <c r="B283" i="106"/>
  <c r="D283" i="106"/>
  <c r="D7" i="118"/>
  <c r="D8" i="118"/>
  <c r="D9" i="118"/>
  <c r="H14" i="118"/>
  <c r="H19" i="118"/>
  <c r="H24" i="118"/>
  <c r="H28" i="118"/>
  <c r="H29" i="118"/>
  <c r="K28" i="118"/>
  <c r="O27" i="118"/>
  <c r="O29" i="118"/>
  <c r="H33" i="118"/>
  <c r="D11" i="37"/>
  <c r="D22" i="37"/>
  <c r="H22" i="37"/>
  <c r="J22" i="37"/>
  <c r="L22" i="37"/>
  <c r="D24" i="37"/>
  <c r="B4270" i="106"/>
  <c r="D4270" i="106"/>
  <c r="L5" i="11"/>
  <c r="B2056" i="106"/>
  <c r="D2056" i="106"/>
  <c r="D4" i="7"/>
  <c r="B1760" i="106"/>
  <c r="D1760" i="106"/>
  <c r="D5" i="7"/>
  <c r="B1761" i="106"/>
  <c r="D1761" i="106"/>
  <c r="D13" i="7"/>
  <c r="B3726" i="106"/>
  <c r="D3726" i="106"/>
  <c r="D9" i="7"/>
  <c r="B1767" i="106"/>
  <c r="D1767" i="106"/>
  <c r="B5770" i="106"/>
  <c r="D5770" i="106"/>
  <c r="F136" i="34"/>
  <c r="F131" i="34"/>
  <c r="F130" i="34"/>
  <c r="F128" i="34"/>
  <c r="F127" i="34"/>
  <c r="F111" i="34"/>
  <c r="B5847" i="106"/>
  <c r="D5847" i="106"/>
  <c r="B5752" i="106"/>
  <c r="D5752" i="106"/>
  <c r="B5599" i="106"/>
  <c r="D5599" i="106"/>
  <c r="G4" i="4"/>
  <c r="B2603" i="106"/>
  <c r="D2603" i="106"/>
  <c r="H173" i="5"/>
  <c r="B5906" i="106"/>
  <c r="D5906" i="106"/>
  <c r="B5214" i="106"/>
  <c r="D5214" i="106"/>
  <c r="H109" i="5"/>
  <c r="B6025" i="106"/>
  <c r="D6025" i="106"/>
  <c r="B5356" i="106"/>
  <c r="D5356" i="106"/>
  <c r="F106" i="34"/>
  <c r="D7" i="7"/>
  <c r="B1763" i="106"/>
  <c r="D1763" i="106"/>
  <c r="H4" i="4"/>
  <c r="B2564" i="106"/>
  <c r="D2564" i="106"/>
  <c r="B5223" i="106"/>
  <c r="D5223" i="106"/>
  <c r="H6" i="4"/>
  <c r="B2656" i="106"/>
  <c r="D2656" i="106"/>
  <c r="B2655" i="106"/>
  <c r="D2655" i="106"/>
  <c r="B1746" i="106"/>
  <c r="D1746" i="106"/>
  <c r="D17" i="7"/>
  <c r="B4104" i="106"/>
  <c r="D4104" i="106"/>
  <c r="D12" i="7"/>
  <c r="B1769" i="106"/>
  <c r="D1769" i="106"/>
  <c r="D11" i="7"/>
  <c r="B1768" i="106"/>
  <c r="D1768" i="106"/>
  <c r="D15" i="7"/>
  <c r="B1772" i="106"/>
  <c r="D1772" i="106"/>
  <c r="C41" i="3"/>
  <c r="B93" i="106"/>
  <c r="D93" i="106"/>
  <c r="H295" i="29"/>
  <c r="B1454" i="106"/>
  <c r="D1454" i="106"/>
  <c r="B4156" i="106"/>
  <c r="D4156" i="106"/>
  <c r="H172" i="29"/>
  <c r="H174" i="29"/>
  <c r="B2823" i="106"/>
  <c r="D2823" i="106"/>
  <c r="J90" i="28"/>
  <c r="B3656" i="106"/>
  <c r="D3656" i="106"/>
  <c r="B3724" i="106"/>
  <c r="D3724" i="106"/>
  <c r="E102" i="29"/>
  <c r="B2790" i="106"/>
  <c r="D2790" i="106"/>
  <c r="J342" i="29"/>
  <c r="B7223" i="106"/>
  <c r="D7223" i="106"/>
  <c r="G342" i="29"/>
  <c r="B7220" i="106"/>
  <c r="D7220" i="106"/>
  <c r="B79" i="36"/>
  <c r="B77" i="36"/>
  <c r="D18" i="7"/>
  <c r="B4105" i="106"/>
  <c r="D4105" i="106"/>
  <c r="B2553" i="106"/>
  <c r="D2553" i="106"/>
  <c r="B3718" i="106"/>
  <c r="D3718" i="106"/>
  <c r="F105" i="34"/>
  <c r="F107" i="34"/>
  <c r="J109" i="5"/>
  <c r="J173" i="5"/>
  <c r="B2551" i="106"/>
  <c r="D2551" i="106"/>
  <c r="B5011" i="106"/>
  <c r="D5011" i="106"/>
  <c r="B6014" i="106"/>
  <c r="D6014" i="106"/>
  <c r="F95" i="34"/>
  <c r="F129" i="34"/>
  <c r="D14" i="7"/>
  <c r="B1770" i="106"/>
  <c r="D1770" i="106"/>
  <c r="N23" i="3"/>
  <c r="B284" i="106"/>
  <c r="D284" i="106"/>
  <c r="B3408" i="106"/>
  <c r="D3408" i="106"/>
  <c r="B3405" i="106"/>
  <c r="D3405" i="106"/>
  <c r="B6840" i="106"/>
  <c r="D6840" i="106"/>
  <c r="B6839" i="106"/>
  <c r="D6839" i="106"/>
  <c r="B6838" i="106"/>
  <c r="D6838" i="106"/>
  <c r="B5412" i="106"/>
  <c r="D5412" i="106"/>
  <c r="B5618" i="106"/>
  <c r="D5618" i="106"/>
  <c r="K109" i="5"/>
  <c r="F16" i="11"/>
  <c r="B7200" i="106"/>
  <c r="D7200" i="106"/>
  <c r="D342" i="29"/>
  <c r="B7217" i="106"/>
  <c r="D7217" i="106"/>
  <c r="B7144" i="106"/>
  <c r="D7144" i="106"/>
  <c r="B6901" i="106"/>
  <c r="D6901" i="106"/>
  <c r="B6885" i="106"/>
  <c r="D6885" i="106"/>
  <c r="B7211" i="106"/>
  <c r="D7211" i="106"/>
  <c r="B6893" i="106"/>
  <c r="D6893" i="106"/>
  <c r="B6877" i="106"/>
  <c r="D6877" i="106"/>
  <c r="B6216" i="106"/>
  <c r="D6216" i="106"/>
  <c r="D51" i="36"/>
  <c r="B3703" i="106"/>
  <c r="D3703" i="106"/>
  <c r="K362" i="29"/>
  <c r="B3676" i="106"/>
  <c r="D3676" i="106"/>
  <c r="B3660" i="106"/>
  <c r="D3660" i="106"/>
  <c r="B3650" i="106"/>
  <c r="D3650" i="106"/>
  <c r="L41" i="3"/>
  <c r="I41" i="3"/>
  <c r="K16" i="11"/>
  <c r="B2055" i="106"/>
  <c r="D2055" i="106"/>
  <c r="H312" i="29"/>
  <c r="B1554" i="106"/>
  <c r="D1554" i="106"/>
  <c r="E312" i="29"/>
  <c r="B1536" i="106"/>
  <c r="D1536" i="106"/>
  <c r="D312" i="29"/>
  <c r="B1530" i="106"/>
  <c r="D1530" i="106"/>
  <c r="B1512" i="106"/>
  <c r="D1512" i="106"/>
  <c r="B1352" i="106"/>
  <c r="D1352" i="106"/>
  <c r="E210" i="29"/>
  <c r="B1353" i="106"/>
  <c r="D1353" i="106"/>
  <c r="B1264" i="106"/>
  <c r="D1264" i="106"/>
  <c r="H129" i="29"/>
  <c r="B1239" i="106"/>
  <c r="D1239" i="106"/>
  <c r="E129" i="29"/>
  <c r="B1146" i="106"/>
  <c r="D1146" i="106"/>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5653" i="106"/>
  <c r="D5653" i="106"/>
  <c r="B2593" i="106"/>
  <c r="D2593" i="106"/>
  <c r="B4435" i="106"/>
  <c r="D4435" i="106"/>
  <c r="B4444" i="106"/>
  <c r="D4444" i="106"/>
  <c r="B5713" i="106"/>
  <c r="D5713" i="106"/>
  <c r="B4397" i="106"/>
  <c r="D4397" i="106"/>
  <c r="B4950" i="106"/>
  <c r="D4950" i="106"/>
  <c r="L210" i="29"/>
  <c r="L102" i="29"/>
  <c r="B1121" i="106"/>
  <c r="D1121" i="106"/>
  <c r="E12" i="145"/>
  <c r="B731" i="106"/>
  <c r="D731" i="106"/>
  <c r="C74" i="29"/>
  <c r="B755" i="106"/>
  <c r="D755" i="106"/>
  <c r="B1116" i="106"/>
  <c r="D1116" i="106"/>
  <c r="F161" i="34"/>
  <c r="F41" i="108"/>
  <c r="G43" i="108"/>
  <c r="D41" i="108"/>
  <c r="E43" i="108"/>
  <c r="B7600" i="106"/>
  <c r="L6" i="11"/>
  <c r="B7605" i="106"/>
  <c r="A7250" i="106"/>
  <c r="A7251" i="106"/>
  <c r="A7252" i="106"/>
  <c r="A7253" i="106"/>
  <c r="A7254" i="106"/>
  <c r="A7255" i="106"/>
  <c r="A7256" i="106"/>
  <c r="A7257" i="106"/>
  <c r="D7249" i="106"/>
  <c r="G6" i="4"/>
  <c r="B2604" i="106"/>
  <c r="D2604" i="106"/>
  <c r="B6022" i="106"/>
  <c r="D6022" i="106"/>
  <c r="D44" i="36"/>
  <c r="B6835" i="106"/>
  <c r="D6835" i="106"/>
  <c r="B4398" i="106"/>
  <c r="D4398" i="106"/>
  <c r="B5537" i="106"/>
  <c r="D5537" i="106"/>
  <c r="E173" i="5"/>
  <c r="B5527" i="106"/>
  <c r="D5527" i="106"/>
  <c r="L279" i="29"/>
  <c r="L295" i="29"/>
  <c r="L74" i="29"/>
  <c r="L114" i="29"/>
  <c r="B720" i="106"/>
  <c r="D720" i="106"/>
  <c r="C114" i="29"/>
  <c r="B757" i="106"/>
  <c r="D757" i="106"/>
  <c r="B2031" i="106"/>
  <c r="D2031" i="106"/>
  <c r="L16" i="11"/>
  <c r="B2061" i="106"/>
  <c r="D2061" i="106"/>
  <c r="B7618" i="106"/>
  <c r="L14" i="11"/>
  <c r="B7623" i="106"/>
  <c r="D7252" i="106"/>
  <c r="D7250" i="106"/>
  <c r="B7230" i="106"/>
  <c r="D7230" i="106"/>
  <c r="B7215" i="106"/>
  <c r="D7215" i="106"/>
  <c r="J16" i="4"/>
  <c r="B6226" i="106"/>
  <c r="D6226" i="106"/>
  <c r="B7202" i="106"/>
  <c r="D7202" i="106"/>
  <c r="F342" i="29"/>
  <c r="B7219" i="106"/>
  <c r="D7219" i="106"/>
  <c r="B7503" i="106"/>
  <c r="B7531" i="106"/>
  <c r="D7253" i="106"/>
  <c r="D7251" i="106"/>
  <c r="B7214" i="106"/>
  <c r="D7214" i="106"/>
  <c r="B7221" i="106"/>
  <c r="D7221" i="106"/>
  <c r="B7201" i="106"/>
  <c r="D7201" i="106"/>
  <c r="E342" i="29"/>
  <c r="B7218" i="106"/>
  <c r="D7218" i="106"/>
  <c r="B6917" i="106"/>
  <c r="D6917" i="106"/>
  <c r="J74" i="29"/>
  <c r="B5501" i="106"/>
  <c r="D5501" i="106"/>
  <c r="D7256" i="106"/>
  <c r="D7255" i="106"/>
  <c r="D7254" i="106"/>
  <c r="D7248" i="106"/>
  <c r="D7247" i="106"/>
  <c r="D7246" i="106"/>
  <c r="J312" i="29"/>
  <c r="B7117" i="106"/>
  <c r="D7117" i="106"/>
  <c r="I312" i="29"/>
  <c r="B7116" i="106"/>
  <c r="D7116" i="106"/>
  <c r="J151" i="29"/>
  <c r="B7052" i="106"/>
  <c r="D7052" i="106"/>
  <c r="B6916" i="106"/>
  <c r="D6916" i="106"/>
  <c r="I49" i="8"/>
  <c r="B3672" i="106"/>
  <c r="D3672" i="106"/>
  <c r="B3633" i="106"/>
  <c r="D3633" i="106"/>
  <c r="B3628" i="106"/>
  <c r="D3628" i="106"/>
  <c r="B3629" i="106"/>
  <c r="D3629" i="106"/>
  <c r="E44" i="4"/>
  <c r="B3235" i="106"/>
  <c r="D3235" i="106"/>
  <c r="B3238" i="106"/>
  <c r="D3238" i="106"/>
  <c r="B3229" i="106"/>
  <c r="D3229" i="106"/>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B1508" i="106"/>
  <c r="D1508" i="106"/>
  <c r="B1491" i="106"/>
  <c r="D1491" i="106"/>
  <c r="B1485" i="106"/>
  <c r="D1485" i="106"/>
  <c r="B1475" i="106"/>
  <c r="D1475" i="106"/>
  <c r="B2842" i="106"/>
  <c r="D2842" i="106"/>
  <c r="B1381" i="106"/>
  <c r="D1381" i="106"/>
  <c r="B1317" i="106"/>
  <c r="D1317" i="106"/>
  <c r="B1318" i="106"/>
  <c r="D1318" i="106"/>
  <c r="B1127" i="106"/>
  <c r="D1127" i="106"/>
  <c r="B1133" i="106"/>
  <c r="D1133" i="106"/>
  <c r="B1123" i="106"/>
  <c r="D1123" i="106"/>
  <c r="K365" i="29"/>
  <c r="K367" i="29"/>
  <c r="B3640" i="106"/>
  <c r="D3640" i="106"/>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B1500" i="106"/>
  <c r="D1500" i="106"/>
  <c r="B1488" i="106"/>
  <c r="D1488" i="106"/>
  <c r="B1417" i="106"/>
  <c r="D1417" i="106"/>
  <c r="H196" i="29"/>
  <c r="B2828" i="106"/>
  <c r="D2828" i="106"/>
  <c r="B1328" i="106"/>
  <c r="D1328" i="106"/>
  <c r="B2986" i="106"/>
  <c r="D2986" i="106"/>
  <c r="B1256" i="106"/>
  <c r="D1256" i="106"/>
  <c r="B7013" i="106"/>
  <c r="D7013" i="106"/>
  <c r="B2088" i="106"/>
  <c r="D2088" i="106"/>
  <c r="B1135" i="106"/>
  <c r="D1135" i="106"/>
  <c r="B1141" i="106"/>
  <c r="D1141" i="106"/>
  <c r="B1021" i="106"/>
  <c r="D1021" i="106"/>
  <c r="H74" i="29"/>
  <c r="B847" i="106"/>
  <c r="D847" i="106"/>
  <c r="E74" i="29"/>
  <c r="B1144" i="106"/>
  <c r="D1144" i="106"/>
  <c r="B1358" i="106"/>
  <c r="D1358" i="106"/>
  <c r="F210" i="29"/>
  <c r="B1359" i="106"/>
  <c r="D1359" i="106"/>
  <c r="B1345" i="106"/>
  <c r="D1345" i="106"/>
  <c r="D210" i="29"/>
  <c r="B1346" i="106"/>
  <c r="D1346" i="106"/>
  <c r="B1283" i="106"/>
  <c r="D1283" i="106"/>
  <c r="B1275" i="106"/>
  <c r="D1275" i="106"/>
  <c r="B1279" i="106"/>
  <c r="D1279" i="106"/>
  <c r="B1266" i="106"/>
  <c r="D1266" i="106"/>
  <c r="H151" i="29"/>
  <c r="B1273" i="106"/>
  <c r="D1273" i="106"/>
  <c r="B1247" i="106"/>
  <c r="D1247" i="106"/>
  <c r="F129" i="29"/>
  <c r="B1231" i="106"/>
  <c r="D1231" i="106"/>
  <c r="D129" i="29"/>
  <c r="B1109" i="106"/>
  <c r="D1109" i="106"/>
  <c r="H102" i="29"/>
  <c r="B1047" i="106"/>
  <c r="D1047" i="106"/>
  <c r="B905" i="106"/>
  <c r="D905" i="106"/>
  <c r="F74" i="29"/>
  <c r="D74" i="29"/>
  <c r="B211" i="106"/>
  <c r="D211" i="106"/>
  <c r="H41" i="3"/>
  <c r="B188" i="106"/>
  <c r="D188" i="106"/>
  <c r="G41" i="3"/>
  <c r="B139" i="106"/>
  <c r="D139" i="106"/>
  <c r="E41" i="3"/>
  <c r="L151" i="29"/>
  <c r="J24" i="12"/>
  <c r="B7730" i="106"/>
  <c r="D7730" i="106"/>
  <c r="H275" i="5"/>
  <c r="B5914" i="106"/>
  <c r="D5914" i="106"/>
  <c r="F275" i="5"/>
  <c r="B2657" i="106"/>
  <c r="D2657" i="106"/>
  <c r="H8" i="4"/>
  <c r="B3447" i="106"/>
  <c r="D3447" i="106"/>
  <c r="D19" i="7"/>
  <c r="B1775" i="106"/>
  <c r="D1775" i="106"/>
  <c r="B7270" i="106"/>
  <c r="B7760" i="106"/>
  <c r="D7760" i="106"/>
  <c r="D24" i="36"/>
  <c r="F178" i="34"/>
  <c r="B171" i="106"/>
  <c r="D171" i="106"/>
  <c r="D47" i="36"/>
  <c r="B1515" i="106"/>
  <c r="D1515" i="106"/>
  <c r="G16" i="4"/>
  <c r="B2611" i="106"/>
  <c r="D2611" i="106"/>
  <c r="B2913" i="106"/>
  <c r="D2913" i="106"/>
  <c r="D50" i="36"/>
  <c r="B3318" i="106"/>
  <c r="D3318" i="106"/>
  <c r="B3319" i="106"/>
  <c r="D3319" i="106"/>
  <c r="B3674" i="106"/>
  <c r="D3674" i="106"/>
  <c r="B3573" i="106"/>
  <c r="D3573" i="106"/>
  <c r="K4" i="4"/>
  <c r="B6028" i="106"/>
  <c r="D6028" i="106"/>
  <c r="B2591" i="106"/>
  <c r="D2591" i="106"/>
  <c r="B5588" i="106"/>
  <c r="D5588" i="106"/>
  <c r="B124" i="106"/>
  <c r="D124" i="106"/>
  <c r="D45" i="36"/>
  <c r="B1151" i="106"/>
  <c r="D1151" i="106"/>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75" i="5"/>
  <c r="K275" i="5"/>
  <c r="B6023" i="106"/>
  <c r="D6023" i="106"/>
  <c r="B5320" i="106"/>
  <c r="D5320" i="106"/>
  <c r="B929" i="106"/>
  <c r="D929" i="106"/>
  <c r="F114" i="29"/>
  <c r="B931" i="106"/>
  <c r="D931" i="106"/>
  <c r="B987" i="106"/>
  <c r="D987" i="106"/>
  <c r="B1115" i="106"/>
  <c r="D1115" i="106"/>
  <c r="D151" i="29"/>
  <c r="B1234" i="106"/>
  <c r="D1234" i="106"/>
  <c r="B1233" i="106"/>
  <c r="D1233" i="106"/>
  <c r="F151" i="29"/>
  <c r="B1250" i="106"/>
  <c r="D1250" i="106"/>
  <c r="B1249" i="106"/>
  <c r="D1249" i="106"/>
  <c r="B7048" i="106"/>
  <c r="D7048" i="106"/>
  <c r="B2837" i="106"/>
  <c r="D2837" i="106"/>
  <c r="B1145" i="106"/>
  <c r="D1145" i="106"/>
  <c r="B1258" i="106"/>
  <c r="D1258" i="106"/>
  <c r="B1331" i="106"/>
  <c r="D1331" i="106"/>
  <c r="E16" i="4"/>
  <c r="B1446" i="106"/>
  <c r="D1446" i="106"/>
  <c r="B1448" i="106"/>
  <c r="D1448" i="106"/>
  <c r="B1125" i="106"/>
  <c r="D1125" i="106"/>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B7051" i="106"/>
  <c r="D7051" i="106"/>
  <c r="B6026" i="106"/>
  <c r="D6026" i="106"/>
  <c r="I275" i="5"/>
  <c r="B5946" i="106"/>
  <c r="D5946" i="106"/>
  <c r="B5863" i="106"/>
  <c r="D5863" i="106"/>
  <c r="B7747" i="106"/>
  <c r="D7747" i="106"/>
  <c r="J17" i="4"/>
  <c r="A7258" i="106"/>
  <c r="D7257" i="106"/>
  <c r="B1122" i="106"/>
  <c r="D1122" i="106"/>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B2093" i="106"/>
  <c r="D2093" i="106"/>
  <c r="H210" i="29"/>
  <c r="B1376" i="106"/>
  <c r="D1376" i="106"/>
  <c r="B2830" i="106"/>
  <c r="D2830" i="106"/>
  <c r="B1958" i="106"/>
  <c r="D1958" i="106"/>
  <c r="G26" i="12"/>
  <c r="B7739" i="106"/>
  <c r="D7739" i="106"/>
  <c r="B3642" i="106"/>
  <c r="D3642" i="106"/>
  <c r="B3643" i="106"/>
  <c r="D3643" i="106"/>
  <c r="K16" i="4"/>
  <c r="B7243" i="106"/>
  <c r="D7243" i="106"/>
  <c r="B1481" i="106"/>
  <c r="D1481" i="106"/>
  <c r="B2102" i="106"/>
  <c r="D2102" i="106"/>
  <c r="H15" i="4"/>
  <c r="B2660" i="106"/>
  <c r="D2660" i="106"/>
  <c r="B3636" i="106"/>
  <c r="D3636" i="106"/>
  <c r="B3635" i="106"/>
  <c r="D3635" i="106"/>
  <c r="B4171" i="106"/>
  <c r="D4171" i="106"/>
  <c r="N36" i="3"/>
  <c r="J114" i="29"/>
  <c r="B7021" i="106"/>
  <c r="D7021" i="106"/>
  <c r="B6978" i="106"/>
  <c r="D6978" i="106"/>
  <c r="B7224" i="106"/>
  <c r="D7224" i="106"/>
  <c r="B7244" i="106"/>
  <c r="D7244" i="106"/>
  <c r="B7234" i="106"/>
  <c r="D7234" i="106"/>
  <c r="B1108" i="106"/>
  <c r="D1108" i="106"/>
  <c r="B5544" i="106"/>
  <c r="D5544" i="106"/>
  <c r="E6" i="4"/>
  <c r="B5719" i="106"/>
  <c r="D5719" i="106"/>
  <c r="B2594" i="106"/>
  <c r="D2594" i="106"/>
  <c r="B1119" i="106"/>
  <c r="D1119" i="106"/>
  <c r="G12" i="145"/>
  <c r="G19" i="145"/>
  <c r="J20" i="145"/>
  <c r="E19" i="145"/>
  <c r="B5915" i="106"/>
  <c r="D5915" i="106"/>
  <c r="B5720" i="106"/>
  <c r="D5720" i="106"/>
  <c r="B6222" i="106"/>
  <c r="D6222" i="106"/>
  <c r="J8" i="4"/>
  <c r="B2658" i="106"/>
  <c r="D2658" i="106"/>
  <c r="H10" i="4"/>
  <c r="B4127" i="106"/>
  <c r="D4127" i="106"/>
  <c r="D275" i="5"/>
  <c r="B5507" i="106"/>
  <c r="D5507" i="106"/>
  <c r="B7298" i="106"/>
  <c r="B7299" i="106"/>
  <c r="K313" i="29"/>
  <c r="B1561" i="106"/>
  <c r="D1561" i="106"/>
  <c r="B1152" i="106"/>
  <c r="D1152" i="106"/>
  <c r="B2559" i="106"/>
  <c r="D2559" i="106"/>
  <c r="B7055" i="106"/>
  <c r="D7055" i="106"/>
  <c r="K343" i="29"/>
  <c r="B7225" i="106"/>
  <c r="D7225" i="106"/>
  <c r="B7019" i="106"/>
  <c r="D7019" i="106"/>
  <c r="B2560" i="106"/>
  <c r="D2560" i="106"/>
  <c r="B5421" i="106"/>
  <c r="D5421" i="106"/>
  <c r="B2566" i="106"/>
  <c r="D2566" i="106"/>
  <c r="B3569" i="106"/>
  <c r="D3569" i="106"/>
  <c r="K8" i="4"/>
  <c r="B2631" i="106"/>
  <c r="D2631" i="106"/>
  <c r="B2556" i="106"/>
  <c r="D2556" i="106"/>
  <c r="A7259" i="106"/>
  <c r="D7258" i="106"/>
  <c r="B4434" i="106"/>
  <c r="D4434" i="106"/>
  <c r="B4443" i="106"/>
  <c r="D4443" i="106"/>
  <c r="E275" i="5"/>
  <c r="B1281" i="106"/>
  <c r="D1281" i="106"/>
  <c r="B2634" i="106"/>
  <c r="D2634" i="106"/>
  <c r="E17" i="4"/>
  <c r="B1332" i="106"/>
  <c r="D1332" i="106"/>
  <c r="B1259" i="106"/>
  <c r="D1259" i="106"/>
  <c r="B989" i="106"/>
  <c r="D989" i="106"/>
  <c r="C275" i="5"/>
  <c r="B5326" i="106"/>
  <c r="D5326" i="106"/>
  <c r="D19" i="171"/>
  <c r="D32" i="171"/>
  <c r="D49" i="171"/>
  <c r="F10" i="4"/>
  <c r="B4125" i="106"/>
  <c r="D4125" i="106"/>
  <c r="B2595" i="106"/>
  <c r="D2595" i="106"/>
  <c r="G44" i="108"/>
  <c r="G45" i="108"/>
  <c r="E44" i="108"/>
  <c r="E45" i="108"/>
  <c r="H37" i="37"/>
  <c r="B285" i="106"/>
  <c r="D285" i="106"/>
  <c r="N37" i="3"/>
  <c r="B3678" i="106"/>
  <c r="D3678" i="106"/>
  <c r="K368" i="29"/>
  <c r="B3681" i="106"/>
  <c r="D3681" i="106"/>
  <c r="B1510" i="106"/>
  <c r="D1510" i="106"/>
  <c r="G13" i="4"/>
  <c r="K17" i="4"/>
  <c r="B3574" i="106"/>
  <c r="D3574" i="106"/>
  <c r="B1282" i="106"/>
  <c r="D1282" i="106"/>
  <c r="B2571" i="106"/>
  <c r="D2571" i="106"/>
  <c r="J19" i="4"/>
  <c r="B6229" i="106"/>
  <c r="D6229" i="106"/>
  <c r="B6227" i="106"/>
  <c r="D6227" i="106"/>
  <c r="B5869" i="106"/>
  <c r="D5869" i="106"/>
  <c r="G275" i="5"/>
  <c r="B3225" i="106"/>
  <c r="D3225" i="106"/>
  <c r="B7020" i="106"/>
  <c r="D7020" i="106"/>
  <c r="F17" i="11"/>
  <c r="B2659" i="106"/>
  <c r="D2659" i="106"/>
  <c r="H17" i="4"/>
  <c r="B1387" i="106"/>
  <c r="D1387" i="106"/>
  <c r="B2599" i="106"/>
  <c r="D2599" i="106"/>
  <c r="B1382" i="106"/>
  <c r="D1382" i="106"/>
  <c r="B1287" i="106"/>
  <c r="D1287" i="106"/>
  <c r="B2572" i="106"/>
  <c r="D2572" i="106"/>
  <c r="B1143" i="106"/>
  <c r="D1143" i="106"/>
  <c r="B2557" i="106"/>
  <c r="D2557" i="106"/>
  <c r="J20" i="4"/>
  <c r="J10" i="4"/>
  <c r="B6225" i="106"/>
  <c r="D6225" i="106"/>
  <c r="B6223" i="106"/>
  <c r="D6223" i="106"/>
  <c r="B5508" i="106"/>
  <c r="D5508" i="106"/>
  <c r="B2567" i="106"/>
  <c r="D2567" i="106"/>
  <c r="K152" i="29"/>
  <c r="B1289" i="106"/>
  <c r="D1289" i="106"/>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B1288" i="106"/>
  <c r="D1288" i="106"/>
  <c r="B2598" i="106"/>
  <c r="D2598" i="106"/>
  <c r="B3226" i="106"/>
  <c r="D3226" i="106"/>
  <c r="E10" i="146"/>
  <c r="I10" i="4"/>
  <c r="B4128" i="106"/>
  <c r="D4128" i="106"/>
  <c r="G8" i="4"/>
  <c r="B2605" i="106"/>
  <c r="D2605" i="106"/>
  <c r="B2608" i="106"/>
  <c r="D2608" i="106"/>
  <c r="G17" i="4"/>
  <c r="B2554" i="106"/>
  <c r="D2554" i="106"/>
  <c r="H13" i="118"/>
  <c r="B5327" i="106"/>
  <c r="D5327" i="106"/>
  <c r="K115" i="29"/>
  <c r="B1153" i="106"/>
  <c r="D1153" i="106"/>
  <c r="B5552" i="106"/>
  <c r="D5552" i="106"/>
  <c r="K175" i="29"/>
  <c r="B1333" i="106"/>
  <c r="D1333" i="106"/>
  <c r="A7260" i="106"/>
  <c r="D7259" i="106"/>
  <c r="E8" i="4"/>
  <c r="B6230" i="106"/>
  <c r="D6230" i="106"/>
  <c r="J78" i="4"/>
  <c r="D10" i="4"/>
  <c r="B4123" i="106"/>
  <c r="D4123" i="106"/>
  <c r="B2568" i="106"/>
  <c r="D2568" i="106"/>
  <c r="F179" i="34"/>
  <c r="H18" i="118"/>
  <c r="C10" i="4"/>
  <c r="B4122" i="106"/>
  <c r="D4122" i="106"/>
  <c r="B2555" i="106"/>
  <c r="D2555" i="106"/>
  <c r="G10" i="4"/>
  <c r="B4126" i="106"/>
  <c r="D4126" i="106"/>
  <c r="G20" i="4"/>
  <c r="B2606" i="106"/>
  <c r="D2606" i="106"/>
  <c r="D16" i="37"/>
  <c r="E20" i="4"/>
  <c r="B2632" i="106"/>
  <c r="D2632" i="106"/>
  <c r="E10" i="4"/>
  <c r="B4124" i="106"/>
  <c r="D4124" i="106"/>
  <c r="A7261" i="106"/>
  <c r="D7260" i="106"/>
  <c r="G19" i="4"/>
  <c r="B4140" i="106"/>
  <c r="D4140" i="106"/>
  <c r="B2612" i="106"/>
  <c r="D2612" i="106"/>
  <c r="B2561" i="106"/>
  <c r="D2561" i="106"/>
  <c r="H17" i="118"/>
  <c r="H25" i="118"/>
  <c r="K24" i="118"/>
  <c r="O23" i="118"/>
  <c r="O25" i="118"/>
  <c r="F16" i="37"/>
  <c r="C19" i="4"/>
  <c r="B4136" i="106"/>
  <c r="D4136" i="106"/>
  <c r="B288" i="106"/>
  <c r="D288" i="106"/>
  <c r="D55" i="36"/>
  <c r="I18" i="11"/>
  <c r="B7625" i="106"/>
  <c r="H78" i="4"/>
  <c r="B2662" i="106"/>
  <c r="D2662" i="106"/>
  <c r="B3227" i="106"/>
  <c r="D3227" i="106"/>
  <c r="D10" i="146"/>
  <c r="F19" i="4"/>
  <c r="B4139" i="106"/>
  <c r="D4139" i="106"/>
  <c r="B2600" i="106"/>
  <c r="D2600" i="106"/>
  <c r="B2573" i="106"/>
  <c r="D2573" i="106"/>
  <c r="D19" i="4"/>
  <c r="B4137" i="106"/>
  <c r="D4137" i="106"/>
  <c r="C10" i="146"/>
  <c r="K78" i="4"/>
  <c r="B3576" i="106"/>
  <c r="D3576" i="106"/>
  <c r="J81" i="4"/>
  <c r="B6263" i="106"/>
  <c r="D6263" i="106"/>
  <c r="B2574" i="106"/>
  <c r="D2574" i="106"/>
  <c r="B3588" i="106"/>
  <c r="D3588" i="106"/>
  <c r="K81" i="4"/>
  <c r="B2601" i="106"/>
  <c r="D2601" i="106"/>
  <c r="B3320" i="106"/>
  <c r="D3320" i="106"/>
  <c r="K17" i="118"/>
  <c r="B3300" i="106"/>
  <c r="D3300" i="106"/>
  <c r="H81" i="4"/>
  <c r="B7631" i="106"/>
  <c r="F180" i="34"/>
  <c r="F181" i="34"/>
  <c r="F183" i="34"/>
  <c r="A7262" i="106"/>
  <c r="D7261" i="106"/>
  <c r="H16" i="37"/>
  <c r="G78" i="4"/>
  <c r="B2613" i="106"/>
  <c r="D2613" i="106"/>
  <c r="B2562" i="106"/>
  <c r="D2562" i="106"/>
  <c r="B10" i="146"/>
  <c r="E78" i="4"/>
  <c r="B2636" i="106"/>
  <c r="D2636" i="106"/>
  <c r="D64" i="36"/>
  <c r="J82" i="4"/>
  <c r="B6266" i="106"/>
  <c r="D6266" i="106"/>
  <c r="B3239" i="106"/>
  <c r="D3239" i="106"/>
  <c r="B3278" i="106"/>
  <c r="D3278" i="106"/>
  <c r="E81" i="4"/>
  <c r="B3233" i="106"/>
  <c r="D3233" i="106"/>
  <c r="A7263" i="106"/>
  <c r="D7262" i="106"/>
  <c r="B1700" i="106"/>
  <c r="D1700" i="106"/>
  <c r="H82" i="4"/>
  <c r="D62" i="36"/>
  <c r="G81" i="4"/>
  <c r="H12" i="118"/>
  <c r="K12" i="118"/>
  <c r="J20" i="118"/>
  <c r="O16" i="118"/>
  <c r="K20" i="118"/>
  <c r="J16" i="37"/>
  <c r="B4269" i="106"/>
  <c r="D4269" i="106"/>
  <c r="B3256" i="106"/>
  <c r="D3256" i="106"/>
  <c r="B3262" i="106"/>
  <c r="D3262" i="106"/>
  <c r="B3323" i="106"/>
  <c r="D3323" i="106"/>
  <c r="I82" i="4"/>
  <c r="D63" i="36"/>
  <c r="B3591" i="106"/>
  <c r="D3591" i="106"/>
  <c r="D65" i="36"/>
  <c r="K82" i="4"/>
  <c r="J83" i="4"/>
  <c r="B6283" i="106"/>
  <c r="D6283" i="106"/>
  <c r="B6274" i="106"/>
  <c r="D6274" i="106"/>
  <c r="D82" i="4"/>
  <c r="B1644" i="106"/>
  <c r="D1644" i="106"/>
  <c r="D58" i="36"/>
  <c r="O11" i="118"/>
  <c r="O13" i="118"/>
  <c r="O17" i="118"/>
  <c r="O20" i="118"/>
  <c r="B6275" i="106"/>
  <c r="D6275" i="106"/>
  <c r="K83" i="4"/>
  <c r="B6284" i="106"/>
  <c r="D6284" i="106"/>
  <c r="H83" i="4"/>
  <c r="B6281" i="106"/>
  <c r="D6281" i="106"/>
  <c r="B6272" i="106"/>
  <c r="D6272" i="106"/>
  <c r="C82" i="4"/>
  <c r="D57" i="36"/>
  <c r="B1630" i="106"/>
  <c r="D1630" i="106"/>
  <c r="E82" i="4"/>
  <c r="B1658" i="106"/>
  <c r="D1658" i="106"/>
  <c r="D59" i="36"/>
  <c r="I83" i="4"/>
  <c r="B6282" i="106"/>
  <c r="D6282" i="106"/>
  <c r="B6273" i="106"/>
  <c r="D6273" i="106"/>
  <c r="G82" i="4"/>
  <c r="D61" i="36"/>
  <c r="B1686" i="106"/>
  <c r="D1686" i="106"/>
  <c r="B1672" i="106"/>
  <c r="D1672" i="106"/>
  <c r="F82" i="4"/>
  <c r="D60" i="36"/>
  <c r="A7264" i="106"/>
  <c r="D7263" i="106"/>
  <c r="B6268" i="106"/>
  <c r="D6268" i="106"/>
  <c r="D83" i="4"/>
  <c r="B6277" i="106"/>
  <c r="D6277" i="106"/>
  <c r="O35" i="118"/>
  <c r="O37" i="118"/>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<sst xmlns="http://schemas.openxmlformats.org/spreadsheetml/2006/main" count="5113" uniqueCount="2137">
  <si>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</si>
  <si>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</si>
  <si>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</si>
  <si>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</si>
  <si>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</si>
  <si>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</si>
  <si>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</si>
  <si>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</si>
  <si>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</si>
  <si>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</si>
  <si>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</si>
  <si>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</si>
  <si>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</si>
  <si>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</si>
  <si>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</si>
  <si>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</si>
  <si>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</si>
  <si>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</si>
  <si>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</si>
  <si>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</si>
  <si>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</si>
  <si>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</si>
  <si>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</si>
  <si>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</si>
  <si>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</si>
  <si>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</si>
  <si>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</si>
  <si>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</si>
  <si>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</si>
  <si>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</si>
  <si>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</si>
  <si>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</si>
  <si>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</si>
  <si>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</si>
  <si>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</si>
  <si>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</si>
  <si>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</si>
  <si>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</si>
  <si>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</si>
  <si>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</si>
  <si>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</si>
  <si>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</si>
  <si>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</si>
  <si>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</si>
  <si>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</si>
  <si>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</si>
  <si>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</si>
  <si>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</si>
  <si>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</si>
  <si>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</si>
  <si>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</si>
  <si>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</si>
  <si>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</si>
  <si>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</si>
  <si>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</si>
  <si>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</si>
  <si>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</si>
  <si>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</si>
  <si>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</si>
  <si>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</si>
  <si>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</si>
  <si>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</si>
  <si>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</si>
  <si>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</si>
  <si>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</si>
  <si>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</si>
  <si>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</si>
  <si>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</si>
  <si>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</si>
  <si>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</si>
  <si>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</si>
  <si>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</si>
  <si>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</si>
  <si>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</si>
  <si>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</si>
  <si>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</si>
  <si>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</si>
  <si>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</si>
  <si>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</si>
  <si>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</si>
  <si>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</si>
  <si>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</si>
  <si>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</si>
  <si>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</si>
  <si>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</si>
  <si>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</si>
  <si>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</si>
  <si>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</si>
  <si>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</si>
  <si>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</si>
  <si>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</si>
  <si>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</si>
  <si>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</si>
  <si>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</si>
  <si>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</si>
  <si>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</si>
  <si>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</si>
  <si>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</si>
  <si>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</si>
  <si>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</si>
  <si>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</si>
  <si>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</si>
  <si>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</si>
  <si>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</si>
  <si>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</si>
  <si>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</si>
  <si>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</si>
  <si>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</si>
  <si>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</si>
  <si>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</si>
  <si>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</si>
  <si>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</si>
  <si>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</si>
  <si>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</si>
  <si>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</si>
  <si>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</si>
  <si>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</si>
  <si>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</si>
  <si>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</si>
  <si>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</si>
  <si>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</si>
  <si>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</si>
  <si>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</si>
  <si>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</si>
  <si>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</si>
  <si>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</si>
  <si>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</si>
  <si>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</si>
  <si>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</si>
  <si>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</si>
  <si>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</si>
  <si>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</si>
  <si>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</si>
  <si>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</si>
  <si>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</si>
  <si>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</si>
  <si>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</si>
  <si>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</si>
  <si>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</si>
  <si>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</si>
  <si>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</si>
  <si>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</si>
  <si>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</si>
  <si>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</si>
  <si>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</si>
  <si>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</si>
  <si>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</si>
  <si>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</si>
  <si>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</si>
  <si>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</si>
  <si>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</si>
  <si>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</si>
  <si>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</si>
  <si>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</si>
  <si>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</si>
  <si>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</si>
  <si>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</si>
  <si>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</si>
  <si>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</si>
  <si>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</si>
  <si>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</si>
  <si>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</si>
  <si>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</si>
  <si>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</si>
  <si>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</si>
  <si>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</si>
  <si>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</si>
  <si>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</si>
  <si>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</si>
  <si>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</si>
  <si>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</si>
  <si>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</si>
  <si>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</si>
  <si>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</si>
  <si>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</si>
  <si>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</si>
  <si>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</si>
  <si>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</si>
  <si>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</si>
  <si>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</si>
  <si>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</si>
  <si>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</si>
  <si>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</si>
  <si>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</si>
  <si>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</si>
  <si>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</si>
  <si>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</si>
  <si>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</si>
  <si>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</si>
  <si>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</si>
  <si>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</si>
  <si>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</si>
  <si>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</si>
  <si>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</si>
  <si>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</si>
  <si>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</si>
  <si>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</si>
  <si>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</si>
  <si>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</si>
  <si>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</si>
  <si>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</si>
  <si>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</si>
  <si>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</si>
  <si>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</si>
  <si>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</si>
  <si>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</si>
  <si>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</si>
  <si>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</si>
  <si>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</si>
  <si>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</si>
  <si>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</si>
  <si>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</si>
  <si>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</si>
  <si>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</si>
  <si>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</si>
  <si>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</si>
  <si>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</si>
  <si>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</si>
  <si>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</si>
  <si>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</si>
  <si>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</si>
  <si>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</si>
  <si>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</si>
  <si>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</si>
  <si>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</si>
  <si>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</si>
  <si>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</si>
  <si>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</si>
  <si>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</si>
  <si>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</si>
  <si>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</si>
  <si>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</si>
  <si>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</si>
  <si>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</si>
  <si>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</si>
  <si>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</si>
  <si>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</si>
  <si>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</si>
  <si>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</si>
  <si>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</si>
  <si>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</si>
  <si>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</si>
  <si>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</si>
  <si>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</si>
  <si>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</si>
  <si>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</si>
  <si>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</si>
  <si>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</si>
  <si>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</si>
  <si>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</si>
  <si>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</si>
  <si>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</si>
  <si>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</si>
  <si>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</si>
  <si>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</si>
  <si>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</si>
  <si>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</si>
  <si>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</si>
  <si>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</si>
  <si>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</si>
  <si>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</si>
  <si>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</si>
  <si>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</si>
  <si>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</si>
  <si>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</si>
  <si>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</si>
  <si>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</si>
  <si>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</si>
  <si>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</si>
  <si>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</si>
  <si>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</si>
  <si>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</si>
  <si>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</si>
  <si>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</si>
  <si>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</si>
  <si>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</si>
  <si>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</si>
  <si>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</si>
  <si>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</si>
  <si>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</si>
  <si>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</si>
  <si>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</si>
  <si>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</si>
  <si>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</si>
  <si>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</si>
  <si>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</si>
  <si>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</si>
  <si>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</si>
  <si>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</si>
  <si>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</si>
  <si>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</si>
  <si>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</si>
  <si>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</si>
  <si>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</si>
  <si>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</si>
  <si>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</si>
  <si>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</si>
  <si>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</si>
  <si>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</si>
  <si>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</si>
  <si>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</si>
  <si>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</si>
  <si>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</si>
  <si>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</si>
  <si>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</si>
  <si>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</si>
  <si>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</si>
  <si>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</si>
  <si>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</si>
  <si>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</si>
  <si>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</si>
  <si>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</si>
  <si>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</si>
  <si>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</si>
  <si>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</si>
  <si>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</si>
  <si>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</si>
  <si>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</si>
  <si>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</si>
  <si>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</si>
  <si>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</si>
  <si>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</si>
  <si>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</si>
  <si>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</si>
  <si>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</si>
  <si>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</si>
  <si>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</si>
  <si>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</si>
  <si>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</si>
  <si>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</si>
  <si>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</si>
  <si>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</si>
  <si>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</si>
  <si>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</si>
  <si>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</si>
  <si>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</si>
  <si>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</si>
  <si>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</si>
  <si>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</si>
  <si>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</si>
  <si>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</si>
  <si>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</si>
  <si>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</si>
  <si>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</si>
  <si>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</si>
  <si>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</si>
  <si>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</si>
  <si>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</si>
  <si>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</si>
  <si>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</si>
  <si>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</si>
  <si>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</si>
  <si>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</si>
  <si>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</si>
  <si>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</si>
  <si>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</si>
  <si>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</si>
  <si>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</si>
  <si>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</si>
  <si>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</si>
  <si>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</si>
  <si>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</si>
  <si>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</si>
  <si>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</si>
  <si>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</si>
  <si>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</si>
  <si>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</si>
  <si>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</si>
  <si>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</si>
  <si>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</si>
  <si>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</si>
  <si>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</si>
  <si>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</si>
  <si>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</si>
  <si>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</si>
  <si>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</si>
  <si>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</si>
  <si>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</si>
  <si>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</si>
  <si>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</si>
  <si>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</si>
  <si>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</si>
  <si>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</si>
  <si>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</si>
  <si>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</si>
  <si>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</si>
  <si>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</si>
  <si>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</si>
  <si>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</si>
  <si>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</si>
  <si>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</si>
  <si>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</si>
  <si>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</si>
  <si>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</si>
  <si>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</si>
  <si>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</si>
  <si>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</si>
  <si>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</si>
  <si>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</si>
  <si>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</si>
  <si>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</si>
  <si>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</si>
  <si>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</si>
  <si>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</si>
  <si>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</si>
  <si>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</si>
  <si>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</si>
  <si>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</si>
  <si>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</si>
  <si>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</si>
  <si>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</si>
  <si>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</si>
  <si>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</si>
  <si>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</si>
  <si>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</si>
  <si>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</si>
  <si>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</si>
  <si>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</si>
  <si>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</si>
  <si>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</si>
  <si>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</si>
  <si>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</si>
  <si>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</si>
  <si>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</si>
  <si>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</si>
  <si>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</si>
  <si>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</si>
  <si>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</si>
  <si>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</si>
  <si>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</si>
  <si>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</si>
  <si>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</si>
  <si>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</si>
  <si>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</si>
  <si>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</si>
  <si>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</si>
  <si>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</si>
  <si>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</si>
  <si>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</si>
  <si>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</si>
  <si>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</si>
  <si>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</si>
  <si>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</si>
  <si>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</si>
  <si>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</si>
  <si>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</si>
  <si>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</si>
  <si>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</si>
  <si>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</si>
  <si>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</si>
  <si>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</si>
  <si>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</si>
  <si>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</si>
  <si>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</si>
  <si>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</si>
  <si>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</si>
  <si>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</si>
  <si>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</si>
  <si>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</si>
  <si>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</si>
  <si>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</si>
  <si>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</si>
  <si>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</si>
  <si>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</si>
  <si>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</si>
  <si>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</si>
  <si>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</si>
  <si>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</si>
  <si>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</si>
  <si>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</si>
  <si>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</si>
  <si>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</si>
  <si>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</si>
  <si>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</si>
  <si>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</si>
  <si>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</si>
  <si>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</si>
  <si>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</si>
  <si>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</si>
  <si>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</si>
  <si>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</si>
  <si>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</si>
  <si>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</si>
  <si>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</si>
  <si>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</si>
  <si>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</si>
  <si>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</si>
  <si>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</si>
  <si>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</si>
  <si>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</si>
  <si>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</si>
  <si>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</si>
  <si>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</si>
  <si>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</si>
  <si>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</si>
  <si>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</si>
  <si>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</si>
  <si>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</si>
  <si>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</si>
  <si>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</si>
  <si>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</si>
  <si>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</si>
  <si>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</si>
  <si>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</si>
  <si>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</si>
  <si>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</si>
  <si>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</si>
  <si>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</si>
  <si>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</si>
  <si>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</si>
  <si>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</si>
  <si>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</si>
  <si>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</si>
  <si>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</si>
  <si>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</si>
  <si>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</si>
  <si>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</si>
  <si>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</si>
  <si>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</si>
  <si>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</si>
  <si>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</si>
  <si>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</si>
  <si>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</si>
  <si>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</si>
  <si>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</si>
  <si>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</si>
  <si>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</si>
  <si>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</si>
  <si>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</si>
  <si>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</si>
  <si>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</si>
  <si>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</si>
  <si>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</si>
  <si>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</si>
  <si>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</si>
  <si>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</si>
  <si>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</si>
  <si>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</si>
  <si>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</si>
  <si>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</si>
  <si>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</si>
  <si>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</si>
  <si>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</si>
  <si>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</si>
  <si>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</si>
  <si>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</si>
  <si>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</si>
  <si>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</si>
  <si>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</si>
  <si>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</si>
  <si>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</si>
  <si>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</si>
  <si>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</si>
  <si>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</si>
  <si>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</si>
  <si>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</si>
  <si>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</si>
  <si>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</si>
  <si>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</si>
  <si>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</si>
  <si>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</si>
  <si>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</si>
  <si>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</si>
  <si>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</si>
  <si>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</si>
  <si>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</si>
  <si>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</si>
  <si>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</si>
  <si>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</si>
  <si>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</si>
  <si>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</si>
  <si>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</si>
  <si>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</si>
  <si>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</si>
  <si>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</si>
  <si>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</si>
  <si>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</si>
  <si>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</si>
  <si>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</si>
  <si>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</si>
  <si>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</si>
  <si>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</si>
  <si>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</si>
  <si>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</si>
  <si>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</si>
  <si>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</si>
  <si>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</si>
  <si>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</si>
  <si>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</si>
  <si>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</si>
  <si>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</si>
  <si>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</si>
  <si>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</si>
  <si>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</si>
  <si>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</si>
  <si>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</si>
  <si>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</si>
  <si>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</si>
  <si>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</si>
  <si>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</si>
  <si>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</si>
  <si>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</si>
  <si>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</si>
  <si>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</si>
  <si>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</si>
  <si>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</si>
  <si>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</si>
  <si>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</si>
  <si>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</si>
  <si>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</si>
  <si>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</si>
  <si>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</si>
  <si>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</si>
  <si>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</si>
  <si>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</si>
  <si>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</si>
  <si>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</si>
  <si>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</si>
  <si>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</si>
  <si>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</si>
  <si>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</si>
  <si>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</si>
  <si>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</si>
  <si>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</si>
  <si>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</si>
  <si>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</si>
  <si>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</si>
  <si>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</si>
  <si>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</si>
  <si>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</si>
  <si>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</si>
  <si>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</si>
  <si>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</si>
  <si>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</si>
  <si>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</si>
  <si>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</si>
  <si>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</si>
  <si>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</si>
  <si>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</si>
  <si>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</si>
  <si>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</si>
  <si>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</si>
  <si>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</si>
  <si>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</si>
  <si>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</si>
  <si>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</si>
  <si>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</si>
  <si>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</si>
  <si>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</si>
  <si>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</si>
  <si>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</si>
  <si>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</si>
  <si>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</si>
  <si>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</si>
  <si>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</si>
  <si>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</si>
  <si>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</si>
  <si>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</si>
  <si>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</si>
  <si>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</si>
  <si>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</si>
  <si>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</si>
  <si>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</si>
  <si>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</si>
  <si>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</si>
  <si>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</si>
  <si>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</si>
  <si>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</si>
  <si>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</si>
  <si>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</si>
  <si>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</si>
  <si>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</si>
  <si>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</si>
  <si>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</si>
  <si>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</si>
  <si>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</si>
  <si>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</si>
  <si>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</si>
  <si>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</si>
  <si>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</si>
  <si>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</si>
  <si>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</si>
  <si>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</si>
  <si>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</si>
  <si>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</si>
  <si>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</si>
  <si>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</si>
  <si>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</si>
  <si>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</si>
  <si>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</si>
  <si>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</si>
  <si>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</si>
  <si>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</si>
  <si>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</si>
  <si>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</si>
  <si>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</si>
  <si>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</si>
  <si>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</si>
  <si>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</si>
  <si>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</si>
  <si>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</si>
  <si>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</si>
  <si>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</si>
  <si>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</si>
  <si>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</si>
  <si>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</si>
  <si>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</si>
  <si>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</si>
  <si>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</si>
  <si>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</si>
  <si>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</si>
  <si>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</si>
  <si>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</si>
  <si>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</si>
  <si>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</si>
  <si>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</si>
  <si>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</si>
  <si>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</si>
  <si>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</si>
  <si>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</si>
  <si>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</si>
  <si>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</si>
  <si>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</si>
  <si>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</si>
  <si>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</si>
  <si>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</si>
  <si>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</si>
  <si>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</si>
  <si>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</si>
  <si>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</si>
  <si>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</si>
  <si>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</si>
  <si>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</si>
  <si>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</si>
  <si>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</si>
  <si>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</si>
  <si>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</si>
  <si>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</si>
  <si>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</si>
  <si>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</si>
  <si>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</si>
  <si>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</si>
  <si>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</si>
  <si>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</si>
  <si>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</si>
  <si>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</si>
  <si>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</si>
  <si>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</si>
  <si>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</si>
  <si>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</si>
  <si>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</si>
  <si>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</si>
  <si>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</si>
  <si>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</si>
  <si>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</si>
  <si>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</si>
  <si>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</si>
  <si>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</si>
  <si>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</si>
  <si>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</si>
  <si>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</si>
  <si>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</si>
  <si>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</si>
  <si>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</si>
  <si>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</si>
  <si>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</si>
  <si>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</si>
  <si>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</si>
  <si>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</si>
  <si>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</si>
  <si>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</si>
  <si>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</si>
  <si>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</si>
  <si>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</si>
  <si>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</si>
  <si>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</si>
  <si>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</si>
  <si>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</si>
  <si>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</si>
  <si>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</si>
  <si>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</si>
  <si>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</si>
  <si>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</si>
  <si>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</si>
  <si>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</si>
  <si>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</si>
  <si>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</si>
  <si>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</si>
  <si>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</si>
  <si>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</si>
  <si>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</si>
  <si>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</si>
  <si>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</si>
  <si>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</si>
  <si>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</si>
  <si>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</si>
  <si>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</si>
  <si>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</si>
  <si>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</si>
  <si>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</si>
  <si>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</si>
  <si>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</si>
  <si>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</si>
  <si>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</si>
  <si>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</si>
  <si>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</si>
  <si>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</si>
  <si>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</si>
  <si>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</si>
  <si>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</si>
  <si>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</si>
  <si>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</si>
  <si>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</si>
  <si>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</si>
  <si>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</si>
  <si>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</si>
  <si>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</si>
  <si>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</si>
  <si>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</si>
  <si>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</si>
  <si>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</si>
  <si>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</si>
  <si>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</si>
  <si>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</si>
  <si>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</si>
  <si>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</si>
  <si>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</si>
  <si>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</si>
  <si>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</si>
  <si>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</si>
  <si>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</si>
  <si>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</si>
  <si>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</si>
  <si>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</si>
  <si>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</si>
  <si>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</si>
  <si>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</si>
  <si>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</si>
  <si>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</si>
  <si>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</si>
  <si>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</si>
  <si>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</si>
  <si>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</si>
  <si>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</si>
  <si>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</si>
  <si>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</si>
  <si>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</si>
  <si>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</si>
  <si>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</si>
  <si>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</si>
  <si>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</si>
  <si>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</si>
  <si>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</si>
  <si>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</si>
  <si>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</si>
  <si>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</si>
  <si>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</si>
  <si>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</si>
  <si>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</si>
  <si>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</si>
  <si>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</si>
  <si>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</si>
  <si>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</si>
  <si>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</si>
  <si>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</si>
  <si>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</si>
  <si>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</si>
  <si>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</si>
  <si>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</si>
  <si>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</si>
  <si>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</si>
  <si>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</si>
  <si>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</si>
  <si>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</si>
  <si>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</si>
  <si>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</si>
  <si>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</si>
  <si>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</si>
  <si>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</si>
  <si>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</si>
  <si>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</si>
  <si>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</si>
  <si>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</si>
  <si>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</si>
  <si>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</si>
  <si>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</si>
  <si>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</si>
  <si>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</si>
  <si>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</si>
  <si>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</si>
  <si>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</si>
  <si>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</si>
  <si>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</si>
  <si>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</si>
  <si>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</si>
  <si>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</si>
  <si>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</si>
  <si>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</si>
  <si>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</si>
  <si>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</si>
  <si>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</si>
  <si>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</si>
  <si>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</si>
  <si>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</si>
  <si>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</si>
  <si>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</si>
  <si>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</si>
  <si>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</si>
  <si>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</si>
  <si>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</si>
  <si>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</si>
  <si>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</si>
  <si>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</si>
  <si>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</si>
  <si>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</si>
  <si>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</si>
  <si>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</si>
  <si>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</si>
  <si>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</si>
  <si>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</si>
  <si>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</si>
  <si>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</si>
  <si>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</si>
  <si>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</si>
  <si>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</si>
  <si>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</si>
  <si>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</si>
  <si>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</si>
  <si>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</si>
  <si>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</si>
  <si>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</si>
  <si>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</si>
  <si>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</si>
  <si>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</si>
  <si>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</si>
  <si>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</si>
  <si>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</si>
  <si>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</si>
  <si>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</si>
  <si>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</si>
  <si>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</si>
  <si>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</si>
  <si>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</si>
  <si>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</si>
  <si>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</si>
  <si>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</si>
  <si>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</si>
  <si>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</si>
  <si>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</si>
  <si>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</si>
  <si>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</si>
  <si>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</si>
  <si>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</si>
  <si>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</si>
  <si>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</si>
  <si>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</si>
  <si>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</si>
  <si>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</si>
  <si>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</si>
  <si>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</si>
  <si>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</si>
  <si>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</si>
  <si>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</si>
  <si>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</si>
  <si>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</si>
  <si>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</si>
  <si>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</si>
  <si>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</si>
  <si>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</si>
  <si>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</si>
  <si>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</si>
  <si>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</si>
  <si>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</si>
  <si>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</si>
  <si>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</si>
  <si>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</si>
  <si>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</si>
  <si>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</si>
  <si>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</si>
  <si>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</si>
  <si>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</si>
  <si>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</si>
  <si>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</si>
  <si>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</si>
  <si>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</si>
  <si>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</si>
  <si>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</si>
  <si>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</si>
  <si>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</si>
  <si>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</si>
  <si>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</si>
  <si>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</si>
  <si>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</si>
  <si>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</si>
  <si>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</si>
  <si>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</si>
  <si>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</si>
  <si>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</si>
  <si>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</si>
  <si>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</si>
  <si>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</si>
  <si>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</si>
  <si>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</si>
  <si>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</si>
  <si>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</si>
  <si>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</si>
  <si>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</si>
  <si>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</si>
  <si>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</si>
  <si>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</si>
  <si>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</si>
  <si>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</si>
  <si>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</si>
  <si>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</si>
  <si>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</si>
  <si>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</si>
  <si>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</si>
  <si>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</si>
  <si>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</si>
  <si>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</si>
  <si>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</si>
  <si>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</si>
  <si>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</si>
  <si>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</si>
  <si>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</si>
  <si>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</si>
  <si>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</si>
  <si>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</si>
  <si>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</si>
  <si>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</si>
  <si>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</si>
  <si>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</si>
  <si>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</si>
  <si>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</si>
  <si>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</si>
  <si>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</si>
  <si>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</si>
  <si>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</si>
  <si>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</si>
  <si>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</si>
  <si>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</si>
  <si>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</si>
  <si>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</si>
  <si>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</si>
  <si>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</si>
  <si>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</si>
  <si>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</si>
  <si>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</si>
  <si>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</si>
  <si>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</si>
  <si>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</si>
  <si>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</si>
  <si>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</si>
  <si>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</si>
  <si>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</si>
  <si>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</si>
  <si>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</si>
  <si>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</si>
  <si>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</si>
  <si>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</si>
  <si>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</si>
  <si>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</si>
  <si>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</si>
  <si>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</si>
  <si>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</si>
  <si>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</si>
  <si>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</si>
  <si>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</si>
  <si>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</si>
  <si>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</si>
  <si>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</si>
  <si>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</si>
  <si>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</si>
  <si>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</si>
  <si>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</si>
  <si>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</si>
  <si>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</si>
  <si>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</si>
  <si>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</si>
  <si>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</si>
  <si>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</si>
  <si>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</si>
  <si>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</si>
  <si>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</si>
  <si>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</si>
  <si>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</si>
  <si>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</si>
  <si>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</si>
  <si>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</si>
  <si>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</si>
  <si>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</si>
  <si>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</si>
  <si>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</si>
  <si>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</si>
  <si>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</si>
  <si>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</si>
  <si>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</si>
  <si>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</si>
  <si>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</si>
  <si>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</si>
  <si>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</si>
  <si>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</si>
  <si>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</si>
  <si>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</si>
  <si>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</si>
  <si>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</si>
  <si>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</si>
  <si>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</si>
  <si>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</si>
  <si>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</si>
  <si>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</si>
  <si>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</si>
  <si>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</si>
  <si>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</si>
  <si>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</si>
  <si>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</si>
  <si>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</si>
  <si>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</si>
  <si>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</si>
  <si>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</si>
  <si>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</si>
  <si>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</si>
  <si>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</si>
  <si>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</si>
  <si>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</si>
  <si>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</si>
  <si>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</si>
  <si>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</si>
  <si>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</si>
  <si>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</si>
  <si>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</si>
  <si>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</si>
  <si>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</si>
  <si>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</si>
  <si>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</si>
  <si>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</si>
  <si>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</si>
  <si>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</si>
  <si>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</si>
  <si>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</si>
  <si>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</si>
  <si>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</si>
  <si>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</si>
  <si>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</si>
  <si>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</si>
  <si>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</si>
  <si>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</si>
  <si>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</si>
  <si>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</si>
  <si>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</si>
  <si>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</si>
  <si>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</si>
  <si>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</si>
  <si>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</si>
  <si>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</si>
  <si>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</si>
  <si>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</si>
  <si>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</si>
  <si>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</si>
  <si>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</si>
  <si>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</si>
  <si>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</si>
  <si>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</si>
  <si>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</si>
  <si>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</si>
  <si>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</si>
  <si>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</si>
  <si>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</si>
  <si>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</si>
  <si>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</si>
  <si>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</si>
  <si>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</si>
  <si>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</si>
  <si>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</si>
  <si>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</si>
  <si>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</si>
  <si>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</si>
  <si>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</si>
  <si>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</si>
  <si>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</si>
  <si>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</si>
  <si>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</si>
  <si>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</si>
  <si>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</si>
  <si>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</si>
  <si>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</si>
  <si>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</si>
  <si>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</si>
  <si>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</si>
  <si>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</si>
  <si>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</si>
  <si>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</si>
  <si>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</si>
  <si>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</si>
  <si>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</si>
  <si>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</si>
  <si>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</si>
  <si>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</si>
  <si>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</si>
  <si>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</si>
  <si>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</si>
  <si>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</si>
  <si>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</si>
  <si>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</si>
  <si>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</si>
  <si>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</si>
  <si>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</si>
  <si>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</si>
  <si>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</si>
  <si>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</si>
  <si>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</si>
  <si>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</si>
  <si>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</si>
  <si>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</si>
  <si>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</si>
  <si>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</si>
  <si>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</si>
  <si>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</si>
  <si>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</si>
  <si>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</si>
  <si>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</si>
  <si>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</si>
  <si>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</si>
  <si>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</si>
  <si>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</si>
  <si>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</si>
  <si>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</si>
  <si>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</si>
  <si>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</si>
  <si>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</si>
  <si>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</si>
  <si>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</si>
  <si>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</si>
  <si>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</si>
  <si>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</si>
  <si>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</si>
  <si>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</si>
  <si>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</si>
  <si>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</si>
  <si>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</si>
  <si>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</si>
  <si>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</si>
  <si>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</si>
  <si>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</si>
  <si>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</si>
  <si>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</si>
  <si>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</si>
  <si>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</si>
  <si>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</si>
  <si>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</si>
  <si>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</si>
  <si>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</si>
  <si>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</si>
  <si>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</si>
  <si>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</si>
  <si>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</si>
  <si>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</si>
  <si>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</si>
  <si>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</si>
  <si>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</si>
  <si>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</si>
  <si>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</si>
  <si>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</si>
  <si>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</si>
  <si>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</si>
  <si>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</si>
  <si>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</si>
  <si>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</si>
  <si>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</si>
  <si>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</si>
  <si>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</si>
  <si>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</si>
  <si>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</si>
  <si>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</si>
  <si>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</si>
  <si>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</si>
  <si>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</si>
  <si>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</si>
  <si>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</si>
  <si>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</si>
  <si>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</si>
  <si>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</si>
  <si>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</si>
  <si>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</si>
  <si>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</si>
  <si>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</si>
  <si>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</si>
  <si>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</si>
  <si>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</si>
  <si>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</si>
  <si>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</si>
  <si>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</si>
  <si>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</si>
  <si>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</si>
  <si>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</si>
  <si>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</si>
  <si>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</si>
  <si>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</si>
  <si>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</si>
  <si>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</si>
  <si>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</si>
  <si>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</si>
  <si>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</si>
  <si>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</si>
  <si>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</si>
  <si>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</si>
  <si>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</si>
  <si>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</si>
  <si>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</si>
  <si>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</si>
  <si>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</si>
  <si>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</si>
  <si>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</si>
  <si>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</si>
  <si>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</si>
  <si>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</si>
  <si>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</si>
  <si>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</si>
  <si>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</si>
  <si>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</si>
  <si>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</si>
  <si>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</si>
  <si>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</si>
  <si>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</si>
  <si>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</si>
  <si>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</si>
  <si>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</si>
  <si>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</si>
  <si>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</si>
  <si>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</si>
  <si>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</si>
  <si>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</si>
  <si>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</si>
  <si>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</si>
  <si>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</si>
  <si>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</si>
  <si>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</si>
  <si>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</si>
  <si>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</si>
  <si>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</si>
  <si>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</si>
  <si>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</si>
  <si>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</si>
  <si>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</si>
  <si>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</si>
  <si>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</si>
  <si>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</si>
  <si>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</si>
  <si>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</si>
  <si>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</si>
  <si>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</si>
  <si>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</si>
  <si>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</si>
  <si>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</si>
  <si>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</si>
  <si>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</si>
  <si>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</si>
  <si>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</si>
  <si>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</si>
  <si>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</si>
  <si>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</si>
  <si>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</si>
  <si>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</si>
  <si>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</si>
  <si>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</si>
  <si>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</si>
  <si>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</si>
  <si>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</si>
  <si>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</si>
  <si>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</si>
  <si>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</si>
  <si>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</si>
  <si>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</si>
  <si>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</si>
  <si>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</si>
  <si>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</si>
  <si>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</si>
  <si>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</si>
  <si>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</si>
  <si>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</si>
  <si>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</si>
  <si>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</si>
  <si>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</si>
  <si>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</si>
  <si>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</si>
  <si>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</si>
  <si>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</si>
  <si>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</si>
  <si>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</si>
  <si>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</si>
  <si>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</si>
  <si>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</si>
  <si>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</si>
  <si>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</si>
  <si>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</si>
  <si>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</si>
  <si>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</si>
  <si>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</si>
  <si>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</si>
  <si>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</si>
  <si>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</si>
  <si>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</si>
  <si>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</si>
  <si>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</si>
  <si>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</si>
  <si>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</si>
  <si>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</si>
  <si>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</si>
  <si>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</si>
  <si>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</si>
  <si>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</si>
  <si>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</si>
  <si>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</si>
  <si>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</si>
  <si>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</si>
  <si>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</si>
  <si>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</si>
  <si>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</si>
  <si>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</si>
  <si>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</si>
  <si>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</si>
  <si>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</si>
  <si>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</si>
  <si>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</si>
  <si>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</si>
  <si>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</si>
  <si>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</si>
  <si>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</si>
  <si>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</si>
  <si>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</si>
  <si>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</si>
  <si>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</si>
  <si>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</si>
  <si>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</si>
  <si>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</si>
  <si>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</si>
  <si>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</si>
  <si>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</si>
  <si>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</si>
  <si>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</si>
  <si>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</si>
  <si>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</si>
  <si>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</si>
  <si>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</si>
  <si>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</si>
  <si>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</si>
  <si>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</si>
  <si>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</si>
  <si>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</si>
  <si>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</si>
  <si>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</si>
  <si>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</si>
  <si>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</si>
  <si>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</si>
  <si>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</si>
  <si>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</si>
  <si>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</si>
  <si>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</si>
  <si>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</si>
  <si>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</si>
  <si>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</si>
  <si>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</si>
  <si>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</si>
  <si>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</si>
  <si>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</si>
  <si>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</si>
  <si>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</si>
  <si>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</si>
  <si>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</si>
  <si>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</si>
  <si>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</si>
  <si>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</si>
  <si>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</si>
  <si>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</si>
  <si>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</si>
  <si>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</si>
  <si>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</si>
  <si>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</si>
  <si>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</si>
  <si>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</si>
  <si>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</si>
  <si>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</si>
  <si>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</si>
  <si>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</si>
  <si>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</si>
  <si>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</si>
  <si>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</si>
  <si>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</si>
  <si>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</si>
  <si>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</si>
  <si>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</si>
  <si>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</si>
  <si>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</si>
  <si>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</si>
  <si>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</si>
  <si>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</si>
  <si>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</si>
  <si>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</si>
  <si>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</si>
  <si>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</si>
  <si>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</si>
  <si>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</si>
  <si>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</si>
  <si>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</si>
  <si>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</si>
  <si>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</si>
  <si>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</si>
  <si>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</si>
  <si>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</si>
  <si>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</si>
  <si>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</si>
  <si>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</si>
  <si>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</si>
  <si>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</si>
  <si>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</si>
  <si>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</si>
  <si>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</si>
  <si>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</si>
  <si>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</si>
  <si>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</si>
  <si>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</si>
  <si>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</si>
  <si>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</si>
  <si>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</si>
  <si>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</si>
  <si>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</si>
  <si>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</si>
  <si>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</si>
  <si>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</si>
  <si>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</si>
  <si>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</si>
  <si>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</si>
  <si>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</si>
  <si>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</si>
  <si>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</si>
  <si>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</si>
  <si>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</si>
  <si>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</si>
  <si>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</si>
  <si>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</si>
  <si>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</si>
  <si>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</si>
  <si>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</si>
  <si>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</si>
  <si>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</si>
  <si>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</si>
  <si>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</si>
  <si>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</si>
  <si>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</si>
  <si>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</si>
  <si>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</si>
  <si>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</si>
  <si>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</si>
  <si>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</si>
  <si>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</si>
  <si>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</si>
  <si>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</si>
  <si>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</si>
  <si>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</si>
  <si>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</si>
  <si>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</si>
  <si>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</si>
  <si>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</si>
  <si>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</si>
  <si>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</si>
  <si>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</si>
  <si>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</si>
  <si>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</si>
  <si>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</si>
  <si>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</si>
  <si>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</si>
  <si>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</si>
  <si>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</si>
  <si>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</si>
  <si>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</si>
  <si>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</si>
  <si>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</si>
  <si>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</si>
  <si>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</si>
  <si>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</si>
  <si>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</si>
  <si>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</si>
  <si>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</si>
  <si>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</si>
  <si>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</si>
  <si>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</si>
  <si>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</si>
  <si>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</si>
  <si>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</si>
  <si>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</si>
  <si>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</si>
  <si>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</si>
  <si>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</si>
  <si>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</si>
  <si>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</si>
  <si>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</si>
  <si>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</si>
  <si>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</si>
  <si>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</si>
  <si>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</si>
  <si>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</si>
  <si>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</si>
  <si>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</si>
  <si>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</si>
  <si>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</si>
  <si>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</si>
  <si>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</si>
  <si>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</si>
  <si>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</si>
  <si>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</si>
  <si>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</si>
  <si>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</si>
  <si>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</si>
  <si>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</si>
  <si>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</si>
  <si>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</si>
  <si>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</si>
  <si>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</si>
  <si>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</si>
  <si>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</si>
  <si>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</si>
  <si>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</si>
  <si>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</si>
  <si>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</si>
  <si>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</si>
  <si>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</si>
  <si>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</si>
  <si>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</si>
  <si>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</si>
  <si>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</si>
  <si>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</si>
  <si>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</si>
  <si>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</si>
  <si>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</si>
  <si>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</si>
  <si>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</si>
  <si>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</si>
  <si>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</si>
  <si>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</si>
  <si>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</si>
  <si>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</si>
  <si>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</si>
  <si>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</si>
  <si>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</si>
  <si>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</si>
  <si>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</si>
  <si>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</si>
  <si>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</si>
  <si>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</si>
  <si>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</si>
  <si>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</si>
  <si>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</si>
  <si>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</si>
  <si>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</si>
  <si>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</si>
  <si>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</si>
  <si>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</si>
  <si>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</si>
  <si>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</si>
  <si>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</si>
  <si>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</si>
  <si>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</si>
  <si>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</si>
  <si>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</si>
  <si>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</si>
  <si>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</si>
  <si>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</si>
  <si>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</si>
  <si>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</si>
  <si>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</si>
  <si>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</si>
  <si>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</si>
  <si>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</si>
  <si>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</si>
  <si>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</si>
  <si>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</si>
  <si>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</si>
  <si>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</si>
  <si>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</si>
  <si>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</si>
  <si>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</si>
  <si>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</si>
  <si>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</si>
  <si>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</si>
  <si>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</si>
  <si>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</si>
  <si>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</si>
  <si>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</si>
  <si>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</si>
  <si>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</si>
  <si>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</si>
  <si>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</si>
  <si>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</si>
  <si>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</si>
  <si>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</si>
  <si>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</si>
  <si>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</si>
  <si>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</si>
  <si>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</si>
  <si>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</si>
  <si>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</si>
  <si>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</si>
  <si>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</si>
  <si>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</si>
  <si>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</si>
  <si>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</si>
  <si>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</si>
  <si>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</si>
  <si>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</si>
  <si>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</si>
  <si>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</si>
  <si>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</si>
  <si>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</si>
  <si>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</si>
  <si>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</si>
  <si>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</si>
  <si>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</si>
  <si>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</si>
  <si>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</si>
  <si>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</si>
  <si>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</si>
  <si>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</si>
  <si>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</si>
  <si>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</si>
  <si>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</si>
  <si>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</si>
  <si>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</si>
  <si>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</si>
  <si>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</si>
  <si>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</si>
  <si>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</si>
  <si>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</si>
  <si>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</si>
  <si>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</si>
  <si>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</si>
  <si>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</si>
  <si>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</si>
  <si>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</si>
  <si>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</si>
  <si>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</si>
  <si>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</si>
  <si>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</si>
  <si>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</si>
  <si>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</si>
  <si>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</si>
  <si>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</si>
  <si>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</si>
  <si>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</si>
  <si>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</si>
  <si>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</si>
  <si>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</si>
  <si>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</si>
  <si>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</si>
  <si>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</si>
  <si>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</si>
  <si>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</si>
  <si>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</si>
  <si>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</si>
  <si>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</si>
  <si>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</si>
  <si>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</si>
  <si>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</si>
  <si>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</si>
  <si>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</si>
  <si>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</si>
  <si>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</si>
  <si>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</si>
  <si>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</si>
  <si>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</si>
  <si>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</si>
  <si>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</si>
  <si>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</si>
  <si>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</si>
  <si>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</si>
  <si>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</si>
  <si>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</si>
  <si>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</si>
  <si>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</si>
  <si>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</si>
  <si>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</si>
  <si>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</si>
  <si>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</si>
  <si>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</si>
  <si>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</si>
  <si>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</si>
  <si>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</si>
  <si>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</si>
  <si>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</si>
  <si>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</si>
  <si>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</si>
  <si>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</si>
  <si>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</si>
  <si>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</si>
  <si>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</si>
  <si>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</si>
  <si>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</si>
  <si>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</si>
  <si>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</si>
  <si>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</si>
  <si>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</si>
  <si>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</si>
  <si>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</si>
  <si>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</si>
  <si>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</si>
  <si>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</si>
  <si>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</si>
  <si>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</si>
  <si>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</si>
  <si>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</si>
  <si>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</si>
  <si>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</si>
  <si>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</si>
  <si>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</si>
  <si>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</si>
  <si>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</si>
  <si>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</si>
  <si>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</si>
  <si>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</si>
  <si>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</si>
  <si>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</si>
  <si>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</si>
  <si>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</si>
  <si>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</si>
  <si>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</si>
  <si>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</si>
  <si>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</si>
  <si>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</si>
  <si>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</si>
  <si>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</si>
  <si>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</si>
  <si>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</si>
  <si>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</si>
  <si>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</si>
  <si>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</si>
  <si>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</si>
  <si>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</si>
  <si>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</si>
  <si>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</si>
  <si>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</si>
  <si>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</si>
  <si>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</si>
  <si>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</si>
  <si>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</si>
  <si>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</si>
  <si>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</si>
  <si>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</si>
  <si>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</si>
  <si>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</si>
  <si>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</si>
  <si>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</si>
  <si>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</si>
  <si>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</si>
  <si>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</si>
  <si>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</si>
  <si>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</si>
  <si>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</si>
  <si>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</si>
  <si>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</si>
  <si>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</si>
  <si>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</si>
  <si>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</si>
  <si>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</si>
  <si>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</si>
  <si>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</si>
  <si>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</si>
  <si>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</si>
  <si>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</si>
  <si>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</si>
  <si>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</si>
  <si>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</si>
  <si>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</si>
  <si>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</si>
  <si>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</si>
  <si>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</si>
  <si>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</si>
  <si>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</si>
  <si>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</si>
  <si>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</si>
  <si>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</si>
  <si>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</si>
  <si>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</si>
  <si>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</si>
  <si>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</si>
  <si>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</si>
  <si>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</si>
  <si>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</si>
  <si>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</si>
  <si>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</si>
  <si>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</si>
  <si>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</si>
  <si>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</si>
  <si>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</si>
  <si>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</si>
  <si>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</si>
  <si>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</si>
  <si>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</si>
  <si>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</si>
  <si>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</si>
  <si>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</si>
  <si>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</si>
  <si>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</si>
  <si>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</si>
  <si>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</si>
  <si>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</si>
  <si>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</si>
  <si>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</si>
  <si>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</si>
  <si>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</si>
  <si>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</si>
  <si>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</si>
  <si>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</si>
  <si>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</si>
  <si>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</si>
  <si>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</si>
  <si>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</si>
  <si>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</si>
  <si>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</si>
  <si>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</si>
  <si>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</si>
  <si>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</si>
  <si>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</si>
  <si>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</si>
  <si>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</si>
  <si>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</si>
  <si>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</si>
  <si>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</si>
  <si>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</si>
  <si>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</si>
  <si>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</si>
  <si>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</si>
  <si>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</si>
  <si>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</si>
  <si>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</si>
  <si>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</si>
  <si>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</si>
  <si>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</si>
  <si>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</si>
  <si>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</si>
  <si>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</si>
  <si>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</si>
  <si>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</si>
  <si>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</si>
  <si>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</si>
  <si>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</si>
  <si>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</si>
  <si>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</si>
  <si>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</si>
  <si>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</si>
  <si>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</si>
  <si>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</si>
  <si>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</si>
  <si>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</si>
  <si>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</si>
  <si>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</si>
  <si>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</si>
  <si>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</si>
  <si>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</si>
  <si>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</si>
  <si>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</si>
  <si>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</si>
  <si>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</si>
  <si>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</si>
  <si>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</si>
  <si>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</si>
  <si>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</si>
  <si>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</si>
  <si>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</si>
  <si>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</si>
  <si>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</si>
  <si>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</si>
  <si>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</si>
  <si>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</si>
  <si>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</si>
  <si>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</si>
  <si>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</si>
  <si>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</si>
  <si>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</si>
  <si>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</si>
  <si>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</si>
  <si>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</si>
  <si>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</si>
  <si>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</si>
  <si>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</si>
  <si>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</si>
  <si>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</si>
  <si>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</si>
  <si>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</si>
  <si>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</si>
  <si>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</si>
  <si>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</si>
  <si>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</si>
  <si>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</si>
  <si>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</si>
  <si>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</si>
  <si>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</si>
  <si>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</si>
  <si>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</si>
  <si>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</si>
  <si>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</si>
  <si>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</si>
  <si>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</si>
  <si>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</si>
  <si>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</si>
  <si>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</si>
  <si>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</si>
  <si>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</si>
  <si>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</si>
  <si>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</si>
  <si>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</si>
  <si>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</si>
  <si>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</si>
  <si>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</si>
  <si>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</si>
  <si>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</si>
  <si>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</si>
  <si>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</si>
  <si>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</si>
  <si>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</si>
  <si>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</si>
  <si>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</si>
  <si>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</si>
  <si>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</si>
  <si>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</si>
  <si>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</si>
  <si>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</si>
  <si>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</si>
  <si>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</si>
  <si>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</si>
  <si>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</si>
  <si>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</si>
  <si>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</si>
  <si>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</si>
  <si>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</si>
  <si>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</si>
  <si>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</si>
  <si>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</si>
  <si>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</si>
  <si>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</si>
  <si>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</si>
  <si>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</si>
  <si>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</si>
  <si>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</si>
  <si>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</si>
  <si>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</si>
  <si>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</si>
  <si>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</si>
  <si>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</si>
  <si>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</si>
  <si>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</si>
  <si>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</si>
  <si>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</si>
  <si>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</si>
  <si>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</si>
  <si>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</si>
  <si>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</si>
  <si>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</si>
  <si>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</si>
  <si>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</si>
  <si>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</si>
  <si>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</si>
  <si>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</si>
  <si>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</si>
  <si>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</si>
  <si>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</si>
  <si>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</si>
  <si>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</si>
  <si>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</si>
  <si>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</si>
  <si>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</si>
  <si>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</si>
  <si>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</si>
  <si>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</si>
  <si>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</si>
  <si>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</si>
  <si>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</si>
  <si>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</si>
  <si>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</si>
  <si>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</si>
  <si>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Lauterbach &amp; Amen, LLP</t>
  </si>
  <si>
    <t>Cook</t>
  </si>
  <si>
    <t>Matt Beran</t>
  </si>
  <si>
    <t>668 N. River Raod</t>
  </si>
  <si>
    <t>6950 East Prairie Road</t>
  </si>
  <si>
    <t>Naperville</t>
  </si>
  <si>
    <t>IL</t>
  </si>
  <si>
    <t>Lincolnwood</t>
  </si>
  <si>
    <t>065-033233</t>
  </si>
  <si>
    <t>Dr. Kimberly Nasshan</t>
  </si>
  <si>
    <t>knasshan@sd74.org</t>
  </si>
  <si>
    <t>General Obligation Limited Tax Bonds 2015</t>
  </si>
  <si>
    <t>General Obligation Limited Tax Bonds 2016</t>
  </si>
  <si>
    <t xml:space="preserve">Revenues 9-14: #10-1790: Field Trips $  ; Misc. Revenue $ </t>
  </si>
  <si>
    <t>Revenues 9-14: #10-190: Sale of Dictionary $</t>
  </si>
  <si>
    <t>Revenues 9-14: #10-1999: Misc. Revenue $</t>
  </si>
  <si>
    <t>Revenues 9-14: #20-3999: Misc. Revenue</t>
  </si>
  <si>
    <t>Expenditures 15-32 (line 231): Other Support Services $</t>
  </si>
  <si>
    <t>AUDITCHECK (Line 24): Incorrect Formula - should be 12/31/18</t>
  </si>
  <si>
    <t>Education Benefit Cooperative</t>
  </si>
  <si>
    <t>Collective Liability Insurance Cooperative</t>
  </si>
  <si>
    <t>Niles Township School Treasurer's Office</t>
  </si>
  <si>
    <t>N/A</t>
  </si>
  <si>
    <t>Capital Projects - Facility Improvement</t>
  </si>
  <si>
    <t>ED - Workers' Comp Insurance</t>
  </si>
  <si>
    <t>Transportation - Student Transportation</t>
  </si>
  <si>
    <t xml:space="preserve">O&amp;M-Wireless Technology </t>
  </si>
  <si>
    <t>ED-Instructional Materials</t>
  </si>
  <si>
    <t>60-2540-500</t>
  </si>
  <si>
    <t>40-2550-300</t>
  </si>
  <si>
    <t>20-2540-300</t>
  </si>
  <si>
    <t>Mr. David's Flooring, Int'l LLC</t>
  </si>
  <si>
    <t>Illinois Public Risk Fund</t>
  </si>
  <si>
    <t>Block Electric Company</t>
  </si>
  <si>
    <t>C Acitelli Heating &amp; Piping</t>
  </si>
  <si>
    <t>Carroll Seating Company</t>
  </si>
  <si>
    <t>ISKALIS' American Floor Show, Inc</t>
  </si>
  <si>
    <t>F.E. Moran</t>
  </si>
  <si>
    <t>Green Demolition</t>
  </si>
  <si>
    <t>OSTRANDER Construction, INC</t>
  </si>
  <si>
    <t>DCG Roofing Solutions</t>
  </si>
  <si>
    <t>Just Rite Acoustics, Inc.</t>
  </si>
  <si>
    <t>Premium Concrete</t>
  </si>
  <si>
    <t>Des Plaines Glass Company</t>
  </si>
  <si>
    <t xml:space="preserve">Floors Incorporated </t>
  </si>
  <si>
    <t>Illini Hardware Corporation</t>
  </si>
  <si>
    <t>Automatic Fire Systems</t>
  </si>
  <si>
    <t>S. G. Krauss Co</t>
  </si>
  <si>
    <t>Nikolas Painting Contractors, Inc</t>
  </si>
  <si>
    <t>First Student</t>
  </si>
  <si>
    <t>Heartland Business Systems</t>
  </si>
  <si>
    <t>Mc-Graw Hill</t>
  </si>
  <si>
    <t>North Shore Transit</t>
  </si>
  <si>
    <t>Doherty Construction</t>
  </si>
  <si>
    <t>Contour Landscaping</t>
  </si>
  <si>
    <t>COLFAX Corporation</t>
  </si>
  <si>
    <t>Lowery McDonnell Company</t>
  </si>
  <si>
    <t>Lincolnwood SD 74</t>
  </si>
  <si>
    <t>10-1000-400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</si>
</sst>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917864</xdr:colOff>
          <xdr:row>4</xdr:row>
          <xdr:rowOff>138545</xdr:rowOff>
        </xdr:from>
        <xdr:to>
          <xdr:col>1</xdr:col>
          <xdr:colOff>1820141</xdr:colOff>
          <xdr:row>8</xdr:row>
          <xdr:rowOff>138545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DEFAA823-6016-476B-94E5-48D5D90C48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2303318</xdr:colOff>
          <xdr:row>4</xdr:row>
          <xdr:rowOff>129886</xdr:rowOff>
        </xdr:from>
        <xdr:to>
          <xdr:col>1</xdr:col>
          <xdr:colOff>3205595</xdr:colOff>
          <xdr:row>8</xdr:row>
          <xdr:rowOff>129886</xdr:rowOff>
        </xdr:to>
        <xdr:sp macro="" textlink="">
          <xdr:nvSpPr>
            <xdr:cNvPr id="35850" name="Object 10" hidden="1">
              <a:extLst>
                <a:ext uri="{63B3BB69-23CF-44E3-9099-C40C66FF867C}">
                  <a14:compatExt spid="_x0000_s35850"/>
                </a:ext>
                <a:ext uri="{FF2B5EF4-FFF2-40B4-BE49-F238E27FC236}">
                  <a16:creationId xmlns:a16="http://schemas.microsoft.com/office/drawing/2014/main" id="{2E488329-7722-4A3F-B598-FB907836C5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3602182</xdr:colOff>
          <xdr:row>4</xdr:row>
          <xdr:rowOff>138545</xdr:rowOff>
        </xdr:from>
        <xdr:to>
          <xdr:col>2</xdr:col>
          <xdr:colOff>530802</xdr:colOff>
          <xdr:row>9</xdr:row>
          <xdr:rowOff>97847</xdr:rowOff>
        </xdr:to>
        <xdr:sp macro="" textlink="">
          <xdr:nvSpPr>
            <xdr:cNvPr id="35851" name="Object 11" hidden="1">
              <a:extLst>
                <a:ext uri="{63B3BB69-23CF-44E3-9099-C40C66FF867C}">
                  <a14:compatExt spid="_x0000_s358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xdr:row>
          <xdr:rowOff>121227</xdr:rowOff>
        </xdr:from>
        <xdr:to>
          <xdr:col>4</xdr:col>
          <xdr:colOff>496165</xdr:colOff>
          <xdr:row>9</xdr:row>
          <xdr:rowOff>80529</xdr:rowOff>
        </xdr:to>
        <xdr:sp macro="" textlink="">
          <xdr:nvSpPr>
            <xdr:cNvPr id="35852" name="Object 12" hidden="1">
              <a:extLst>
                <a:ext uri="{63B3BB69-23CF-44E3-9099-C40C66FF867C}">
                  <a14:compatExt spid="_x0000_s358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2077</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33">
        <v>5016074002</v>
      </c>
      <c r="B13" s="2034"/>
      <c r="C13" s="2034"/>
      <c r="D13" s="2034"/>
      <c r="E13" s="2034"/>
      <c r="F13" s="2034"/>
      <c r="G13" s="2034"/>
      <c r="H13" s="2035"/>
      <c r="I13" s="31"/>
      <c r="J13" s="30"/>
      <c r="K13" s="28"/>
      <c r="L13" s="30"/>
      <c r="M13" s="30"/>
      <c r="N13" s="30"/>
      <c r="O13" s="30"/>
      <c r="P13" s="30"/>
      <c r="Q13" s="30"/>
      <c r="R13" s="30"/>
      <c r="S13" s="30"/>
      <c r="T13" s="2038" t="s">
        <v>2078</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2079</v>
      </c>
      <c r="B15" s="2036"/>
      <c r="C15" s="2036"/>
      <c r="D15" s="2036"/>
      <c r="E15" s="2036"/>
      <c r="F15" s="2036"/>
      <c r="G15" s="2036"/>
      <c r="H15" s="2037"/>
      <c r="T15" s="2042" t="s">
        <v>2080</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2135</v>
      </c>
      <c r="B17" s="1993"/>
      <c r="C17" s="1993"/>
      <c r="D17" s="1993"/>
      <c r="E17" s="1993"/>
      <c r="F17" s="1993"/>
      <c r="G17" s="1993"/>
      <c r="H17" s="2018"/>
      <c r="T17" s="2049" t="s">
        <v>2081</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2082</v>
      </c>
      <c r="B19" s="1978"/>
      <c r="C19" s="1978"/>
      <c r="D19" s="1978"/>
      <c r="E19" s="1978"/>
      <c r="F19" s="1978"/>
      <c r="G19" s="1978"/>
      <c r="H19" s="1958"/>
      <c r="I19" s="30"/>
      <c r="J19" s="99"/>
      <c r="K19" s="40"/>
      <c r="L19" s="38"/>
      <c r="M19" s="112" t="s">
        <v>333</v>
      </c>
      <c r="P19" s="27"/>
      <c r="Q19" s="27"/>
      <c r="R19" s="27"/>
      <c r="S19" s="31"/>
      <c r="T19" s="2032" t="s">
        <v>2083</v>
      </c>
      <c r="U19" s="1957"/>
      <c r="V19" s="1957"/>
      <c r="W19" s="1958"/>
      <c r="X19" s="2047" t="s">
        <v>2084</v>
      </c>
      <c r="Y19" s="2048"/>
      <c r="Z19" s="2045">
        <v>60563</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2085</v>
      </c>
      <c r="B21" s="1957"/>
      <c r="C21" s="1957"/>
      <c r="D21" s="1957"/>
      <c r="E21" s="1957"/>
      <c r="F21" s="1957"/>
      <c r="G21" s="1957"/>
      <c r="H21" s="1958"/>
      <c r="I21" s="2012" t="s">
        <v>699</v>
      </c>
      <c r="J21" s="2007"/>
      <c r="K21" s="2007"/>
      <c r="L21" s="2007"/>
      <c r="M21" s="2007"/>
      <c r="N21" s="2007"/>
      <c r="O21" s="2007"/>
      <c r="P21" s="2007"/>
      <c r="Q21" s="2007"/>
      <c r="R21" s="2007"/>
      <c r="S21" s="2013"/>
      <c r="T21" s="2056">
        <v>6303931483</v>
      </c>
      <c r="U21" s="2057"/>
      <c r="V21" s="2057"/>
      <c r="W21" s="2057"/>
      <c r="X21" s="2062">
        <v>6303932516</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c r="B23" s="2010"/>
      <c r="C23" s="2010"/>
      <c r="D23" s="2010"/>
      <c r="E23" s="2010"/>
      <c r="F23" s="2010"/>
      <c r="G23" s="2010"/>
      <c r="H23" s="2011"/>
      <c r="T23" s="1992" t="s">
        <v>2086</v>
      </c>
      <c r="U23" s="2055"/>
      <c r="V23" s="2055"/>
      <c r="W23" s="2055"/>
      <c r="X23" s="2059">
        <v>44469</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60712</v>
      </c>
      <c r="B25" s="1957"/>
      <c r="C25" s="1957"/>
      <c r="D25" s="1957"/>
      <c r="E25" s="1957"/>
      <c r="F25" s="1957"/>
      <c r="G25" s="1957"/>
      <c r="H25" s="1958"/>
      <c r="I25" s="113"/>
      <c r="J25" s="1981"/>
      <c r="K25" s="1981"/>
      <c r="L25" s="1981"/>
      <c r="M25" s="1981"/>
      <c r="N25" s="1981"/>
      <c r="O25" s="1981"/>
      <c r="P25" s="1981"/>
      <c r="Q25" s="1981"/>
      <c r="R25" s="1981"/>
      <c r="S25" s="1982"/>
      <c r="T25" s="2052"/>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02"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2087</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2088</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v>8476758234</v>
      </c>
      <c r="B42" s="1976"/>
      <c r="C42" s="1977"/>
      <c r="D42" s="1975"/>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3" colorId="8" zoomScale="110" zoomScaleNormal="110" workbookViewId="0">
      <selection activeCell="C14" sqref="C1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8" t="s">
        <v>1905</v>
      </c>
      <c r="B2" s="1550" t="s">
        <v>2037</v>
      </c>
      <c r="C2" s="715" t="s">
        <v>1910</v>
      </c>
      <c r="D2" s="715" t="s">
        <v>1911</v>
      </c>
      <c r="E2" s="715" t="s">
        <v>1912</v>
      </c>
      <c r="F2" s="715" t="s">
        <v>1913</v>
      </c>
    </row>
    <row r="3" spans="1:6" ht="12" customHeight="1" x14ac:dyDescent="0.2">
      <c r="A3" s="2199"/>
      <c r="B3" s="1547"/>
      <c r="C3" s="1548"/>
      <c r="D3" s="1549" t="s">
        <v>274</v>
      </c>
      <c r="E3" s="1548"/>
      <c r="F3" s="1549" t="s">
        <v>275</v>
      </c>
    </row>
    <row r="4" spans="1:6" ht="13.7" customHeight="1" x14ac:dyDescent="0.2">
      <c r="A4" s="716" t="s">
        <v>1217</v>
      </c>
      <c r="B4" s="1771">
        <f>'Revenues 9-14'!C5</f>
        <v>17105888</v>
      </c>
      <c r="C4" s="1546">
        <v>9655684.8100000005</v>
      </c>
      <c r="D4" s="1774">
        <f>B4-C4</f>
        <v>7450203.1899999995</v>
      </c>
      <c r="E4" s="1546">
        <v>17179507</v>
      </c>
      <c r="F4" s="1774">
        <f>E4-C4</f>
        <v>7523822.1899999995</v>
      </c>
    </row>
    <row r="5" spans="1:6" ht="13.7" customHeight="1" x14ac:dyDescent="0.2">
      <c r="A5" s="716" t="s">
        <v>925</v>
      </c>
      <c r="B5" s="1772">
        <f>'Revenues 9-14'!D5</f>
        <v>1923017</v>
      </c>
      <c r="C5" s="585">
        <v>1085449.83</v>
      </c>
      <c r="D5" s="1775">
        <f t="shared" ref="D5:D18" si="0">B5-C5</f>
        <v>837567.16999999993</v>
      </c>
      <c r="E5" s="585">
        <v>1931245</v>
      </c>
      <c r="F5" s="1775">
        <f>E5-C5</f>
        <v>845795.16999999993</v>
      </c>
    </row>
    <row r="6" spans="1:6" ht="13.7" customHeight="1" x14ac:dyDescent="0.2">
      <c r="A6" s="716" t="s">
        <v>431</v>
      </c>
      <c r="B6" s="1772">
        <f>'Revenues 9-14'!E5</f>
        <v>1107164</v>
      </c>
      <c r="C6" s="585">
        <v>622666.22</v>
      </c>
      <c r="D6" s="1775">
        <f t="shared" si="0"/>
        <v>484497.78</v>
      </c>
      <c r="E6" s="585">
        <v>1107855</v>
      </c>
      <c r="F6" s="1775">
        <f t="shared" ref="F6:F18" si="1">E6-C6</f>
        <v>485188.78</v>
      </c>
    </row>
    <row r="7" spans="1:6" ht="13.7" customHeight="1" x14ac:dyDescent="0.2">
      <c r="A7" s="716" t="s">
        <v>157</v>
      </c>
      <c r="B7" s="1772">
        <f>'Revenues 9-14'!F5</f>
        <v>506323</v>
      </c>
      <c r="C7" s="585">
        <v>285862.56</v>
      </c>
      <c r="D7" s="1775">
        <f t="shared" si="0"/>
        <v>220460.44</v>
      </c>
      <c r="E7" s="585">
        <v>508610</v>
      </c>
      <c r="F7" s="1775">
        <f t="shared" si="1"/>
        <v>222747.44</v>
      </c>
    </row>
    <row r="8" spans="1:6" ht="13.7" customHeight="1" x14ac:dyDescent="0.2">
      <c r="A8" s="716" t="s">
        <v>1241</v>
      </c>
      <c r="B8" s="1772">
        <f>'Revenues 9-14'!G5</f>
        <v>176836</v>
      </c>
      <c r="C8" s="585">
        <v>99807.12</v>
      </c>
      <c r="D8" s="1775">
        <f t="shared" si="0"/>
        <v>77028.88</v>
      </c>
      <c r="E8" s="585">
        <v>177578</v>
      </c>
      <c r="F8" s="1775">
        <f t="shared" si="1"/>
        <v>77770.880000000005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668</v>
      </c>
      <c r="C10" s="585">
        <v>376.57</v>
      </c>
      <c r="D10" s="1775">
        <f t="shared" si="0"/>
        <v>291.43</v>
      </c>
      <c r="E10" s="585">
        <v>670</v>
      </c>
      <c r="F10" s="1775">
        <f t="shared" si="1"/>
        <v>293.43</v>
      </c>
    </row>
    <row r="11" spans="1:6" x14ac:dyDescent="0.2">
      <c r="A11" s="716" t="s">
        <v>429</v>
      </c>
      <c r="B11" s="1772">
        <f>'Revenues 9-14'!J5</f>
        <v>668</v>
      </c>
      <c r="C11" s="585">
        <v>376.57</v>
      </c>
      <c r="D11" s="1775">
        <f t="shared" si="0"/>
        <v>291.43</v>
      </c>
      <c r="E11" s="585">
        <v>670</v>
      </c>
      <c r="F11" s="1775">
        <f t="shared" si="1"/>
        <v>293.43</v>
      </c>
    </row>
    <row r="12" spans="1:6" ht="13.7" customHeight="1" x14ac:dyDescent="0.2">
      <c r="A12" s="716" t="s">
        <v>159</v>
      </c>
      <c r="B12" s="1772">
        <f>'Revenues 9-14'!K5</f>
        <v>310173</v>
      </c>
      <c r="C12" s="585">
        <v>254950.55</v>
      </c>
      <c r="D12" s="1775">
        <f t="shared" si="0"/>
        <v>55222.450000000012</v>
      </c>
      <c r="E12" s="585">
        <v>453611</v>
      </c>
      <c r="F12" s="1775">
        <f t="shared" si="1"/>
        <v>198660.45</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303590</v>
      </c>
      <c r="C14" s="585">
        <v>171366.91</v>
      </c>
      <c r="D14" s="1775">
        <f t="shared" si="0"/>
        <v>132223.09</v>
      </c>
      <c r="E14" s="585">
        <v>304898</v>
      </c>
      <c r="F14" s="1775">
        <f t="shared" si="1"/>
        <v>133531.09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151983</v>
      </c>
      <c r="C16" s="585">
        <v>85871.74</v>
      </c>
      <c r="D16" s="1775">
        <f t="shared" si="0"/>
        <v>66111.259999999995</v>
      </c>
      <c r="E16" s="585">
        <v>152784</v>
      </c>
      <c r="F16" s="1775">
        <f t="shared" si="1"/>
        <v>66912.259999999995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21586310</v>
      </c>
      <c r="C19" s="1773">
        <f>SUM(C4:C18)</f>
        <v>12262412.880000003</v>
      </c>
      <c r="D19" s="1773">
        <f>SUM(D4:D18)</f>
        <v>9323897.1199999973</v>
      </c>
      <c r="E19" s="1773">
        <f>SUM(E4:E18)</f>
        <v>21817428</v>
      </c>
      <c r="F19" s="1773">
        <f>SUM(F4:F18)</f>
        <v>9555015.1199999973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2"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2"/>
    </row>
    <row r="2" spans="1:7" ht="33.75" x14ac:dyDescent="0.2">
      <c r="A2" s="2225" t="s">
        <v>1905</v>
      </c>
      <c r="B2" s="2226"/>
      <c r="C2" s="1909" t="s">
        <v>2038</v>
      </c>
      <c r="D2" s="724" t="s">
        <v>2045</v>
      </c>
      <c r="E2" s="724" t="s">
        <v>2046</v>
      </c>
      <c r="F2" s="1909" t="s">
        <v>2039</v>
      </c>
    </row>
    <row r="3" spans="1:7" ht="15.75" customHeight="1" x14ac:dyDescent="0.2">
      <c r="A3" s="2227" t="s">
        <v>1176</v>
      </c>
      <c r="B3" s="2228"/>
      <c r="C3" s="2221"/>
      <c r="D3" s="2222"/>
      <c r="E3" s="2222"/>
      <c r="F3" s="2223"/>
    </row>
    <row r="4" spans="1:7" ht="12.75" customHeight="1" thickBot="1" x14ac:dyDescent="0.25">
      <c r="A4" s="2215" t="s">
        <v>651</v>
      </c>
      <c r="B4" s="2216"/>
      <c r="C4" s="581"/>
      <c r="D4" s="581"/>
      <c r="E4" s="581"/>
      <c r="F4" s="1777">
        <f>SUM(C4+D4)-E4</f>
        <v>0</v>
      </c>
    </row>
    <row r="5" spans="1:7" ht="15.75" customHeight="1" thickTop="1" x14ac:dyDescent="0.2">
      <c r="A5" s="2219" t="s">
        <v>1172</v>
      </c>
      <c r="B5" s="2214"/>
      <c r="C5" s="2208"/>
      <c r="D5" s="2209"/>
      <c r="E5" s="2209"/>
      <c r="F5" s="221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1" t="s">
        <v>652</v>
      </c>
      <c r="B15" s="2212"/>
      <c r="C15" s="1777">
        <f>SUM(C6:C14)</f>
        <v>0</v>
      </c>
      <c r="D15" s="1777">
        <f>SUM(D6:D14)</f>
        <v>0</v>
      </c>
      <c r="E15" s="1777">
        <f>SUM(E6:E14)</f>
        <v>0</v>
      </c>
      <c r="F15" s="1777">
        <f>SUM(F6:F14)</f>
        <v>0</v>
      </c>
      <c r="G15" s="552"/>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7"/>
      <c r="D17" s="585"/>
      <c r="E17" s="727"/>
      <c r="F17" s="1777">
        <f>SUM(C17+D17)-E17</f>
        <v>0</v>
      </c>
    </row>
    <row r="18" spans="1:11" ht="12.75" customHeight="1" thickTop="1" thickBot="1" x14ac:dyDescent="0.25">
      <c r="A18" s="2206" t="s">
        <v>6</v>
      </c>
      <c r="B18" s="2207"/>
      <c r="C18" s="727"/>
      <c r="D18" s="585"/>
      <c r="E18" s="727"/>
      <c r="F18" s="1777">
        <f>SUM(C18+D18)-E18</f>
        <v>0</v>
      </c>
    </row>
    <row r="19" spans="1:11" ht="12.75" customHeight="1" thickTop="1" thickBot="1" x14ac:dyDescent="0.25">
      <c r="A19" s="2206" t="s">
        <v>406</v>
      </c>
      <c r="B19" s="2207"/>
      <c r="C19" s="727"/>
      <c r="D19" s="585"/>
      <c r="E19" s="727"/>
      <c r="F19" s="1777">
        <f>SUM(C19+D19)-E19</f>
        <v>0</v>
      </c>
    </row>
    <row r="20" spans="1:11" ht="12.75" customHeight="1" thickTop="1" thickBot="1" x14ac:dyDescent="0.25">
      <c r="A20" s="2206" t="s">
        <v>468</v>
      </c>
      <c r="B20" s="2207"/>
      <c r="C20" s="727"/>
      <c r="D20" s="585"/>
      <c r="E20" s="727"/>
      <c r="F20" s="1777">
        <f>SUM(C20+D20)-E20</f>
        <v>0</v>
      </c>
    </row>
    <row r="21" spans="1:11" ht="14.25" thickTop="1" thickBot="1" x14ac:dyDescent="0.25">
      <c r="A21" s="2211" t="s">
        <v>653</v>
      </c>
      <c r="B21" s="2212"/>
      <c r="C21" s="1777">
        <f>SUM(C17:C20)</f>
        <v>0</v>
      </c>
      <c r="D21" s="1777">
        <f>SUM(D17:D20)</f>
        <v>0</v>
      </c>
      <c r="E21" s="1777">
        <f>SUM(E17:E20)</f>
        <v>0</v>
      </c>
      <c r="F21" s="1777">
        <f>SUM(F17:F20)</f>
        <v>0</v>
      </c>
      <c r="G21" s="552"/>
    </row>
    <row r="22" spans="1:11" ht="15.75" customHeight="1" thickTop="1" x14ac:dyDescent="0.2">
      <c r="A22" s="2213" t="s">
        <v>1174</v>
      </c>
      <c r="B22" s="2214"/>
      <c r="C22" s="2208"/>
      <c r="D22" s="2209"/>
      <c r="E22" s="2209"/>
      <c r="F22" s="2210"/>
    </row>
    <row r="23" spans="1:11" ht="13.5" thickBot="1" x14ac:dyDescent="0.25">
      <c r="A23" s="2215" t="s">
        <v>654</v>
      </c>
      <c r="B23" s="2216"/>
      <c r="C23" s="581"/>
      <c r="D23" s="581"/>
      <c r="E23" s="581"/>
      <c r="F23" s="1777">
        <f>SUM(C23+D23)-E23</f>
        <v>0</v>
      </c>
      <c r="G23" s="552"/>
    </row>
    <row r="24" spans="1:11" ht="15.75" customHeight="1" thickTop="1" x14ac:dyDescent="0.2">
      <c r="A24" s="2213" t="s">
        <v>1175</v>
      </c>
      <c r="B24" s="2214"/>
      <c r="C24" s="2208"/>
      <c r="D24" s="2209"/>
      <c r="E24" s="2209"/>
      <c r="F24" s="2210"/>
    </row>
    <row r="25" spans="1:11" ht="13.5" thickBot="1" x14ac:dyDescent="0.25">
      <c r="A25" s="2215" t="s">
        <v>655</v>
      </c>
      <c r="B25" s="2216"/>
      <c r="C25" s="581"/>
      <c r="D25" s="581"/>
      <c r="E25" s="581"/>
      <c r="F25" s="1777">
        <f>SUM(C25+D25)-E25</f>
        <v>0</v>
      </c>
      <c r="G25" s="552"/>
    </row>
    <row r="26" spans="1:11" ht="15.75" customHeight="1" thickTop="1" x14ac:dyDescent="0.2">
      <c r="A26" s="2219" t="s">
        <v>678</v>
      </c>
      <c r="B26" s="2214"/>
      <c r="C26" s="728"/>
      <c r="D26" s="728"/>
      <c r="E26" s="728"/>
      <c r="F26" s="729"/>
    </row>
    <row r="27" spans="1:11" ht="13.5" thickBot="1" x14ac:dyDescent="0.25">
      <c r="A27" s="2211" t="s">
        <v>1130</v>
      </c>
      <c r="B27" s="2212"/>
      <c r="C27" s="585"/>
      <c r="D27" s="585"/>
      <c r="E27" s="585"/>
      <c r="F27" s="1777">
        <f>SUM(C27+D27)-E27</f>
        <v>0</v>
      </c>
      <c r="G27" s="552"/>
    </row>
    <row r="28" spans="1:11" ht="7.5" customHeight="1" thickTop="1" x14ac:dyDescent="0.2">
      <c r="A28" s="594"/>
    </row>
    <row r="29" spans="1:11" ht="23.25" customHeight="1" x14ac:dyDescent="0.2">
      <c r="A29" s="2217" t="s">
        <v>603</v>
      </c>
      <c r="B29" s="221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2089</v>
      </c>
      <c r="B31" s="734">
        <v>42367</v>
      </c>
      <c r="C31" s="735">
        <v>8505000</v>
      </c>
      <c r="D31" s="736">
        <v>1</v>
      </c>
      <c r="E31" s="735">
        <v>6915000</v>
      </c>
      <c r="F31" s="735"/>
      <c r="G31" s="735"/>
      <c r="H31" s="735">
        <v>685000</v>
      </c>
      <c r="I31" s="1778">
        <f>((E31+F31)-H31)+G31</f>
        <v>6230000</v>
      </c>
      <c r="J31" s="735">
        <f>I31-'Assets-Liab 5-6'!N21</f>
        <v>5640768</v>
      </c>
      <c r="K31" s="737"/>
    </row>
    <row r="32" spans="1:11" ht="12" customHeight="1" x14ac:dyDescent="0.2">
      <c r="A32" s="733" t="s">
        <v>2090</v>
      </c>
      <c r="B32" s="734">
        <v>42467</v>
      </c>
      <c r="C32" s="735">
        <v>4235000</v>
      </c>
      <c r="D32" s="736">
        <v>1</v>
      </c>
      <c r="E32" s="735">
        <v>4205000</v>
      </c>
      <c r="F32" s="735"/>
      <c r="G32" s="735"/>
      <c r="H32" s="735"/>
      <c r="I32" s="1778">
        <f>((E32+F32)-H32)+G32</f>
        <v>4205000</v>
      </c>
      <c r="J32" s="735">
        <f>I32</f>
        <v>4205000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12740000</v>
      </c>
      <c r="D49" s="746"/>
      <c r="E49" s="1778">
        <f t="shared" ref="E49:J49" si="2">SUM(E31:E48)</f>
        <v>11120000</v>
      </c>
      <c r="F49" s="1778">
        <f t="shared" si="2"/>
        <v>0</v>
      </c>
      <c r="G49" s="1778">
        <f t="shared" si="2"/>
        <v>0</v>
      </c>
      <c r="H49" s="1778">
        <f t="shared" si="2"/>
        <v>685000</v>
      </c>
      <c r="I49" s="1778">
        <f t="shared" si="2"/>
        <v>10435000</v>
      </c>
      <c r="J49" s="1778">
        <f t="shared" si="2"/>
        <v>9845768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0" t="s">
        <v>605</v>
      </c>
      <c r="C52" s="2201"/>
      <c r="D52" s="2201"/>
      <c r="E52" s="750" t="s">
        <v>900</v>
      </c>
      <c r="F52" s="2202"/>
      <c r="G52" s="2203"/>
      <c r="H52" s="737"/>
      <c r="I52" s="737"/>
      <c r="J52" s="747"/>
    </row>
    <row r="53" spans="1:11" ht="11.25" customHeight="1" x14ac:dyDescent="0.2">
      <c r="A53" s="751" t="s">
        <v>969</v>
      </c>
      <c r="B53" s="752" t="s">
        <v>1008</v>
      </c>
      <c r="C53" s="747"/>
      <c r="D53" s="738"/>
      <c r="E53" s="750" t="s">
        <v>518</v>
      </c>
      <c r="F53" s="2204"/>
      <c r="G53" s="2205"/>
      <c r="H53" s="737"/>
      <c r="I53" s="737"/>
      <c r="J53" s="747"/>
    </row>
    <row r="54" spans="1:11" ht="11.25" customHeight="1" x14ac:dyDescent="0.2">
      <c r="A54" s="753" t="s">
        <v>970</v>
      </c>
      <c r="B54" s="748" t="s">
        <v>1009</v>
      </c>
      <c r="C54" s="747"/>
      <c r="D54" s="738"/>
      <c r="E54" s="750" t="s">
        <v>519</v>
      </c>
      <c r="F54" s="2204"/>
      <c r="G54" s="220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2"/>
      <c r="I1" s="761"/>
      <c r="J1" s="433"/>
    </row>
    <row r="2" spans="1:11" ht="26.25" x14ac:dyDescent="0.2">
      <c r="A2" s="2248" t="s">
        <v>1776</v>
      </c>
      <c r="B2" s="2249"/>
      <c r="C2" s="2249"/>
      <c r="D2" s="2249"/>
      <c r="E2" s="2250"/>
      <c r="F2" s="762" t="s">
        <v>960</v>
      </c>
      <c r="G2" s="763" t="s">
        <v>1773</v>
      </c>
      <c r="H2" s="763" t="s">
        <v>430</v>
      </c>
      <c r="I2" s="763" t="s">
        <v>1220</v>
      </c>
      <c r="J2" s="763" t="s">
        <v>1919</v>
      </c>
      <c r="K2" s="763" t="s">
        <v>140</v>
      </c>
    </row>
    <row r="3" spans="1:11" x14ac:dyDescent="0.2">
      <c r="A3" s="2251" t="s">
        <v>1698</v>
      </c>
      <c r="B3" s="2252"/>
      <c r="C3" s="2252"/>
      <c r="D3" s="2252"/>
      <c r="E3" s="2253"/>
      <c r="F3" s="764"/>
      <c r="G3" s="765"/>
      <c r="H3" s="765"/>
      <c r="I3" s="765"/>
      <c r="J3" s="766"/>
      <c r="K3" s="766"/>
    </row>
    <row r="4" spans="1:11" x14ac:dyDescent="0.2">
      <c r="A4" s="2254" t="s">
        <v>387</v>
      </c>
      <c r="B4" s="2255"/>
      <c r="C4" s="2255"/>
      <c r="D4" s="2255"/>
      <c r="E4" s="2201"/>
      <c r="F4" s="767"/>
      <c r="G4" s="768"/>
      <c r="H4" s="769"/>
      <c r="I4" s="768"/>
      <c r="J4" s="770"/>
      <c r="K4" s="770"/>
    </row>
    <row r="5" spans="1:11" x14ac:dyDescent="0.2">
      <c r="A5" s="2232" t="s">
        <v>1129</v>
      </c>
      <c r="B5" s="2233"/>
      <c r="C5" s="2233"/>
      <c r="D5" s="2233"/>
      <c r="E5" s="2234"/>
      <c r="F5" s="771" t="s">
        <v>903</v>
      </c>
      <c r="G5" s="772"/>
      <c r="H5" s="765">
        <v>303590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2" t="s">
        <v>1920</v>
      </c>
      <c r="B10" s="2233"/>
      <c r="C10" s="2233"/>
      <c r="D10" s="2233"/>
      <c r="E10" s="2235"/>
      <c r="F10" s="784" t="s">
        <v>917</v>
      </c>
      <c r="G10" s="783"/>
      <c r="H10" s="785"/>
      <c r="I10" s="765"/>
      <c r="J10" s="766"/>
      <c r="K10" s="766"/>
    </row>
    <row r="11" spans="1:11" x14ac:dyDescent="0.2">
      <c r="A11" s="2232" t="s">
        <v>162</v>
      </c>
      <c r="B11" s="2233"/>
      <c r="C11" s="2233"/>
      <c r="D11" s="2233"/>
      <c r="E11" s="2234"/>
      <c r="F11" s="771" t="s">
        <v>907</v>
      </c>
      <c r="G11" s="772"/>
      <c r="H11" s="765"/>
      <c r="I11" s="765"/>
      <c r="J11" s="766"/>
      <c r="K11" s="774"/>
    </row>
    <row r="12" spans="1:11" ht="13.5" thickBot="1" x14ac:dyDescent="0.25">
      <c r="A12" s="2259" t="s">
        <v>961</v>
      </c>
      <c r="B12" s="2260"/>
      <c r="C12" s="2260"/>
      <c r="D12" s="2260"/>
      <c r="E12" s="2261"/>
      <c r="F12" s="1779"/>
      <c r="G12" s="1780">
        <f>SUM(G5:G11)</f>
        <v>0</v>
      </c>
      <c r="H12" s="1780">
        <f>SUM(H5:H11)</f>
        <v>303590</v>
      </c>
      <c r="I12" s="1780">
        <f>SUM(I5:I11)</f>
        <v>0</v>
      </c>
      <c r="J12" s="1780">
        <f>SUM(J5:J11)</f>
        <v>0</v>
      </c>
      <c r="K12" s="1780">
        <f>SUM(K5:K11)</f>
        <v>0</v>
      </c>
    </row>
    <row r="13" spans="1:11" ht="13.5" thickTop="1" x14ac:dyDescent="0.2">
      <c r="A13" s="2256" t="s">
        <v>388</v>
      </c>
      <c r="B13" s="2257"/>
      <c r="C13" s="2257"/>
      <c r="D13" s="2257"/>
      <c r="E13" s="2258"/>
      <c r="F13" s="786"/>
      <c r="G13" s="787"/>
      <c r="H13" s="788"/>
      <c r="I13" s="789"/>
      <c r="J13" s="789"/>
      <c r="K13" s="789"/>
    </row>
    <row r="14" spans="1:11" x14ac:dyDescent="0.2">
      <c r="A14" s="2239" t="s">
        <v>476</v>
      </c>
      <c r="B14" s="2239"/>
      <c r="C14" s="2239"/>
      <c r="D14" s="2239"/>
      <c r="E14" s="2240"/>
      <c r="F14" s="790" t="s">
        <v>909</v>
      </c>
      <c r="G14" s="783"/>
      <c r="H14" s="765"/>
      <c r="I14" s="772"/>
      <c r="J14" s="774"/>
      <c r="K14" s="766"/>
    </row>
    <row r="15" spans="1:11" x14ac:dyDescent="0.2">
      <c r="A15" s="2233" t="s">
        <v>4</v>
      </c>
      <c r="B15" s="2233"/>
      <c r="C15" s="2233"/>
      <c r="D15" s="2233"/>
      <c r="E15" s="2234"/>
      <c r="F15" s="790" t="s">
        <v>910</v>
      </c>
      <c r="G15" s="772"/>
      <c r="H15" s="765"/>
      <c r="I15" s="765"/>
      <c r="J15" s="766"/>
      <c r="K15" s="766"/>
    </row>
    <row r="16" spans="1:11" x14ac:dyDescent="0.2">
      <c r="A16" s="2233" t="s">
        <v>316</v>
      </c>
      <c r="B16" s="2233"/>
      <c r="C16" s="2233"/>
      <c r="D16" s="2233"/>
      <c r="E16" s="2234"/>
      <c r="F16" s="790" t="s">
        <v>980</v>
      </c>
      <c r="G16" s="773"/>
      <c r="H16" s="768"/>
      <c r="I16" s="768"/>
      <c r="J16" s="770"/>
      <c r="K16" s="770"/>
    </row>
    <row r="17" spans="1:11" x14ac:dyDescent="0.2">
      <c r="A17" s="2264" t="s">
        <v>992</v>
      </c>
      <c r="B17" s="2264"/>
      <c r="C17" s="2264"/>
      <c r="D17" s="2264"/>
      <c r="E17" s="2265"/>
      <c r="F17" s="791"/>
      <c r="G17" s="792"/>
      <c r="H17" s="793"/>
      <c r="I17" s="793"/>
      <c r="J17" s="794"/>
      <c r="K17" s="795"/>
    </row>
    <row r="18" spans="1:11" x14ac:dyDescent="0.2">
      <c r="A18" s="2243" t="s">
        <v>386</v>
      </c>
      <c r="B18" s="2244"/>
      <c r="C18" s="2244"/>
      <c r="D18" s="2244"/>
      <c r="E18" s="2245"/>
      <c r="F18" s="790" t="s">
        <v>989</v>
      </c>
      <c r="G18" s="783"/>
      <c r="H18" s="783"/>
      <c r="I18" s="783"/>
      <c r="J18" s="766"/>
      <c r="K18" s="796"/>
    </row>
    <row r="19" spans="1:11" ht="21.75" customHeight="1" x14ac:dyDescent="0.2">
      <c r="A19" s="2241" t="s">
        <v>1916</v>
      </c>
      <c r="B19" s="2241"/>
      <c r="C19" s="2241"/>
      <c r="D19" s="2241"/>
      <c r="E19" s="2242"/>
      <c r="F19" s="790" t="s">
        <v>990</v>
      </c>
      <c r="G19" s="783"/>
      <c r="H19" s="783"/>
      <c r="I19" s="783"/>
      <c r="J19" s="766"/>
      <c r="K19" s="796"/>
    </row>
    <row r="20" spans="1:11" x14ac:dyDescent="0.2">
      <c r="A20" s="2243" t="s">
        <v>1921</v>
      </c>
      <c r="B20" s="2244"/>
      <c r="C20" s="2244"/>
      <c r="D20" s="2244"/>
      <c r="E20" s="2245"/>
      <c r="F20" s="790" t="s">
        <v>991</v>
      </c>
      <c r="G20" s="783"/>
      <c r="H20" s="783"/>
      <c r="I20" s="783"/>
      <c r="J20" s="766"/>
      <c r="K20" s="796"/>
    </row>
    <row r="21" spans="1:11" ht="13.5" thickBot="1" x14ac:dyDescent="0.25">
      <c r="A21" s="2262" t="s">
        <v>659</v>
      </c>
      <c r="B21" s="2262"/>
      <c r="C21" s="2262"/>
      <c r="D21" s="2262"/>
      <c r="E21" s="2262"/>
      <c r="F21" s="1781"/>
      <c r="G21" s="793"/>
      <c r="H21" s="797"/>
      <c r="I21" s="797"/>
      <c r="J21" s="1782">
        <f>SUM(J18:J20)</f>
        <v>0</v>
      </c>
      <c r="K21" s="794"/>
    </row>
    <row r="22" spans="1:11" ht="13.5" thickTop="1" x14ac:dyDescent="0.2">
      <c r="A22" s="2233" t="s">
        <v>1922</v>
      </c>
      <c r="B22" s="2233"/>
      <c r="C22" s="2233"/>
      <c r="D22" s="2233"/>
      <c r="E22" s="2234"/>
      <c r="F22" s="790" t="s">
        <v>917</v>
      </c>
      <c r="G22" s="783"/>
      <c r="H22" s="765"/>
      <c r="I22" s="765"/>
      <c r="J22" s="798"/>
      <c r="K22" s="766"/>
    </row>
    <row r="23" spans="1:11" ht="13.5" thickBot="1" x14ac:dyDescent="0.25">
      <c r="A23" s="2263" t="s">
        <v>962</v>
      </c>
      <c r="B23" s="2262"/>
      <c r="C23" s="2262"/>
      <c r="D23" s="2262"/>
      <c r="E23" s="2262"/>
      <c r="F23" s="1783"/>
      <c r="G23" s="1780">
        <f>SUM(G14:G16,G21,G22)</f>
        <v>0</v>
      </c>
      <c r="H23" s="1780">
        <f>SUM(H14:H16,H21,H22)</f>
        <v>0</v>
      </c>
      <c r="I23" s="1780">
        <f>SUM(I14:I16,I21,I22)</f>
        <v>0</v>
      </c>
      <c r="J23" s="1780">
        <f>SUM(J14:J16,J21,J22)</f>
        <v>0</v>
      </c>
      <c r="K23" s="1780">
        <f>SUM(K14:K16,K21,K22)</f>
        <v>0</v>
      </c>
    </row>
    <row r="24" spans="1:11" ht="14.25" thickTop="1" thickBot="1" x14ac:dyDescent="0.25">
      <c r="A24" s="2263" t="s">
        <v>2026</v>
      </c>
      <c r="B24" s="2262"/>
      <c r="C24" s="2262"/>
      <c r="D24" s="2262"/>
      <c r="E24" s="2262"/>
      <c r="F24" s="1784"/>
      <c r="G24" s="1785">
        <f>SUM(G3,G12)-G23</f>
        <v>0</v>
      </c>
      <c r="H24" s="1785">
        <f>SUM(H3,H12)-H23</f>
        <v>303590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303590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6"/>
      <c r="I31" s="2237"/>
      <c r="J31" s="2237"/>
      <c r="K31" s="2237"/>
    </row>
    <row r="32" spans="1:11" x14ac:dyDescent="0.2">
      <c r="A32" s="810"/>
      <c r="B32" s="237"/>
      <c r="C32" s="237"/>
      <c r="D32" s="237"/>
      <c r="E32" s="806"/>
      <c r="F32" s="812" t="s">
        <v>561</v>
      </c>
      <c r="G32" s="765"/>
      <c r="H32" s="2238"/>
      <c r="I32" s="2237"/>
      <c r="J32" s="2237"/>
      <c r="K32" s="2237"/>
    </row>
    <row r="33" spans="1:11" ht="1.5" customHeight="1" x14ac:dyDescent="0.2">
      <c r="A33" s="813" t="s">
        <v>1231</v>
      </c>
      <c r="B33" s="364"/>
      <c r="C33" s="364"/>
      <c r="D33" s="364"/>
      <c r="E33" s="364"/>
      <c r="F33" s="364"/>
      <c r="G33" s="814"/>
      <c r="H33" s="2238"/>
      <c r="I33" s="2237"/>
      <c r="J33" s="2237"/>
      <c r="K33" s="223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46"/>
      <c r="C41" s="2246"/>
      <c r="D41" s="2246"/>
      <c r="E41" s="2246"/>
      <c r="F41" s="224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7"/>
      <c r="E1" s="828"/>
      <c r="F1" s="828"/>
      <c r="G1" s="829"/>
      <c r="H1" s="830"/>
      <c r="I1" s="831"/>
      <c r="J1" s="2266"/>
      <c r="K1" s="2267"/>
      <c r="L1" s="226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2337500</v>
      </c>
      <c r="D5" s="842"/>
      <c r="E5" s="842"/>
      <c r="F5" s="1782">
        <f>(C5+D5)-E5</f>
        <v>2337500</v>
      </c>
      <c r="G5" s="838"/>
      <c r="H5" s="843"/>
      <c r="I5" s="843"/>
      <c r="J5" s="843"/>
      <c r="K5" s="794"/>
      <c r="L5" s="1791">
        <f>F5-K5</f>
        <v>2337500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44377309</v>
      </c>
      <c r="D8" s="845">
        <v>5573218</v>
      </c>
      <c r="E8" s="845"/>
      <c r="F8" s="1782">
        <f>(C8+D8)-E8</f>
        <v>49950527</v>
      </c>
      <c r="G8" s="844">
        <v>50</v>
      </c>
      <c r="H8" s="766">
        <v>17112101</v>
      </c>
      <c r="I8" s="766">
        <v>1698287</v>
      </c>
      <c r="J8" s="766"/>
      <c r="K8" s="1791">
        <f>(H8+I8)-J8</f>
        <v>18810388</v>
      </c>
      <c r="L8" s="1791">
        <f>F8-K8</f>
        <v>31140139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1147036</v>
      </c>
      <c r="D10" s="847">
        <v>90536</v>
      </c>
      <c r="E10" s="847"/>
      <c r="F10" s="1786">
        <f>(C10+D10)-E10</f>
        <v>1237572</v>
      </c>
      <c r="G10" s="844">
        <v>20</v>
      </c>
      <c r="H10" s="848">
        <v>656848</v>
      </c>
      <c r="I10" s="848">
        <v>45441</v>
      </c>
      <c r="J10" s="848"/>
      <c r="K10" s="1791">
        <f>(H10+I10)-J10</f>
        <v>702289</v>
      </c>
      <c r="L10" s="1791">
        <f>F10-K10</f>
        <v>535283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6338001</v>
      </c>
      <c r="D12" s="845">
        <v>408029</v>
      </c>
      <c r="E12" s="845"/>
      <c r="F12" s="1782">
        <f>(C12+D12)-E12</f>
        <v>6746030</v>
      </c>
      <c r="G12" s="844">
        <v>10</v>
      </c>
      <c r="H12" s="766">
        <v>4593290</v>
      </c>
      <c r="I12" s="766">
        <v>461111</v>
      </c>
      <c r="J12" s="766"/>
      <c r="K12" s="1791">
        <f>(H12+I12)-J12</f>
        <v>5054401</v>
      </c>
      <c r="L12" s="1791">
        <f>F12-K12</f>
        <v>1691629</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54199846</v>
      </c>
      <c r="D16" s="1782">
        <f>SUM(D3,D5:D6,D8:D10,D12:D15)</f>
        <v>6071783</v>
      </c>
      <c r="E16" s="1782">
        <f>SUM(E3,E5:E6,E8:E10,E12:E15)</f>
        <v>0</v>
      </c>
      <c r="F16" s="1782">
        <f>SUM(F3,F5:F6,F8:F10,F12:F15)</f>
        <v>60271629</v>
      </c>
      <c r="G16" s="844"/>
      <c r="H16" s="1782">
        <f>SUM(H3,H6,H8:H10,H12:H14,)</f>
        <v>22362239</v>
      </c>
      <c r="I16" s="1782">
        <f>SUM(I3,I6,I8:I10,I12:I14,)</f>
        <v>2204839</v>
      </c>
      <c r="J16" s="1782">
        <f>SUM(J3,J6,J8:J10,J12:J14,)</f>
        <v>0</v>
      </c>
      <c r="K16" s="1782">
        <f>(H16+I16)-J16</f>
        <v>24567078</v>
      </c>
      <c r="L16" s="1782">
        <f>F16-K16</f>
        <v>35704551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164015</v>
      </c>
      <c r="G17" s="838">
        <v>10</v>
      </c>
      <c r="H17" s="770"/>
      <c r="I17" s="1791">
        <f>F17/G17</f>
        <v>16401.5</v>
      </c>
      <c r="J17" s="770"/>
      <c r="K17" s="796"/>
      <c r="L17" s="796"/>
    </row>
    <row r="18" spans="1:12" ht="14.25" thickTop="1" thickBot="1" x14ac:dyDescent="0.25">
      <c r="A18" s="1789" t="s">
        <v>706</v>
      </c>
      <c r="B18" s="1790"/>
      <c r="C18" s="772"/>
      <c r="D18" s="772"/>
      <c r="E18" s="772"/>
      <c r="F18" s="851"/>
      <c r="G18" s="852"/>
      <c r="H18" s="774"/>
      <c r="I18" s="1782">
        <f>SUM(I16,I17)</f>
        <v>2221240.5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2"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4" t="s">
        <v>1699</v>
      </c>
      <c r="B1" s="2275"/>
      <c r="C1" s="2275"/>
      <c r="D1" s="2275"/>
      <c r="E1" s="2275"/>
      <c r="F1" s="2276"/>
      <c r="G1" s="856"/>
    </row>
    <row r="2" spans="1:7" ht="15" customHeight="1" thickBot="1" x14ac:dyDescent="0.25">
      <c r="A2" s="2277" t="s">
        <v>498</v>
      </c>
      <c r="B2" s="2278"/>
      <c r="C2" s="2278"/>
      <c r="D2" s="2278"/>
      <c r="E2" s="2278"/>
      <c r="F2" s="227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19297275</v>
      </c>
      <c r="G8" s="866"/>
    </row>
    <row r="9" spans="1:7" x14ac:dyDescent="0.2">
      <c r="A9" s="870" t="s">
        <v>480</v>
      </c>
      <c r="B9" s="871" t="s">
        <v>1989</v>
      </c>
      <c r="C9" s="872"/>
      <c r="D9" s="870" t="s">
        <v>522</v>
      </c>
      <c r="E9" s="869"/>
      <c r="F9" s="1935">
        <f>'Expenditures 15-22'!K151</f>
        <v>2071684</v>
      </c>
      <c r="G9" s="873"/>
    </row>
    <row r="10" spans="1:7" x14ac:dyDescent="0.2">
      <c r="A10" s="870" t="s">
        <v>520</v>
      </c>
      <c r="B10" s="871" t="s">
        <v>1990</v>
      </c>
      <c r="C10" s="872"/>
      <c r="D10" s="870" t="s">
        <v>522</v>
      </c>
      <c r="E10" s="869"/>
      <c r="F10" s="1935">
        <f>'Expenditures 15-22'!K174</f>
        <v>1048663</v>
      </c>
      <c r="G10" s="873"/>
    </row>
    <row r="11" spans="1:7" x14ac:dyDescent="0.2">
      <c r="A11" s="870" t="s">
        <v>481</v>
      </c>
      <c r="B11" s="871" t="s">
        <v>1991</v>
      </c>
      <c r="C11" s="872"/>
      <c r="D11" s="870" t="s">
        <v>522</v>
      </c>
      <c r="E11" s="869"/>
      <c r="F11" s="1935">
        <f>'Expenditures 15-22'!K210</f>
        <v>1144879</v>
      </c>
      <c r="G11" s="873"/>
    </row>
    <row r="12" spans="1:7" x14ac:dyDescent="0.2">
      <c r="A12" s="870" t="s">
        <v>482</v>
      </c>
      <c r="B12" s="871" t="s">
        <v>1992</v>
      </c>
      <c r="C12" s="872"/>
      <c r="D12" s="870" t="s">
        <v>522</v>
      </c>
      <c r="E12" s="869"/>
      <c r="F12" s="1935">
        <f>'Expenditures 15-22'!K295</f>
        <v>554495</v>
      </c>
      <c r="G12" s="873"/>
    </row>
    <row r="13" spans="1:7" x14ac:dyDescent="0.2">
      <c r="A13" s="870" t="s">
        <v>108</v>
      </c>
      <c r="B13" s="871" t="s">
        <v>1993</v>
      </c>
      <c r="C13" s="872"/>
      <c r="D13" s="870" t="s">
        <v>522</v>
      </c>
      <c r="E13" s="869"/>
      <c r="F13" s="1935">
        <f>'Expenditures 15-22'!K342</f>
        <v>212535</v>
      </c>
      <c r="G13" s="874"/>
    </row>
    <row r="14" spans="1:7" ht="12" customHeight="1" thickBot="1" x14ac:dyDescent="0.25">
      <c r="A14" s="1792"/>
      <c r="B14" s="1793"/>
      <c r="C14" s="1794"/>
      <c r="D14" s="1795" t="s">
        <v>522</v>
      </c>
      <c r="E14" s="1796" t="s">
        <v>1015</v>
      </c>
      <c r="F14" s="1797">
        <f>SUM(F8:F13)</f>
        <v>24329531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85491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951</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48061</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1897380</v>
      </c>
      <c r="G53" s="866"/>
    </row>
    <row r="54" spans="1:7" x14ac:dyDescent="0.2">
      <c r="A54" s="870" t="s">
        <v>479</v>
      </c>
      <c r="B54" s="870" t="s">
        <v>1552</v>
      </c>
      <c r="C54" s="890" t="s">
        <v>1039</v>
      </c>
      <c r="D54" s="886" t="s">
        <v>1157</v>
      </c>
      <c r="E54" s="869"/>
      <c r="F54" s="1939">
        <f>'Expenditures 15-22'!G114</f>
        <v>209906</v>
      </c>
      <c r="G54" s="866"/>
    </row>
    <row r="55" spans="1:7" x14ac:dyDescent="0.2">
      <c r="A55" s="870" t="s">
        <v>479</v>
      </c>
      <c r="B55" s="870" t="s">
        <v>1553</v>
      </c>
      <c r="C55" s="890" t="s">
        <v>1039</v>
      </c>
      <c r="D55" s="886" t="s">
        <v>309</v>
      </c>
      <c r="E55" s="869"/>
      <c r="F55" s="1939">
        <f>'Expenditures 15-22'!I114</f>
        <v>129151</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271631</v>
      </c>
      <c r="G58" s="866"/>
    </row>
    <row r="59" spans="1:7" x14ac:dyDescent="0.2">
      <c r="A59" s="894" t="s">
        <v>480</v>
      </c>
      <c r="B59" s="857" t="s">
        <v>1996</v>
      </c>
      <c r="C59" s="895" t="s">
        <v>1039</v>
      </c>
      <c r="D59" s="857" t="s">
        <v>309</v>
      </c>
      <c r="F59" s="1942">
        <f>'Expenditures 15-22'!I151</f>
        <v>34864</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685000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780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1238</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3364453</v>
      </c>
      <c r="G76" s="866"/>
    </row>
    <row r="77" spans="1:8" s="894" customFormat="1" ht="12" customHeight="1" thickTop="1" thickBot="1" x14ac:dyDescent="0.25">
      <c r="A77" s="1801"/>
      <c r="B77" s="1798"/>
      <c r="C77" s="1794"/>
      <c r="D77" s="1799" t="s">
        <v>2012</v>
      </c>
      <c r="E77" s="1796"/>
      <c r="F77" s="1802">
        <f>(F14-F76)</f>
        <v>20965078</v>
      </c>
      <c r="G77" s="870"/>
    </row>
    <row r="78" spans="1:8" s="894" customFormat="1" ht="12" customHeight="1" thickTop="1" x14ac:dyDescent="0.2">
      <c r="A78" s="1803"/>
      <c r="B78" s="1798"/>
      <c r="C78" s="1794"/>
      <c r="D78" s="1799" t="s">
        <v>2059</v>
      </c>
      <c r="E78" s="1796"/>
      <c r="F78" s="899">
        <v>1209.27</v>
      </c>
      <c r="G78" s="900"/>
      <c r="H78" s="870"/>
    </row>
    <row r="79" spans="1:8" s="894" customFormat="1" ht="12" customHeight="1" thickBot="1" x14ac:dyDescent="0.25">
      <c r="A79" s="1804"/>
      <c r="B79" s="1798"/>
      <c r="C79" s="1794"/>
      <c r="D79" s="1799" t="s">
        <v>2013</v>
      </c>
      <c r="E79" s="1796" t="s">
        <v>1015</v>
      </c>
      <c r="F79" s="1805">
        <f>IF(F78&gt;0,F77/F78," Complete Line 78")</f>
        <v>17336.970238242906</v>
      </c>
      <c r="G79" s="870"/>
    </row>
    <row r="80" spans="1:8" s="894" customFormat="1" ht="8.25" customHeight="1" thickTop="1" x14ac:dyDescent="0.2">
      <c r="A80" s="901"/>
      <c r="B80" s="870"/>
      <c r="C80" s="872"/>
      <c r="D80" s="902"/>
      <c r="E80" s="869"/>
      <c r="F80" s="903"/>
      <c r="G80" s="870"/>
    </row>
    <row r="81" spans="1:7" s="894" customFormat="1" ht="12" thickBot="1" x14ac:dyDescent="0.25">
      <c r="A81" s="2271" t="s">
        <v>1167</v>
      </c>
      <c r="B81" s="2272"/>
      <c r="C81" s="2272"/>
      <c r="D81" s="2272"/>
      <c r="E81" s="2272"/>
      <c r="F81" s="227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290409</v>
      </c>
      <c r="G94" s="913"/>
    </row>
    <row r="95" spans="1:7" x14ac:dyDescent="0.2">
      <c r="A95" s="909" t="s">
        <v>142</v>
      </c>
      <c r="B95" s="909" t="s">
        <v>177</v>
      </c>
      <c r="C95" s="911">
        <v>1700</v>
      </c>
      <c r="D95" s="919" t="str">
        <f>'Revenues 9-14'!A82</f>
        <v>Total District/School Activity Income</v>
      </c>
      <c r="E95" s="907"/>
      <c r="F95" s="1811">
        <f>SUM('Revenues 9-14'!C82,'Revenues 9-14'!D82)</f>
        <v>132352</v>
      </c>
      <c r="G95" s="913"/>
    </row>
    <row r="96" spans="1:7" x14ac:dyDescent="0.2">
      <c r="A96" s="909" t="s">
        <v>479</v>
      </c>
      <c r="B96" s="909" t="s">
        <v>178</v>
      </c>
      <c r="C96" s="911">
        <f>'Revenues 9-14'!B84</f>
        <v>1811</v>
      </c>
      <c r="D96" s="912" t="str">
        <f>'Revenues 9-14'!A84</f>
        <v>Rentals - Regular Textbooks</v>
      </c>
      <c r="E96" s="907"/>
      <c r="F96" s="1811">
        <f>'Revenues 9-14'!C84</f>
        <v>45167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1905</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10</v>
      </c>
      <c r="G100" s="913"/>
    </row>
    <row r="101" spans="1:7" x14ac:dyDescent="0.2">
      <c r="A101" s="909" t="s">
        <v>142</v>
      </c>
      <c r="B101" s="909" t="s">
        <v>183</v>
      </c>
      <c r="C101" s="911">
        <f>'Revenues 9-14'!B95</f>
        <v>1910</v>
      </c>
      <c r="D101" s="912" t="str">
        <f>'Revenues 9-14'!A95</f>
        <v>Rentals</v>
      </c>
      <c r="E101" s="907"/>
      <c r="F101" s="1811">
        <f>SUM('Revenues 9-14'!C95:D95)</f>
        <v>125139</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1705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3925</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382899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2237</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19915</v>
      </c>
      <c r="G129" s="931"/>
    </row>
    <row r="130" spans="1:7" x14ac:dyDescent="0.2">
      <c r="A130" s="928" t="s">
        <v>689</v>
      </c>
      <c r="B130" s="928" t="s">
        <v>804</v>
      </c>
      <c r="C130" s="933">
        <v>4300</v>
      </c>
      <c r="D130" s="934" t="str">
        <f>'Revenues 9-14'!A211</f>
        <v>Total Title I</v>
      </c>
      <c r="E130" s="907"/>
      <c r="F130" s="1811">
        <f>SUM('Revenues 9-14'!C211,'Revenues 9-14'!D211,'Revenues 9-14'!F211,'Revenues 9-14'!G211)</f>
        <v>335342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15519</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4880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1361404</v>
      </c>
    </row>
    <row r="179" spans="1:7" ht="12" customHeight="1" x14ac:dyDescent="0.2">
      <c r="A179" s="1792"/>
      <c r="B179" s="1806"/>
      <c r="C179" s="1807"/>
      <c r="D179" s="1808" t="s">
        <v>2015</v>
      </c>
      <c r="E179" s="1809"/>
      <c r="F179" s="1811">
        <f>'PCTC-OEPP 27-28'!F77-F178</f>
        <v>19603674</v>
      </c>
    </row>
    <row r="180" spans="1:7" ht="12" customHeight="1" x14ac:dyDescent="0.2">
      <c r="A180" s="1792"/>
      <c r="B180" s="1806"/>
      <c r="C180" s="1807"/>
      <c r="D180" s="1808" t="s">
        <v>1924</v>
      </c>
      <c r="E180" s="1809"/>
      <c r="F180" s="1811">
        <f>'Cap Outlay Deprec 26'!I18</f>
        <v>2221240.5</v>
      </c>
    </row>
    <row r="181" spans="1:7" ht="12" customHeight="1" x14ac:dyDescent="0.2">
      <c r="A181" s="1792"/>
      <c r="B181" s="1806"/>
      <c r="C181" s="1807"/>
      <c r="D181" s="1808" t="s">
        <v>2016</v>
      </c>
      <c r="E181" s="1809"/>
      <c r="F181" s="1811">
        <f>F179+F180</f>
        <v>21824914.5</v>
      </c>
    </row>
    <row r="182" spans="1:7" ht="12" customHeight="1" x14ac:dyDescent="0.2">
      <c r="A182" s="1792"/>
      <c r="B182" s="1812"/>
      <c r="C182" s="1807"/>
      <c r="D182" s="1808" t="str">
        <f>D78</f>
        <v>9 Month ADA from District Average Daily Attendance/Prior General State Aid Inquiry 2017-2018</v>
      </c>
      <c r="E182" s="1809"/>
      <c r="F182" s="1813">
        <f>'PCTC-OEPP 27-28'!F78</f>
        <v>1209.27</v>
      </c>
      <c r="G182" s="931"/>
    </row>
    <row r="183" spans="1:7" ht="12" customHeight="1" thickBot="1" x14ac:dyDescent="0.25">
      <c r="A183" s="1792"/>
      <c r="B183" s="1812"/>
      <c r="C183" s="1807"/>
      <c r="D183" s="1808" t="s">
        <v>2017</v>
      </c>
      <c r="E183" s="1809" t="s">
        <v>1626</v>
      </c>
      <c r="F183" s="1814">
        <f>F181/F182</f>
        <v>18048.007889057033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6" t="s">
        <v>1926</v>
      </c>
      <c r="B6" s="1557"/>
      <c r="C6" s="1557"/>
      <c r="D6" s="1557"/>
      <c r="E6" s="1557"/>
      <c r="F6" s="1557"/>
      <c r="G6" s="1558"/>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9" t="s">
        <v>1927</v>
      </c>
      <c r="B10" s="1560"/>
      <c r="C10" s="1560"/>
      <c r="D10" s="1560"/>
      <c r="E10" s="1560"/>
      <c r="F10" s="1560"/>
      <c r="G10" s="1561"/>
    </row>
    <row r="11" spans="1:7" ht="17.25" customHeight="1" x14ac:dyDescent="0.25">
      <c r="A11" s="2291" t="s">
        <v>1941</v>
      </c>
      <c r="B11" s="2292"/>
      <c r="C11" s="2292"/>
      <c r="D11" s="2292"/>
      <c r="E11" s="2292"/>
      <c r="F11" s="2292"/>
      <c r="G11" s="2293"/>
    </row>
    <row r="12" spans="1:7" ht="15" customHeight="1" x14ac:dyDescent="0.25">
      <c r="A12" s="1559" t="s">
        <v>1932</v>
      </c>
      <c r="B12" s="1560"/>
      <c r="C12" s="1560"/>
      <c r="D12" s="1560"/>
      <c r="E12" s="1560"/>
      <c r="F12" s="1560"/>
      <c r="G12" s="1561"/>
    </row>
    <row r="13" spans="1:7" ht="32.25" customHeight="1" x14ac:dyDescent="0.25">
      <c r="A13" s="2282" t="s">
        <v>1933</v>
      </c>
      <c r="B13" s="2283"/>
      <c r="C13" s="2283"/>
      <c r="D13" s="2283"/>
      <c r="E13" s="2283"/>
      <c r="F13" s="2283"/>
      <c r="G13" s="2284"/>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2101</v>
      </c>
      <c r="B17" s="1868" t="s">
        <v>2106</v>
      </c>
      <c r="C17" s="1678" t="s">
        <v>2109</v>
      </c>
      <c r="D17" s="1867">
        <v>82186</v>
      </c>
      <c r="E17" s="1562">
        <f t="shared" ref="E17:E141" si="1">IF(D17&lt;=25000,D17,IF(D17&gt;25000,25000,0))</f>
        <v>25000</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6">
        <f>IF(F17=0,0,D17-F17)</f>
        <v>0</v>
      </c>
      <c r="H17" s="1669"/>
    </row>
    <row r="18" spans="1:8" x14ac:dyDescent="0.25">
      <c r="A18" s="1675" t="s">
        <v>2102</v>
      </c>
      <c r="B18" s="1868" t="s">
        <v>2106</v>
      </c>
      <c r="C18" s="1678" t="s">
        <v>2110</v>
      </c>
      <c r="D18" s="1867">
        <v>72539</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t="s">
        <v>2101</v>
      </c>
      <c r="B19" s="1869" t="s">
        <v>2106</v>
      </c>
      <c r="C19" s="1678" t="s">
        <v>2111</v>
      </c>
      <c r="D19" s="1867">
        <v>874487</v>
      </c>
      <c r="E19" s="1562">
        <f t="shared" si="2"/>
        <v>25000</v>
      </c>
      <c r="F19" s="1815">
        <f t="shared" si="3"/>
        <v>0</v>
      </c>
      <c r="G19" s="1816">
        <f t="shared" si="4"/>
        <v>0</v>
      </c>
    </row>
    <row r="20" spans="1:8" x14ac:dyDescent="0.25">
      <c r="A20" s="1675" t="s">
        <v>2101</v>
      </c>
      <c r="B20" s="1868" t="s">
        <v>2106</v>
      </c>
      <c r="C20" s="1678" t="s">
        <v>2112</v>
      </c>
      <c r="D20" s="1867">
        <v>851029</v>
      </c>
      <c r="E20" s="1562">
        <f t="shared" si="2"/>
        <v>25000</v>
      </c>
      <c r="F20" s="1815">
        <f t="shared" si="3"/>
        <v>0</v>
      </c>
      <c r="G20" s="1816">
        <f t="shared" si="4"/>
        <v>0</v>
      </c>
    </row>
    <row r="21" spans="1:8" x14ac:dyDescent="0.25">
      <c r="A21" s="1675" t="s">
        <v>2101</v>
      </c>
      <c r="B21" s="1868" t="s">
        <v>2106</v>
      </c>
      <c r="C21" s="1678" t="s">
        <v>2113</v>
      </c>
      <c r="D21" s="1867">
        <v>399522</v>
      </c>
      <c r="E21" s="1562">
        <f t="shared" si="2"/>
        <v>25000</v>
      </c>
      <c r="F21" s="1815">
        <f t="shared" si="3"/>
        <v>0</v>
      </c>
      <c r="G21" s="1816">
        <f t="shared" si="4"/>
        <v>0</v>
      </c>
    </row>
    <row r="22" spans="1:8" x14ac:dyDescent="0.25">
      <c r="A22" s="1675" t="s">
        <v>2101</v>
      </c>
      <c r="B22" s="1868" t="s">
        <v>2106</v>
      </c>
      <c r="C22" s="1678" t="s">
        <v>2114</v>
      </c>
      <c r="D22" s="1867">
        <v>332162</v>
      </c>
      <c r="E22" s="1562">
        <f t="shared" si="2"/>
        <v>25000</v>
      </c>
      <c r="F22" s="1815">
        <f t="shared" si="3"/>
        <v>0</v>
      </c>
      <c r="G22" s="1816">
        <f t="shared" si="4"/>
        <v>0</v>
      </c>
    </row>
    <row r="23" spans="1:8" x14ac:dyDescent="0.25">
      <c r="A23" s="1675" t="s">
        <v>2101</v>
      </c>
      <c r="B23" s="1868" t="s">
        <v>2106</v>
      </c>
      <c r="C23" s="1678" t="s">
        <v>2115</v>
      </c>
      <c r="D23" s="1867">
        <v>324903</v>
      </c>
      <c r="E23" s="1562">
        <f t="shared" si="2"/>
        <v>25000</v>
      </c>
      <c r="F23" s="1815">
        <f t="shared" si="3"/>
        <v>0</v>
      </c>
      <c r="G23" s="1816">
        <f t="shared" si="4"/>
        <v>0</v>
      </c>
    </row>
    <row r="24" spans="1:8" x14ac:dyDescent="0.25">
      <c r="A24" s="1675" t="s">
        <v>2101</v>
      </c>
      <c r="B24" s="1869" t="s">
        <v>2106</v>
      </c>
      <c r="C24" s="1678" t="s">
        <v>2116</v>
      </c>
      <c r="D24" s="1867">
        <v>301854</v>
      </c>
      <c r="E24" s="1562">
        <f t="shared" si="2"/>
        <v>25000</v>
      </c>
      <c r="F24" s="1815">
        <f t="shared" si="3"/>
        <v>0</v>
      </c>
      <c r="G24" s="1816">
        <f t="shared" si="4"/>
        <v>0</v>
      </c>
    </row>
    <row r="25" spans="1:8" x14ac:dyDescent="0.25">
      <c r="A25" s="1675" t="s">
        <v>2101</v>
      </c>
      <c r="B25" s="1868" t="s">
        <v>2106</v>
      </c>
      <c r="C25" s="1678" t="s">
        <v>2117</v>
      </c>
      <c r="D25" s="1867">
        <v>293783</v>
      </c>
      <c r="E25" s="1562">
        <f t="shared" si="2"/>
        <v>25000</v>
      </c>
      <c r="F25" s="1815">
        <f t="shared" si="3"/>
        <v>0</v>
      </c>
      <c r="G25" s="1816">
        <f t="shared" si="4"/>
        <v>0</v>
      </c>
    </row>
    <row r="26" spans="1:8" x14ac:dyDescent="0.25">
      <c r="A26" s="1675" t="s">
        <v>2101</v>
      </c>
      <c r="B26" s="1869" t="s">
        <v>2106</v>
      </c>
      <c r="C26" s="1676" t="s">
        <v>2118</v>
      </c>
      <c r="D26" s="1867">
        <v>207145</v>
      </c>
      <c r="E26" s="1562">
        <f t="shared" si="2"/>
        <v>25000</v>
      </c>
      <c r="F26" s="1815">
        <f t="shared" si="3"/>
        <v>0</v>
      </c>
      <c r="G26" s="1816">
        <f t="shared" si="4"/>
        <v>0</v>
      </c>
    </row>
    <row r="27" spans="1:8" x14ac:dyDescent="0.25">
      <c r="A27" s="1675" t="s">
        <v>2101</v>
      </c>
      <c r="B27" s="1869" t="s">
        <v>2106</v>
      </c>
      <c r="C27" s="1676" t="s">
        <v>2119</v>
      </c>
      <c r="D27" s="1867">
        <v>183949</v>
      </c>
      <c r="E27" s="1562">
        <f t="shared" si="2"/>
        <v>25000</v>
      </c>
      <c r="F27" s="1815">
        <f t="shared" si="3"/>
        <v>0</v>
      </c>
      <c r="G27" s="1816">
        <f t="shared" si="4"/>
        <v>0</v>
      </c>
    </row>
    <row r="28" spans="1:8" x14ac:dyDescent="0.25">
      <c r="A28" s="1675" t="s">
        <v>2101</v>
      </c>
      <c r="B28" s="1869" t="s">
        <v>2106</v>
      </c>
      <c r="C28" s="1676" t="s">
        <v>2120</v>
      </c>
      <c r="D28" s="1867">
        <v>177713</v>
      </c>
      <c r="E28" s="1562">
        <f t="shared" si="2"/>
        <v>25000</v>
      </c>
      <c r="F28" s="1815">
        <f t="shared" si="3"/>
        <v>0</v>
      </c>
      <c r="G28" s="1816">
        <f t="shared" si="4"/>
        <v>0</v>
      </c>
    </row>
    <row r="29" spans="1:8" x14ac:dyDescent="0.25">
      <c r="A29" s="1675" t="s">
        <v>2101</v>
      </c>
      <c r="B29" s="1869" t="s">
        <v>2106</v>
      </c>
      <c r="C29" s="1676" t="s">
        <v>2121</v>
      </c>
      <c r="D29" s="1867">
        <v>130067</v>
      </c>
      <c r="E29" s="1562">
        <f t="shared" si="2"/>
        <v>25000</v>
      </c>
      <c r="F29" s="1815">
        <f t="shared" si="3"/>
        <v>0</v>
      </c>
      <c r="G29" s="1816">
        <f t="shared" si="4"/>
        <v>0</v>
      </c>
    </row>
    <row r="30" spans="1:8" x14ac:dyDescent="0.25">
      <c r="A30" s="1675" t="s">
        <v>2101</v>
      </c>
      <c r="B30" s="1869" t="s">
        <v>2106</v>
      </c>
      <c r="C30" s="1676" t="s">
        <v>2122</v>
      </c>
      <c r="D30" s="1867">
        <v>116584</v>
      </c>
      <c r="E30" s="1562">
        <f t="shared" si="2"/>
        <v>25000</v>
      </c>
      <c r="F30" s="1815">
        <f t="shared" si="3"/>
        <v>0</v>
      </c>
      <c r="G30" s="1816">
        <f t="shared" si="4"/>
        <v>0</v>
      </c>
    </row>
    <row r="31" spans="1:8" x14ac:dyDescent="0.25">
      <c r="A31" s="1675" t="s">
        <v>2101</v>
      </c>
      <c r="B31" s="1869" t="s">
        <v>2106</v>
      </c>
      <c r="C31" s="1676" t="s">
        <v>2123</v>
      </c>
      <c r="D31" s="1867">
        <v>91668</v>
      </c>
      <c r="E31" s="1562">
        <f t="shared" si="2"/>
        <v>25000</v>
      </c>
      <c r="F31" s="1815">
        <f t="shared" si="3"/>
        <v>0</v>
      </c>
      <c r="G31" s="1816">
        <f t="shared" si="4"/>
        <v>0</v>
      </c>
    </row>
    <row r="32" spans="1:8" x14ac:dyDescent="0.25">
      <c r="A32" s="1675" t="s">
        <v>2101</v>
      </c>
      <c r="B32" s="1869" t="s">
        <v>2106</v>
      </c>
      <c r="C32" s="1676" t="s">
        <v>2124</v>
      </c>
      <c r="D32" s="1867">
        <v>72077</v>
      </c>
      <c r="E32" s="1562">
        <f t="shared" si="2"/>
        <v>25000</v>
      </c>
      <c r="F32" s="1815">
        <f t="shared" si="3"/>
        <v>0</v>
      </c>
      <c r="G32" s="1816">
        <f t="shared" si="4"/>
        <v>0</v>
      </c>
    </row>
    <row r="33" spans="1:7" x14ac:dyDescent="0.25">
      <c r="A33" s="1675" t="s">
        <v>2101</v>
      </c>
      <c r="B33" s="1869" t="s">
        <v>2106</v>
      </c>
      <c r="C33" s="1676" t="s">
        <v>2125</v>
      </c>
      <c r="D33" s="1867">
        <v>71719</v>
      </c>
      <c r="E33" s="1562">
        <f t="shared" si="2"/>
        <v>25000</v>
      </c>
      <c r="F33" s="1815">
        <f t="shared" si="3"/>
        <v>0</v>
      </c>
      <c r="G33" s="1816">
        <f t="shared" si="4"/>
        <v>0</v>
      </c>
    </row>
    <row r="34" spans="1:7" x14ac:dyDescent="0.25">
      <c r="A34" s="1675" t="s">
        <v>2101</v>
      </c>
      <c r="B34" s="1869" t="s">
        <v>2106</v>
      </c>
      <c r="C34" s="1676" t="s">
        <v>2126</v>
      </c>
      <c r="D34" s="1867">
        <v>69228</v>
      </c>
      <c r="E34" s="1562">
        <f t="shared" si="2"/>
        <v>25000</v>
      </c>
      <c r="F34" s="1815">
        <f t="shared" si="3"/>
        <v>0</v>
      </c>
      <c r="G34" s="1816">
        <f t="shared" si="4"/>
        <v>0</v>
      </c>
    </row>
    <row r="35" spans="1:7" x14ac:dyDescent="0.25">
      <c r="A35" s="1675" t="s">
        <v>2103</v>
      </c>
      <c r="B35" s="1869" t="s">
        <v>2107</v>
      </c>
      <c r="C35" s="1676" t="s">
        <v>2127</v>
      </c>
      <c r="D35" s="1867">
        <v>788277</v>
      </c>
      <c r="E35" s="1562">
        <f t="shared" si="2"/>
        <v>25000</v>
      </c>
      <c r="F35" s="1815">
        <f t="shared" si="3"/>
        <v>25000</v>
      </c>
      <c r="G35" s="1816">
        <f t="shared" si="4"/>
        <v>763277</v>
      </c>
    </row>
    <row r="36" spans="1:7" x14ac:dyDescent="0.25">
      <c r="A36" s="1675" t="s">
        <v>2104</v>
      </c>
      <c r="B36" s="1869" t="s">
        <v>2108</v>
      </c>
      <c r="C36" s="1676" t="s">
        <v>2128</v>
      </c>
      <c r="D36" s="1867">
        <v>31502</v>
      </c>
      <c r="E36" s="1562">
        <f t="shared" si="2"/>
        <v>25000</v>
      </c>
      <c r="F36" s="1815">
        <f t="shared" si="3"/>
        <v>25000</v>
      </c>
      <c r="G36" s="1816">
        <f t="shared" si="4"/>
        <v>6502</v>
      </c>
    </row>
    <row r="37" spans="1:7" x14ac:dyDescent="0.25">
      <c r="A37" s="1675" t="s">
        <v>2105</v>
      </c>
      <c r="B37" s="2502" t="s">
        <v>2136</v>
      </c>
      <c r="C37" s="1676" t="s">
        <v>2129</v>
      </c>
      <c r="D37" s="1867">
        <v>115143</v>
      </c>
      <c r="E37" s="1562">
        <f t="shared" si="2"/>
        <v>25000</v>
      </c>
      <c r="F37" s="1815">
        <f t="shared" si="3"/>
        <v>25000</v>
      </c>
      <c r="G37" s="1816">
        <f t="shared" si="4"/>
        <v>90143</v>
      </c>
    </row>
    <row r="38" spans="1:7" x14ac:dyDescent="0.25">
      <c r="A38" s="1675" t="s">
        <v>2103</v>
      </c>
      <c r="B38" s="1689" t="s">
        <v>2107</v>
      </c>
      <c r="C38" s="1676" t="s">
        <v>2130</v>
      </c>
      <c r="D38" s="1867">
        <v>409606</v>
      </c>
      <c r="E38" s="1562">
        <f t="shared" si="2"/>
        <v>25000</v>
      </c>
      <c r="F38" s="1815">
        <f t="shared" si="3"/>
        <v>25000</v>
      </c>
      <c r="G38" s="1816">
        <f t="shared" si="4"/>
        <v>384606</v>
      </c>
    </row>
    <row r="39" spans="1:7" x14ac:dyDescent="0.25">
      <c r="A39" s="1675" t="s">
        <v>2101</v>
      </c>
      <c r="B39" s="1689" t="s">
        <v>2106</v>
      </c>
      <c r="C39" s="1676" t="s">
        <v>2131</v>
      </c>
      <c r="D39" s="1867">
        <v>193966</v>
      </c>
      <c r="E39" s="1562">
        <f t="shared" si="2"/>
        <v>25000</v>
      </c>
      <c r="F39" s="1815">
        <f t="shared" si="3"/>
        <v>0</v>
      </c>
      <c r="G39" s="1816">
        <f t="shared" si="4"/>
        <v>0</v>
      </c>
    </row>
    <row r="40" spans="1:7" x14ac:dyDescent="0.25">
      <c r="A40" s="1675" t="s">
        <v>2101</v>
      </c>
      <c r="B40" s="1689" t="s">
        <v>2106</v>
      </c>
      <c r="C40" s="1676" t="s">
        <v>2132</v>
      </c>
      <c r="D40" s="1867">
        <v>134717</v>
      </c>
      <c r="E40" s="1562">
        <f t="shared" si="2"/>
        <v>25000</v>
      </c>
      <c r="F40" s="1815">
        <f t="shared" si="3"/>
        <v>0</v>
      </c>
      <c r="G40" s="1816">
        <f t="shared" si="4"/>
        <v>0</v>
      </c>
    </row>
    <row r="41" spans="1:7" x14ac:dyDescent="0.25">
      <c r="A41" s="1675" t="s">
        <v>2101</v>
      </c>
      <c r="B41" s="1689" t="s">
        <v>2106</v>
      </c>
      <c r="C41" s="1676" t="s">
        <v>2133</v>
      </c>
      <c r="D41" s="1867">
        <v>120400</v>
      </c>
      <c r="E41" s="1562">
        <f t="shared" si="2"/>
        <v>25000</v>
      </c>
      <c r="F41" s="1815">
        <f t="shared" si="3"/>
        <v>0</v>
      </c>
      <c r="G41" s="1816">
        <f t="shared" si="4"/>
        <v>0</v>
      </c>
    </row>
    <row r="42" spans="1:7" x14ac:dyDescent="0.25">
      <c r="A42" s="1675" t="s">
        <v>2101</v>
      </c>
      <c r="B42" s="1689" t="s">
        <v>2106</v>
      </c>
      <c r="C42" s="1676" t="s">
        <v>2134</v>
      </c>
      <c r="D42" s="1867">
        <v>100381</v>
      </c>
      <c r="E42" s="1562">
        <f t="shared" si="2"/>
        <v>25000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6546607</v>
      </c>
      <c r="E141" s="1563">
        <f t="shared" si="1"/>
        <v>25000</v>
      </c>
      <c r="F141" s="1817">
        <f>SUM(F17:F140)</f>
        <v>100000</v>
      </c>
      <c r="G141" s="1818">
        <f>SUM(G17:G140)</f>
        <v>1244528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7" t="s">
        <v>1778</v>
      </c>
      <c r="B5" s="2298"/>
      <c r="C5" s="2298"/>
      <c r="D5" s="2298"/>
      <c r="E5" s="2298"/>
      <c r="F5" s="2298"/>
      <c r="G5" s="229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2" t="s">
        <v>1945</v>
      </c>
      <c r="B11" s="2303"/>
      <c r="C11" s="2303"/>
      <c r="D11" s="2304"/>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12668254</v>
      </c>
      <c r="F19" s="1822"/>
      <c r="G19" s="1824">
        <f>'Expenditures 15-22'!K33-SUM('Expenditures 15-22'!G33,'Expenditures 15-22'!I33)+'Expenditures 15-22'!D229</f>
        <v>12668254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1138570</v>
      </c>
      <c r="F21" s="1825"/>
      <c r="G21" s="1828">
        <f>'Expenditures 15-22'!K42-SUM('Expenditures 15-22'!G42,'Expenditures 15-22'!I42)+'Expenditures 15-22'!K120-SUM('Expenditures 15-22'!G120,'Expenditures 15-22'!I120)+'Expenditures 15-22'!K180-SUM('Expenditures 15-22'!G180,'Expenditures 15-22'!I180)+'Expenditures 15-22'!D238</f>
        <v>1138570</v>
      </c>
      <c r="H21" s="988"/>
      <c r="I21" s="162"/>
    </row>
    <row r="22" spans="1:9" s="669" customFormat="1" ht="12" customHeight="1" x14ac:dyDescent="0.2">
      <c r="A22" s="995" t="s">
        <v>585</v>
      </c>
      <c r="B22" s="996"/>
      <c r="C22" s="994">
        <v>2200</v>
      </c>
      <c r="D22" s="1825"/>
      <c r="E22" s="1827">
        <f>'Expenditures 15-22'!K47-SUM('Expenditures 15-22'!G47,'Expenditures 15-22'!I47)+'Expenditures 15-22'!D243</f>
        <v>563478</v>
      </c>
      <c r="F22" s="1825"/>
      <c r="G22" s="1828">
        <f>'Expenditures 15-22'!K47-SUM('Expenditures 15-22'!G47,'Expenditures 15-22'!I47)+'Expenditures 15-22'!D243</f>
        <v>563478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784900</v>
      </c>
      <c r="F23" s="1825"/>
      <c r="G23" s="1827">
        <f>'Expenditures 15-22'!K53-SUM('Expenditures 15-22'!G53,'Expenditures 15-22'!I53)+'Expenditures 15-22'!D257+'Expenditures 15-22'!K330-SUM('Expenditures 15-22'!G330,'Expenditures 15-22'!I330)</f>
        <v>784900</v>
      </c>
      <c r="H23" s="988"/>
      <c r="I23" s="162"/>
    </row>
    <row r="24" spans="1:9" s="669" customFormat="1" ht="12" customHeight="1" x14ac:dyDescent="0.2">
      <c r="A24" s="995" t="s">
        <v>587</v>
      </c>
      <c r="B24" s="996"/>
      <c r="C24" s="994">
        <v>2400</v>
      </c>
      <c r="D24" s="1825"/>
      <c r="E24" s="1827">
        <f>'Expenditures 15-22'!K57-SUM('Expenditures 15-22'!G57,'Expenditures 15-22'!I57)+'Expenditures 15-22'!D261</f>
        <v>1060300</v>
      </c>
      <c r="F24" s="1825"/>
      <c r="G24" s="1828">
        <f>'Expenditures 15-22'!K57-SUM('Expenditures 15-22'!G57,'Expenditures 15-22'!I57)+'Expenditures 15-22'!D261</f>
        <v>1060300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207558</v>
      </c>
      <c r="E26" s="1827">
        <f>'Expenditures 15-22'!K122-SUM('Expenditures 15-22'!G122,'Expenditures 15-22'!I122)+E7</f>
        <v>0</v>
      </c>
      <c r="F26" s="1827">
        <f>'Expenditures 15-22'!K59-SUM('Expenditures 15-22'!G59,'Expenditures 15-22'!I59)+'Expenditures 15-22'!D263-E7</f>
        <v>207558</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328622</v>
      </c>
      <c r="E27" s="1827">
        <f>E8</f>
        <v>0</v>
      </c>
      <c r="F27" s="1827">
        <f>'Expenditures 15-22'!K60-SUM('Expenditures 15-22'!G60,'Expenditures 15-22'!I60)+'Expenditures 15-22'!D264-E8</f>
        <v>328622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1858520</v>
      </c>
      <c r="F28" s="1829">
        <f>'Expenditures 15-22'!K61-SUM('Expenditures 15-22'!G61,'Expenditures 15-22'!I61)+'Expenditures 15-22'!K124-SUM('Expenditures 15-22'!G124,'Expenditures 15-22'!I124)+'Expenditures 15-22'!D266-E9</f>
        <v>1858520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1144879</v>
      </c>
      <c r="F29" s="1825"/>
      <c r="G29" s="1828">
        <f>'Expenditures 15-22'!K62-SUM('Expenditures 15-22'!G62,'Expenditures 15-22'!I62)+'Expenditures 15-22'!K125-SUM('Expenditures 15-22'!G125,'Expenditures 15-22'!I125)+'Expenditures 15-22'!K182-SUM('Expenditures 15-22'!G182,'Expenditures 15-22'!I182)+'Expenditures 15-22'!D267</f>
        <v>1144879</v>
      </c>
      <c r="H29" s="986"/>
    </row>
    <row r="30" spans="1:9" ht="12" customHeight="1" x14ac:dyDescent="0.2">
      <c r="A30" s="995" t="s">
        <v>102</v>
      </c>
      <c r="B30" s="998"/>
      <c r="C30" s="994">
        <v>2560</v>
      </c>
      <c r="D30" s="1825"/>
      <c r="E30" s="1827">
        <f>'Expenditures 15-22'!K63-SUM('Expenditures 15-22'!G63,'Expenditures 15-22'!I63)+'Expenditures 15-22'!D268-E10</f>
        <v>597449</v>
      </c>
      <c r="F30" s="1825"/>
      <c r="G30" s="1827">
        <f>'Expenditures 15-22'!K63-SUM('Expenditures 15-22'!G63,'Expenditures 15-22'!I63)+'Expenditures 15-22'!D268-E10</f>
        <v>597449</v>
      </c>
    </row>
    <row r="31" spans="1:9" ht="12" customHeight="1" x14ac:dyDescent="0.2">
      <c r="A31" s="995" t="s">
        <v>103</v>
      </c>
      <c r="B31" s="998"/>
      <c r="C31" s="994">
        <v>2570</v>
      </c>
      <c r="D31" s="1827">
        <f>'Expenditures 15-22'!K64-SUM('Expenditures 15-22'!G64,'Expenditures 15-22'!I64)+'Expenditures 15-22'!D269-E12</f>
        <v>536</v>
      </c>
      <c r="E31" s="1827">
        <f>E12</f>
        <v>0</v>
      </c>
      <c r="F31" s="1827">
        <f>'Expenditures 15-22'!K64-SUM('Expenditures 15-22'!G64,'Expenditures 15-22'!I64)+'Expenditures 15-22'!D269-E12</f>
        <v>536</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252529</v>
      </c>
      <c r="F33" s="1825"/>
      <c r="G33" s="1827">
        <f>'Expenditures 15-22'!K67-SUM('Expenditures 15-22'!G67,'Expenditures 15-22'!I67)+'Expenditures 15-22'!D272</f>
        <v>252529</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127179</v>
      </c>
      <c r="F35" s="1825"/>
      <c r="G35" s="1827">
        <f>'Expenditures 15-22'!K69-SUM('Expenditures 15-22'!G69,'Expenditures 15-22'!I69)+'Expenditures 15-22'!D274</f>
        <v>127179</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-1244528</v>
      </c>
      <c r="F40" s="1825"/>
      <c r="G40" s="1829">
        <f>-'Contracts Paid in CY 29'!G141</f>
        <v>-1244528</v>
      </c>
    </row>
    <row r="41" spans="1:7" ht="12" customHeight="1" x14ac:dyDescent="0.2">
      <c r="A41" s="999" t="s">
        <v>158</v>
      </c>
      <c r="B41" s="1000"/>
      <c r="C41" s="1001"/>
      <c r="D41" s="1829">
        <f>SUM(D19:D39)</f>
        <v>536716</v>
      </c>
      <c r="E41" s="1829">
        <f>SUM(E19:E40)</f>
        <v>18951530</v>
      </c>
      <c r="F41" s="1829">
        <f>SUM(F19:F39)</f>
        <v>2395236</v>
      </c>
      <c r="G41" s="1829">
        <f>SUM(G19:G40)</f>
        <v>17093010</v>
      </c>
    </row>
    <row r="42" spans="1:7" x14ac:dyDescent="0.2">
      <c r="A42" s="988"/>
      <c r="B42" s="162"/>
      <c r="C42" s="1002"/>
      <c r="D42" s="2300" t="s">
        <v>543</v>
      </c>
      <c r="E42" s="2301"/>
      <c r="F42" s="1003" t="s">
        <v>544</v>
      </c>
      <c r="G42" s="1004"/>
    </row>
    <row r="43" spans="1:7" ht="12" customHeight="1" x14ac:dyDescent="0.2">
      <c r="A43" s="988"/>
      <c r="B43" s="162"/>
      <c r="C43" s="1002"/>
      <c r="D43" s="1830" t="s">
        <v>493</v>
      </c>
      <c r="E43" s="1831">
        <f>D41</f>
        <v>536716</v>
      </c>
      <c r="F43" s="1830" t="s">
        <v>495</v>
      </c>
      <c r="G43" s="1831">
        <f>F41</f>
        <v>2395236</v>
      </c>
    </row>
    <row r="44" spans="1:7" ht="12" customHeight="1" x14ac:dyDescent="0.2">
      <c r="A44" s="988"/>
      <c r="B44" s="162"/>
      <c r="C44" s="1002"/>
      <c r="D44" s="1830" t="s">
        <v>494</v>
      </c>
      <c r="E44" s="1831">
        <f>E41</f>
        <v>18951530</v>
      </c>
      <c r="F44" s="1830" t="s">
        <v>494</v>
      </c>
      <c r="G44" s="1831">
        <f>G41</f>
        <v>17093010</v>
      </c>
    </row>
    <row r="45" spans="1:7" ht="12" customHeight="1" x14ac:dyDescent="0.2">
      <c r="A45" s="988"/>
      <c r="B45" s="162"/>
      <c r="C45" s="162"/>
      <c r="D45" s="1832" t="s">
        <v>1063</v>
      </c>
      <c r="E45" s="1833">
        <f>(E43/E44)</f>
        <v>2.8320457503958785E-2</v>
      </c>
      <c r="F45" s="1832" t="s">
        <v>1063</v>
      </c>
      <c r="G45" s="1833">
        <f>(G43/G44)</f>
        <v>0.14012956173312952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9" t="s">
        <v>1446</v>
      </c>
      <c r="B1" s="2319"/>
      <c r="C1" s="2319"/>
      <c r="D1" s="2319"/>
      <c r="E1" s="2319"/>
      <c r="F1" s="231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0" t="s">
        <v>1627</v>
      </c>
      <c r="B5" s="2321"/>
      <c r="C5" s="2322"/>
      <c r="D5" s="2322"/>
      <c r="E5" s="2322"/>
      <c r="F5" s="2322"/>
    </row>
    <row r="6" spans="1:10" ht="12" customHeight="1" x14ac:dyDescent="0.25">
      <c r="A6" s="1875"/>
      <c r="B6" s="1876"/>
      <c r="C6" s="2323" t="str">
        <f>COVER!A17</f>
        <v>Lincolnwood SD 74</v>
      </c>
      <c r="D6" s="2323"/>
      <c r="E6" s="2323"/>
      <c r="F6" s="1877"/>
    </row>
    <row r="7" spans="1:10" ht="11.25" customHeight="1" thickBot="1" x14ac:dyDescent="0.3">
      <c r="A7" s="1875"/>
      <c r="B7" s="1876"/>
      <c r="C7" s="2324">
        <f>COVER!A13</f>
        <v>5016074002</v>
      </c>
      <c r="D7" s="2324"/>
      <c r="E7" s="2324"/>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t="s">
        <v>2100</v>
      </c>
      <c r="F14" s="1892" t="s">
        <v>2097</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2100</v>
      </c>
      <c r="F19" s="1892" t="s">
        <v>2098</v>
      </c>
      <c r="H19" s="1903">
        <f t="shared" si="0"/>
        <v>5</v>
      </c>
      <c r="I19" s="1903">
        <f t="shared" si="1"/>
        <v>5</v>
      </c>
      <c r="J19" s="1903">
        <f t="shared" si="2"/>
        <v>0</v>
      </c>
    </row>
    <row r="20" spans="1:12" ht="12" customHeight="1" x14ac:dyDescent="0.2">
      <c r="A20" s="1888" t="s">
        <v>1609</v>
      </c>
      <c r="B20" s="1889"/>
      <c r="C20" s="1890" t="s">
        <v>2077</v>
      </c>
      <c r="D20" s="1890" t="s">
        <v>2077</v>
      </c>
      <c r="E20" s="1893" t="s">
        <v>2100</v>
      </c>
      <c r="F20" s="1892" t="s">
        <v>2099</v>
      </c>
      <c r="H20" s="1903">
        <f t="shared" si="0"/>
        <v>5</v>
      </c>
      <c r="I20" s="1903">
        <f t="shared" si="1"/>
        <v>5</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2100</v>
      </c>
      <c r="F26" s="1892" t="s">
        <v>2099</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0</v>
      </c>
      <c r="K34" s="1903">
        <f>SUM(H34:J34)</f>
        <v>40</v>
      </c>
    </row>
    <row r="35" spans="1:11" ht="12" customHeight="1" x14ac:dyDescent="0.2">
      <c r="A35" s="1896" t="s">
        <v>1459</v>
      </c>
      <c r="B35" s="1897"/>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8"/>
      <c r="B39" s="1898"/>
      <c r="C39" s="1898"/>
      <c r="D39" s="1898"/>
      <c r="E39" s="1898"/>
      <c r="F39" s="1898"/>
    </row>
    <row r="40" spans="1:11" s="1895" customFormat="1" ht="12" customHeight="1" x14ac:dyDescent="0.25">
      <c r="A40" s="1899" t="s">
        <v>1458</v>
      </c>
      <c r="B40" s="1900"/>
      <c r="C40" s="2314"/>
      <c r="D40" s="2314"/>
      <c r="E40" s="2314"/>
      <c r="F40" s="2315"/>
      <c r="H40" s="1904"/>
      <c r="I40" s="1904"/>
      <c r="J40" s="1904"/>
      <c r="K40" s="1904"/>
    </row>
    <row r="41" spans="1:11" s="1895" customFormat="1" ht="12" customHeight="1" x14ac:dyDescent="0.25">
      <c r="A41" s="2316"/>
      <c r="B41" s="2317"/>
      <c r="C41" s="2317"/>
      <c r="D41" s="2317"/>
      <c r="E41" s="2317"/>
      <c r="F41" s="2318"/>
      <c r="H41" s="1904"/>
      <c r="I41" s="1904"/>
      <c r="J41" s="1904"/>
      <c r="K41" s="1904"/>
    </row>
    <row r="42" spans="1:11" s="1895" customFormat="1" ht="12" customHeight="1" x14ac:dyDescent="0.25">
      <c r="A42" s="2316"/>
      <c r="B42" s="2317"/>
      <c r="C42" s="2317"/>
      <c r="D42" s="2317"/>
      <c r="E42" s="2317"/>
      <c r="F42" s="2318"/>
      <c r="H42" s="1904"/>
      <c r="I42" s="1904"/>
      <c r="J42" s="1904"/>
      <c r="K42" s="1904"/>
    </row>
    <row r="43" spans="1:11" s="1895" customFormat="1" ht="15" x14ac:dyDescent="0.25">
      <c r="A43" s="2305"/>
      <c r="B43" s="2306"/>
      <c r="C43" s="2306"/>
      <c r="D43" s="2306"/>
      <c r="E43" s="2306"/>
      <c r="F43" s="2307"/>
      <c r="H43" s="1904"/>
      <c r="I43" s="1904"/>
      <c r="J43" s="1904"/>
      <c r="K43" s="1904"/>
    </row>
    <row r="44" spans="1:11" s="1895" customFormat="1" ht="12" hidden="1" customHeight="1" x14ac:dyDescent="0.25">
      <c r="A44" s="2305"/>
      <c r="B44" s="2306"/>
      <c r="C44" s="2306"/>
      <c r="D44" s="2306"/>
      <c r="E44" s="2306"/>
      <c r="F44" s="230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I15" sqref="I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2" t="str">
        <f>COVER!A17</f>
        <v>Lincolnwood SD 74</v>
      </c>
      <c r="J6" s="2333"/>
      <c r="Q6" s="1686"/>
    </row>
    <row r="7" spans="1:17" x14ac:dyDescent="0.2">
      <c r="A7" s="2334" t="s">
        <v>924</v>
      </c>
      <c r="B7" s="2335"/>
      <c r="C7" s="2335"/>
      <c r="D7" s="2335"/>
      <c r="E7" s="2336"/>
      <c r="F7" s="1018"/>
      <c r="G7" s="1010"/>
      <c r="H7" s="1017" t="s">
        <v>390</v>
      </c>
      <c r="I7" s="2337">
        <f>COVER!A13</f>
        <v>5016074002</v>
      </c>
      <c r="J7" s="233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8" t="s">
        <v>502</v>
      </c>
      <c r="B11" s="2339"/>
      <c r="C11" s="234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325433</v>
      </c>
      <c r="F12" s="1040"/>
      <c r="G12" s="1834">
        <f t="shared" ref="G12:G18" si="0">SUM(E12:F12)</f>
        <v>325433</v>
      </c>
      <c r="H12" s="1041">
        <v>277173</v>
      </c>
      <c r="I12" s="1040"/>
      <c r="J12" s="1834">
        <f t="shared" ref="J12:J18" si="1">SUM(H12:I12)</f>
        <v>277173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205011</v>
      </c>
      <c r="F15" s="1834">
        <f>'Expenditures 15-22'!K122</f>
        <v>0</v>
      </c>
      <c r="G15" s="1834">
        <f t="shared" si="0"/>
        <v>205011</v>
      </c>
      <c r="H15" s="1041">
        <v>197222</v>
      </c>
      <c r="I15" s="1041"/>
      <c r="J15" s="1834">
        <f t="shared" si="1"/>
        <v>197222</v>
      </c>
    </row>
    <row r="16" spans="1:17" ht="15" customHeight="1" x14ac:dyDescent="0.2">
      <c r="A16" s="1036">
        <v>5</v>
      </c>
      <c r="B16" s="1037" t="s">
        <v>103</v>
      </c>
      <c r="C16" s="1038"/>
      <c r="D16" s="1039">
        <v>2570</v>
      </c>
      <c r="E16" s="1834">
        <f>'Expenditures 15-22'!K64</f>
        <v>536</v>
      </c>
      <c r="F16" s="1040"/>
      <c r="G16" s="1834">
        <f t="shared" si="0"/>
        <v>536</v>
      </c>
      <c r="H16" s="1041">
        <v>4500</v>
      </c>
      <c r="I16" s="1040"/>
      <c r="J16" s="1834">
        <f t="shared" si="1"/>
        <v>4500</v>
      </c>
    </row>
    <row r="17" spans="1:10" ht="15" customHeight="1" x14ac:dyDescent="0.2">
      <c r="A17" s="1036">
        <v>6</v>
      </c>
      <c r="B17" s="1037" t="s">
        <v>1120</v>
      </c>
      <c r="C17" s="1038"/>
      <c r="D17" s="1039">
        <v>2610</v>
      </c>
      <c r="E17" s="1834">
        <f>'Expenditures 15-22'!K67</f>
        <v>241694</v>
      </c>
      <c r="F17" s="1040"/>
      <c r="G17" s="1834">
        <f t="shared" si="0"/>
        <v>241694</v>
      </c>
      <c r="H17" s="1041">
        <v>275077</v>
      </c>
      <c r="I17" s="1040"/>
      <c r="J17" s="1834">
        <f t="shared" si="1"/>
        <v>275077</v>
      </c>
    </row>
    <row r="18" spans="1:10" ht="22.5" customHeight="1" x14ac:dyDescent="0.2">
      <c r="A18" s="1043">
        <v>7</v>
      </c>
      <c r="B18" s="2341" t="s">
        <v>7</v>
      </c>
      <c r="C18" s="2342"/>
      <c r="D18" s="234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772674</v>
      </c>
      <c r="F19" s="1836">
        <f t="shared" si="2"/>
        <v>0</v>
      </c>
      <c r="G19" s="1836">
        <f t="shared" si="2"/>
        <v>772674</v>
      </c>
      <c r="H19" s="1836">
        <f t="shared" si="2"/>
        <v>753972</v>
      </c>
      <c r="I19" s="1836">
        <f t="shared" si="2"/>
        <v>0</v>
      </c>
      <c r="J19" s="1836">
        <f t="shared" si="2"/>
        <v>753972</v>
      </c>
    </row>
    <row r="20" spans="1:10" ht="13.5" thickTop="1" x14ac:dyDescent="0.2">
      <c r="A20" s="1036">
        <v>9</v>
      </c>
      <c r="B20" s="2344" t="s">
        <v>1703</v>
      </c>
      <c r="C20" s="2344"/>
      <c r="D20" s="2345"/>
      <c r="E20" s="1047"/>
      <c r="F20" s="1047"/>
      <c r="G20" s="1047"/>
      <c r="H20" s="1047"/>
      <c r="I20" s="1047"/>
      <c r="J20" s="1837">
        <f>IF(AND(G19&gt;0,J19&gt;0),(((J19-G19)/G19)),"Enter Budget Data")</f>
        <v>-2.4204256905240761E-2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0"/>
      <c r="D26" s="2350"/>
      <c r="E26" s="1051"/>
      <c r="F26" s="2349"/>
      <c r="G26" s="2349"/>
    </row>
    <row r="27" spans="1:10" x14ac:dyDescent="0.2">
      <c r="B27" s="1048"/>
      <c r="C27" s="1052" t="s">
        <v>1093</v>
      </c>
      <c r="D27" s="1053"/>
      <c r="E27" s="1054"/>
      <c r="F27" s="2346" t="s">
        <v>1589</v>
      </c>
      <c r="G27" s="2346"/>
    </row>
    <row r="28" spans="1:10" ht="28.5" customHeight="1" x14ac:dyDescent="0.2">
      <c r="B28" s="1048"/>
      <c r="C28" s="2348"/>
      <c r="D28" s="2348"/>
      <c r="E28" s="1055"/>
      <c r="F28" s="2348"/>
      <c r="G28" s="2348"/>
    </row>
    <row r="29" spans="1:10" x14ac:dyDescent="0.2">
      <c r="B29" s="1048"/>
      <c r="C29" s="1056" t="s">
        <v>1642</v>
      </c>
      <c r="E29" s="1057"/>
      <c r="F29" s="2347" t="s">
        <v>1590</v>
      </c>
      <c r="G29" s="234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3"/>
    </row>
    <row r="36" spans="1:10" ht="13.5" customHeight="1" x14ac:dyDescent="0.2">
      <c r="B36" s="1062"/>
      <c r="C36" s="2331" t="s">
        <v>1944</v>
      </c>
      <c r="D36" s="2330"/>
      <c r="E36" s="2330"/>
      <c r="F36" s="2330"/>
      <c r="G36" s="2330"/>
      <c r="H36" s="2330"/>
      <c r="I36" s="2330"/>
      <c r="J36" s="1064"/>
    </row>
    <row r="37" spans="1:10" ht="22.5" customHeight="1" x14ac:dyDescent="0.2">
      <c r="C37" s="2330"/>
      <c r="D37" s="2330"/>
      <c r="E37" s="2330"/>
      <c r="F37" s="2330"/>
      <c r="G37" s="2330"/>
      <c r="H37" s="2330"/>
      <c r="I37" s="2330"/>
      <c r="J37" s="1064"/>
    </row>
    <row r="38" spans="1:10" ht="7.5" customHeight="1" x14ac:dyDescent="0.2">
      <c r="C38" s="1063"/>
      <c r="D38" s="1065"/>
      <c r="E38" s="1066"/>
      <c r="F38" s="1067"/>
      <c r="G38" s="1066"/>
    </row>
    <row r="39" spans="1:10" ht="13.5" customHeight="1" x14ac:dyDescent="0.2">
      <c r="B39" s="1062"/>
      <c r="C39" s="2327" t="s">
        <v>937</v>
      </c>
      <c r="D39" s="2328"/>
      <c r="E39" s="2328"/>
      <c r="F39" s="2328"/>
      <c r="G39" s="2328"/>
      <c r="H39" s="2328"/>
      <c r="I39" s="232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2091</v>
      </c>
    </row>
    <row r="6" spans="1:2" x14ac:dyDescent="0.2">
      <c r="A6" s="1069">
        <v>2</v>
      </c>
      <c r="B6" s="329" t="s">
        <v>2092</v>
      </c>
    </row>
    <row r="7" spans="1:2" x14ac:dyDescent="0.2">
      <c r="A7" s="1069">
        <v>3</v>
      </c>
      <c r="B7" s="329" t="s">
        <v>2093</v>
      </c>
    </row>
    <row r="8" spans="1:2" x14ac:dyDescent="0.2">
      <c r="A8" s="1069">
        <v>4</v>
      </c>
      <c r="B8" s="329" t="s">
        <v>2094</v>
      </c>
    </row>
    <row r="9" spans="1:2" x14ac:dyDescent="0.2">
      <c r="A9" s="1070">
        <v>5</v>
      </c>
      <c r="B9" s="329" t="s">
        <v>2095</v>
      </c>
    </row>
    <row r="10" spans="1:2" x14ac:dyDescent="0.2">
      <c r="A10" s="1070">
        <v>6</v>
      </c>
      <c r="B10" s="329" t="s">
        <v>2096</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Lincolnwood SD 74</v>
      </c>
    </row>
    <row r="65" spans="2:2" x14ac:dyDescent="0.2">
      <c r="B65" s="1071">
        <f>COVER!A13</f>
        <v>5016074002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36" sqref="C3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1" t="s">
        <v>1784</v>
      </c>
      <c r="B18" s="2351"/>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7" r:id="rId4">
          <objectPr defaultSize="0" autoPict="0" r:id="rId5">
            <anchor moveWithCells="1">
              <from>
                <xdr:col>1</xdr:col>
                <xdr:colOff>914400</xdr:colOff>
                <xdr:row>4</xdr:row>
                <xdr:rowOff>142875</xdr:rowOff>
              </from>
              <to>
                <xdr:col>1</xdr:col>
                <xdr:colOff>1819275</xdr:colOff>
                <xdr:row>8</xdr:row>
                <xdr:rowOff>142875</xdr:rowOff>
              </to>
            </anchor>
          </objectPr>
        </oleObject>
      </mc:Choice>
      <mc:Fallback>
        <oleObject progId="Acrobat Document" dvAspect="DVASPECT_ICON" shapeId="35847" r:id="rId4"/>
      </mc:Fallback>
    </mc:AlternateContent>
    <mc:AlternateContent xmlns:mc="http://schemas.openxmlformats.org/markup-compatibility/2006">
      <mc:Choice Requires="x14">
        <oleObject progId="Acrobat Document" dvAspect="DVASPECT_ICON" shapeId="35850" r:id="rId6">
          <objectPr defaultSize="0" autoPict="0" r:id="rId7">
            <anchor moveWithCells="1">
              <from>
                <xdr:col>1</xdr:col>
                <xdr:colOff>2305050</xdr:colOff>
                <xdr:row>4</xdr:row>
                <xdr:rowOff>133350</xdr:rowOff>
              </from>
              <to>
                <xdr:col>1</xdr:col>
                <xdr:colOff>3209925</xdr:colOff>
                <xdr:row>8</xdr:row>
                <xdr:rowOff>133350</xdr:rowOff>
              </to>
            </anchor>
          </objectPr>
        </oleObject>
      </mc:Choice>
      <mc:Fallback>
        <oleObject progId="Acrobat Document" dvAspect="DVASPECT_ICON" shapeId="35850" r:id="rId6"/>
      </mc:Fallback>
    </mc:AlternateContent>
    <mc:AlternateContent xmlns:mc="http://schemas.openxmlformats.org/markup-compatibility/2006">
      <mc:Choice Requires="x14">
        <oleObject progId="Acrobat Document" dvAspect="DVASPECT_ICON" shapeId="35851" r:id="rId8">
          <objectPr defaultSize="0" r:id="rId9">
            <anchor moveWithCells="1">
              <from>
                <xdr:col>1</xdr:col>
                <xdr:colOff>3600450</xdr:colOff>
                <xdr:row>4</xdr:row>
                <xdr:rowOff>142875</xdr:rowOff>
              </from>
              <to>
                <xdr:col>2</xdr:col>
                <xdr:colOff>533400</xdr:colOff>
                <xdr:row>9</xdr:row>
                <xdr:rowOff>95250</xdr:rowOff>
              </to>
            </anchor>
          </objectPr>
        </oleObject>
      </mc:Choice>
      <mc:Fallback>
        <oleObject progId="Acrobat Document" dvAspect="DVASPECT_ICON" shapeId="35851" r:id="rId8"/>
      </mc:Fallback>
    </mc:AlternateContent>
    <mc:AlternateContent xmlns:mc="http://schemas.openxmlformats.org/markup-compatibility/2006">
      <mc:Choice Requires="x14">
        <oleObject progId="Acrobat Document" dvAspect="DVASPECT_ICON" shapeId="35852" r:id="rId10">
          <objectPr defaultSize="0" r:id="rId11">
            <anchor moveWithCells="1">
              <from>
                <xdr:col>3</xdr:col>
                <xdr:colOff>190500</xdr:colOff>
                <xdr:row>4</xdr:row>
                <xdr:rowOff>123825</xdr:rowOff>
              </from>
              <to>
                <xdr:col>4</xdr:col>
                <xdr:colOff>495300</xdr:colOff>
                <xdr:row>9</xdr:row>
                <xdr:rowOff>76200</xdr:rowOff>
              </to>
            </anchor>
          </objectPr>
        </oleObject>
      </mc:Choice>
      <mc:Fallback>
        <oleObject progId="Acrobat Document" dvAspect="DVASPECT_ICON" shapeId="3585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5"/>
      <c r="H2" s="1075"/>
    </row>
    <row r="3" spans="1:8" ht="57" customHeight="1" x14ac:dyDescent="0.2">
      <c r="A3" s="2365" t="s">
        <v>1786</v>
      </c>
      <c r="B3" s="2366"/>
      <c r="C3" s="2366"/>
      <c r="D3" s="2366"/>
      <c r="E3" s="2366"/>
      <c r="F3" s="2367"/>
      <c r="G3" s="1075"/>
      <c r="H3" s="1075"/>
    </row>
    <row r="4" spans="1:8" ht="14.25" customHeight="1" x14ac:dyDescent="0.2">
      <c r="A4" s="2371" t="s">
        <v>2056</v>
      </c>
      <c r="B4" s="2372"/>
      <c r="C4" s="2372"/>
      <c r="D4" s="2372"/>
      <c r="E4" s="2372"/>
      <c r="F4" s="2373"/>
      <c r="G4" s="1075"/>
      <c r="H4" s="1075"/>
    </row>
    <row r="5" spans="1:8" ht="14.25" customHeight="1" x14ac:dyDescent="0.2">
      <c r="A5" s="2374" t="s">
        <v>2057</v>
      </c>
      <c r="B5" s="2375"/>
      <c r="C5" s="2375"/>
      <c r="D5" s="2375"/>
      <c r="E5" s="2375"/>
      <c r="F5" s="2376"/>
      <c r="G5" s="1075"/>
      <c r="H5" s="1075"/>
    </row>
    <row r="6" spans="1:8" s="1076" customFormat="1" ht="41.25" customHeight="1" x14ac:dyDescent="0.2">
      <c r="A6" s="2368" t="s">
        <v>1792</v>
      </c>
      <c r="B6" s="2369"/>
      <c r="C6" s="2369"/>
      <c r="D6" s="2369"/>
      <c r="E6" s="2369"/>
      <c r="F6" s="237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20519235</v>
      </c>
      <c r="C8" s="1838">
        <f>'Acct Summary 7-8'!D8</f>
        <v>2055140</v>
      </c>
      <c r="D8" s="1838">
        <f>'Acct Summary 7-8'!F8</f>
        <v>1030657</v>
      </c>
      <c r="E8" s="1838">
        <f>'Acct Summary 7-8'!I8</f>
        <v>268</v>
      </c>
      <c r="F8" s="1838">
        <f>SUM(B8:E8)</f>
        <v>23605300</v>
      </c>
    </row>
    <row r="9" spans="1:8" s="1080" customFormat="1" ht="14.25" customHeight="1" thickBot="1" x14ac:dyDescent="0.25">
      <c r="A9" s="1079" t="s">
        <v>1436</v>
      </c>
      <c r="B9" s="1839">
        <f>'Acct Summary 7-8'!C17</f>
        <v>19297275</v>
      </c>
      <c r="C9" s="1839">
        <f>'Acct Summary 7-8'!D17</f>
        <v>2071684</v>
      </c>
      <c r="D9" s="1839">
        <f>'Acct Summary 7-8'!F17</f>
        <v>1144879</v>
      </c>
      <c r="E9" s="1838"/>
      <c r="F9" s="1838">
        <f>SUM(B9:E9)</f>
        <v>22513838</v>
      </c>
    </row>
    <row r="10" spans="1:8" s="1080" customFormat="1" ht="14.25" thickTop="1" thickBot="1" x14ac:dyDescent="0.25">
      <c r="A10" s="1081" t="s">
        <v>1437</v>
      </c>
      <c r="B10" s="1840">
        <f>(B8-B9)</f>
        <v>1221960</v>
      </c>
      <c r="C10" s="1840">
        <f>(C8-C9)</f>
        <v>-16544</v>
      </c>
      <c r="D10" s="1840">
        <f>(D8-D9)</f>
        <v>-114222</v>
      </c>
      <c r="E10" s="1839">
        <f>(E8-E9)</f>
        <v>268</v>
      </c>
      <c r="F10" s="1841">
        <f>SUM(F8-F9)</f>
        <v>1091462</v>
      </c>
    </row>
    <row r="11" spans="1:8" s="1080" customFormat="1" ht="14.25" thickTop="1" thickBot="1" x14ac:dyDescent="0.25">
      <c r="A11" s="1082" t="s">
        <v>1785</v>
      </c>
      <c r="B11" s="1842">
        <f>'Acct Summary 7-8'!C81</f>
        <v>15576594</v>
      </c>
      <c r="C11" s="1842">
        <f>'Acct Summary 7-8'!D81</f>
        <v>802466</v>
      </c>
      <c r="D11" s="1842">
        <f>'Acct Summary 7-8'!F81</f>
        <v>1273235</v>
      </c>
      <c r="E11" s="1842">
        <f>'Acct Summary 7-8'!I81</f>
        <v>365141</v>
      </c>
      <c r="F11" s="1843">
        <f>SUM(B11:E11)</f>
        <v>18017436</v>
      </c>
    </row>
    <row r="12" spans="1:8" ht="16.5" customHeight="1" thickTop="1" x14ac:dyDescent="0.2">
      <c r="A12" s="1083"/>
      <c r="B12" s="1084"/>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5"/>
      <c r="B13" s="1086"/>
      <c r="C13" s="2356"/>
      <c r="D13" s="2357"/>
      <c r="E13" s="2357"/>
      <c r="F13" s="2358"/>
      <c r="H13" s="1075"/>
    </row>
    <row r="14" spans="1:8" ht="19.5" customHeight="1" x14ac:dyDescent="0.2">
      <c r="A14" s="1085"/>
      <c r="B14" s="1086"/>
      <c r="C14" s="2356"/>
      <c r="D14" s="2357"/>
      <c r="E14" s="2357"/>
      <c r="F14" s="2358"/>
      <c r="H14" s="1075"/>
    </row>
    <row r="15" spans="1:8" ht="17.25" customHeight="1" x14ac:dyDescent="0.2">
      <c r="A15" s="1085"/>
      <c r="B15" s="1086"/>
      <c r="C15" s="2359"/>
      <c r="D15" s="2360"/>
      <c r="E15" s="2360"/>
      <c r="F15" s="2361"/>
      <c r="H15" s="1075"/>
    </row>
    <row r="16" spans="1:8" s="310" customFormat="1" ht="51.75" hidden="1" customHeight="1" x14ac:dyDescent="0.2">
      <c r="A16" s="2355" t="s">
        <v>1787</v>
      </c>
      <c r="B16" s="2355"/>
      <c r="C16" s="2355"/>
      <c r="D16" s="2355"/>
      <c r="E16" s="235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7" t="s">
        <v>686</v>
      </c>
      <c r="B3" s="2378"/>
      <c r="C3" s="2378"/>
      <c r="D3" s="2379"/>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8" t="s">
        <v>1584</v>
      </c>
      <c r="D7" s="2389"/>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0" t="s">
        <v>1065</v>
      </c>
      <c r="B15" s="2381"/>
      <c r="C15" s="2381"/>
      <c r="D15" s="2382"/>
    </row>
    <row r="16" spans="1:4" s="669" customFormat="1" ht="24" customHeight="1" x14ac:dyDescent="0.2">
      <c r="A16" s="2383" t="s">
        <v>684</v>
      </c>
      <c r="B16" s="2384"/>
      <c r="C16" s="2384"/>
      <c r="D16" s="238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2" t="s">
        <v>332</v>
      </c>
      <c r="D21" s="2393"/>
    </row>
    <row r="22" spans="1:10" ht="12.75" x14ac:dyDescent="0.2">
      <c r="A22" s="1140"/>
      <c r="B22" s="1141">
        <v>2</v>
      </c>
      <c r="C22" s="2390" t="s">
        <v>1605</v>
      </c>
      <c r="D22" s="239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4" t="s">
        <v>557</v>
      </c>
      <c r="D43" s="239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6" t="s">
        <v>817</v>
      </c>
      <c r="D56" s="238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6" t="s">
        <v>1797</v>
      </c>
      <c r="D70" s="238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5016074002</v>
      </c>
    </row>
    <row r="3" spans="1:2" x14ac:dyDescent="0.2">
      <c r="A3" t="s">
        <v>1013</v>
      </c>
      <c r="B3" s="138" t="str">
        <f>COVER!A15</f>
        <v>Cook</v>
      </c>
    </row>
    <row r="4" spans="1:2" x14ac:dyDescent="0.2">
      <c r="A4" t="s">
        <v>1064</v>
      </c>
      <c r="B4" s="138" t="str">
        <f>COVER!A17</f>
        <v>Lincolnwood SD 74</v>
      </c>
    </row>
    <row r="5" spans="1:2" x14ac:dyDescent="0.2">
      <c r="A5" t="s">
        <v>728</v>
      </c>
      <c r="B5" s="138" t="str">
        <f>COVER!A38</f>
        <v>Dr. Kimberly Nasshan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Raod</v>
      </c>
    </row>
    <row r="19" spans="1:2" x14ac:dyDescent="0.2">
      <c r="A19" t="s">
        <v>941</v>
      </c>
      <c r="B19" s="138">
        <f>COVER!T25</f>
        <v>0</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f>COVER!T21</f>
        <v>6303931483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7504154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23245664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-190162</v>
      </c>
      <c r="D86" s="2" t="str">
        <f t="shared" si="0"/>
        <v>Error?</v>
      </c>
    </row>
    <row r="87" spans="1:4" x14ac:dyDescent="0.2">
      <c r="A87" s="10">
        <v>26</v>
      </c>
      <c r="D87" s="2" t="str">
        <f t="shared" si="0"/>
        <v>OK</v>
      </c>
    </row>
    <row r="88" spans="1:4" x14ac:dyDescent="0.2">
      <c r="A88" s="5">
        <v>27</v>
      </c>
      <c r="B88" s="138">
        <f>'Assets-Liab 5-6'!C32</f>
        <v>7504154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7669070</v>
      </c>
      <c r="C91" s="2" t="s">
        <v>594</v>
      </c>
      <c r="D91" s="2" t="str">
        <f t="shared" si="0"/>
        <v>Error?</v>
      </c>
    </row>
    <row r="92" spans="1:4" x14ac:dyDescent="0.2">
      <c r="A92" s="5">
        <v>31</v>
      </c>
      <c r="B92" s="138">
        <f>'Assets-Liab 5-6'!C39</f>
        <v>15576594</v>
      </c>
      <c r="D92" s="2" t="str">
        <f t="shared" si="0"/>
        <v>Error?</v>
      </c>
    </row>
    <row r="93" spans="1:4" x14ac:dyDescent="0.2">
      <c r="A93" s="5">
        <v>32</v>
      </c>
      <c r="B93" s="138">
        <f>'Assets-Liab 5-6'!C41</f>
        <v>23245664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828873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3270420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-6966</v>
      </c>
      <c r="D117" s="2" t="str">
        <f t="shared" si="0"/>
        <v>Error?</v>
      </c>
    </row>
    <row r="118" spans="1:4" x14ac:dyDescent="0.2">
      <c r="A118" s="10">
        <v>57</v>
      </c>
      <c r="D118" s="2" t="str">
        <f t="shared" si="0"/>
        <v>OK</v>
      </c>
    </row>
    <row r="119" spans="1:4" x14ac:dyDescent="0.2">
      <c r="A119" s="5">
        <v>58</v>
      </c>
      <c r="B119" s="138">
        <f>'Assets-Liab 5-6'!D32</f>
        <v>828873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2467954</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3270420</v>
      </c>
      <c r="C124" s="2" t="s">
        <v>594</v>
      </c>
      <c r="D124" s="2" t="str">
        <f t="shared" si="0"/>
        <v>Error?</v>
      </c>
    </row>
    <row r="125" spans="1:4" x14ac:dyDescent="0.2">
      <c r="A125" s="10">
        <v>64</v>
      </c>
      <c r="D125" s="2" t="str">
        <f t="shared" si="0"/>
        <v>OK</v>
      </c>
    </row>
    <row r="126" spans="1:4" x14ac:dyDescent="0.2">
      <c r="A126" s="5">
        <v>65</v>
      </c>
      <c r="B126" s="138">
        <f>'Assets-Liab 5-6'!E6</f>
        <v>475575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1064807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475575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475575</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1064807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218291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1563172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218291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289937</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1563172</v>
      </c>
      <c r="C171" s="2" t="s">
        <v>594</v>
      </c>
      <c r="D171" s="2" t="str">
        <f t="shared" si="1"/>
        <v>Error?</v>
      </c>
    </row>
    <row r="172" spans="1:4" x14ac:dyDescent="0.2">
      <c r="A172" s="10">
        <v>111</v>
      </c>
      <c r="D172" s="2" t="str">
        <f t="shared" si="1"/>
        <v>OK</v>
      </c>
    </row>
    <row r="173" spans="1:4" x14ac:dyDescent="0.2">
      <c r="A173" s="5">
        <v>112</v>
      </c>
      <c r="B173" s="138">
        <f>'Assets-Liab 5-6'!G6</f>
        <v>141789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527000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141789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141789</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527000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1013948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1060462</v>
      </c>
      <c r="C211" s="2" t="s">
        <v>594</v>
      </c>
      <c r="D211" s="2" t="str">
        <f t="shared" si="2"/>
        <v>Error?</v>
      </c>
    </row>
    <row r="212" spans="1:4" x14ac:dyDescent="0.2">
      <c r="A212" s="5">
        <v>151</v>
      </c>
      <c r="B212" s="138">
        <f>'Assets-Liab 5-6'!H39</f>
        <v>-46514</v>
      </c>
      <c r="D212" s="2" t="str">
        <f t="shared" si="2"/>
        <v>Error?</v>
      </c>
    </row>
    <row r="213" spans="1:4" x14ac:dyDescent="0.2">
      <c r="A213" s="12">
        <v>152</v>
      </c>
      <c r="B213" s="138">
        <f>'Assets-Liab 5-6'!H41</f>
        <v>1013948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2337500</v>
      </c>
      <c r="D273" s="2" t="str">
        <f t="shared" si="3"/>
        <v>Error?</v>
      </c>
    </row>
    <row r="274" spans="1:4" x14ac:dyDescent="0.2">
      <c r="A274" s="5">
        <v>213</v>
      </c>
      <c r="B274" s="138">
        <f>'Assets-Liab 5-6'!M17</f>
        <v>49950527</v>
      </c>
      <c r="D274" s="2" t="str">
        <f t="shared" si="3"/>
        <v>Error?</v>
      </c>
    </row>
    <row r="275" spans="1:4" x14ac:dyDescent="0.2">
      <c r="A275" s="5">
        <v>214</v>
      </c>
      <c r="B275" s="138">
        <f>'Assets-Liab 5-6'!M18</f>
        <v>1237572</v>
      </c>
      <c r="D275" s="2" t="str">
        <f t="shared" si="3"/>
        <v>Error?</v>
      </c>
    </row>
    <row r="276" spans="1:4" x14ac:dyDescent="0.2">
      <c r="A276" s="5">
        <v>215</v>
      </c>
      <c r="B276" s="138">
        <f>'Assets-Liab 5-6'!M19</f>
        <v>6746030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60271629</v>
      </c>
      <c r="C279" s="2" t="s">
        <v>594</v>
      </c>
      <c r="D279" s="2" t="str">
        <f t="shared" si="3"/>
        <v>Error?</v>
      </c>
    </row>
    <row r="280" spans="1:4" x14ac:dyDescent="0.2">
      <c r="A280" s="5">
        <v>219</v>
      </c>
      <c r="B280" s="138">
        <f>'Assets-Liab 5-6'!M40</f>
        <v>60271629</v>
      </c>
      <c r="D280" s="2" t="str">
        <f t="shared" si="3"/>
        <v>Error?</v>
      </c>
    </row>
    <row r="281" spans="1:4" x14ac:dyDescent="0.2">
      <c r="A281" s="5">
        <v>220</v>
      </c>
      <c r="B281" s="138">
        <f>'Assets-Liab 5-6'!M41</f>
        <v>60271629</v>
      </c>
      <c r="C281" s="2" t="s">
        <v>594</v>
      </c>
      <c r="D281" s="2" t="str">
        <f t="shared" si="3"/>
        <v>Error?</v>
      </c>
    </row>
    <row r="282" spans="1:4" x14ac:dyDescent="0.2">
      <c r="A282" s="5">
        <v>221</v>
      </c>
      <c r="B282" s="138">
        <f>'Assets-Liab 5-6'!N21</f>
        <v>589232</v>
      </c>
      <c r="D282" s="2" t="str">
        <f t="shared" si="3"/>
        <v>Error?</v>
      </c>
    </row>
    <row r="283" spans="1:4" x14ac:dyDescent="0.2">
      <c r="A283" s="5">
        <v>222</v>
      </c>
      <c r="B283" s="138">
        <f>'Assets-Liab 5-6'!N22</f>
        <v>9845768</v>
      </c>
      <c r="D283" s="2" t="str">
        <f t="shared" si="3"/>
        <v>Error?</v>
      </c>
    </row>
    <row r="284" spans="1:4" x14ac:dyDescent="0.2">
      <c r="A284" s="5">
        <v>223</v>
      </c>
      <c r="B284" s="138">
        <f>'Assets-Liab 5-6'!N23</f>
        <v>10435000</v>
      </c>
      <c r="C284" s="2" t="s">
        <v>594</v>
      </c>
      <c r="D284" s="2" t="str">
        <f t="shared" si="3"/>
        <v>Error?</v>
      </c>
    </row>
    <row r="285" spans="1:4" x14ac:dyDescent="0.2">
      <c r="A285" s="5">
        <v>224</v>
      </c>
      <c r="B285" s="138">
        <f>'Assets-Liab 5-6'!N36</f>
        <v>10435000</v>
      </c>
      <c r="D285" s="2" t="str">
        <f t="shared" si="3"/>
        <v>Error?</v>
      </c>
    </row>
    <row r="286" spans="1:4" x14ac:dyDescent="0.2">
      <c r="A286" s="10">
        <v>225</v>
      </c>
      <c r="D286" s="2" t="str">
        <f t="shared" si="3"/>
        <v>OK</v>
      </c>
    </row>
    <row r="287" spans="1:4" x14ac:dyDescent="0.2">
      <c r="A287" s="5">
        <v>226</v>
      </c>
      <c r="B287" s="138">
        <f>'Assets-Liab 5-6'!N37</f>
        <v>10435000</v>
      </c>
      <c r="C287" s="2" t="s">
        <v>594</v>
      </c>
      <c r="D287" s="2" t="str">
        <f t="shared" si="3"/>
        <v>Error?</v>
      </c>
    </row>
    <row r="288" spans="1:4" x14ac:dyDescent="0.2">
      <c r="A288" s="5">
        <v>227</v>
      </c>
      <c r="B288" s="138">
        <f>'Assets-Liab 5-6'!N41</f>
        <v>10435000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6913864</v>
      </c>
      <c r="D705" s="2" t="str">
        <f t="shared" si="10"/>
        <v>Error?</v>
      </c>
    </row>
    <row r="706" spans="1:4" x14ac:dyDescent="0.2">
      <c r="A706" s="5">
        <v>645</v>
      </c>
      <c r="B706" s="138">
        <f>'Expenditures 15-22'!C16</f>
        <v>378356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531868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115049</v>
      </c>
      <c r="D718" s="2" t="str">
        <f t="shared" si="10"/>
        <v>Error?</v>
      </c>
    </row>
    <row r="719" spans="1:4" x14ac:dyDescent="0.2">
      <c r="A719" s="5">
        <v>658</v>
      </c>
      <c r="B719" s="138">
        <f>'Expenditures 15-22'!C15</f>
        <v>44701</v>
      </c>
      <c r="D719" s="2" t="str">
        <f t="shared" si="10"/>
        <v>Error?</v>
      </c>
    </row>
    <row r="720" spans="1:4" x14ac:dyDescent="0.2">
      <c r="A720" s="5">
        <v>659</v>
      </c>
      <c r="B720" s="138">
        <f>'Expenditures 15-22'!C33</f>
        <v>9689229</v>
      </c>
      <c r="C720" s="2" t="s">
        <v>594</v>
      </c>
      <c r="D720" s="2" t="str">
        <f t="shared" si="10"/>
        <v>Error?</v>
      </c>
    </row>
    <row r="721" spans="1:4" x14ac:dyDescent="0.2">
      <c r="A721" s="5">
        <v>660</v>
      </c>
      <c r="B721" s="138">
        <f>'Expenditures 15-22'!C36</f>
        <v>270860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246514</v>
      </c>
      <c r="D723" s="2" t="str">
        <f t="shared" si="10"/>
        <v>Error?</v>
      </c>
    </row>
    <row r="724" spans="1:4" x14ac:dyDescent="0.2">
      <c r="A724" s="5">
        <v>663</v>
      </c>
      <c r="B724" s="138">
        <f>'Expenditures 15-22'!C39</f>
        <v>153812</v>
      </c>
      <c r="D724" s="2" t="str">
        <f t="shared" si="10"/>
        <v>Error?</v>
      </c>
    </row>
    <row r="725" spans="1:4" x14ac:dyDescent="0.2">
      <c r="A725" s="5">
        <v>664</v>
      </c>
      <c r="B725" s="138">
        <f>'Expenditures 15-22'!C40</f>
        <v>247421</v>
      </c>
      <c r="D725" s="2" t="str">
        <f t="shared" si="10"/>
        <v>Error?</v>
      </c>
    </row>
    <row r="726" spans="1:4" x14ac:dyDescent="0.2">
      <c r="A726" s="5">
        <v>665</v>
      </c>
      <c r="B726" s="138">
        <f>'Expenditures 15-22'!C41</f>
        <v>46348</v>
      </c>
      <c r="D726" s="2" t="str">
        <f t="shared" si="10"/>
        <v>Error?</v>
      </c>
    </row>
    <row r="727" spans="1:4" x14ac:dyDescent="0.2">
      <c r="A727" s="5">
        <v>666</v>
      </c>
      <c r="B727" s="138">
        <f>'Expenditures 15-22'!C42</f>
        <v>964955</v>
      </c>
      <c r="C727" s="2" t="s">
        <v>594</v>
      </c>
      <c r="D727" s="2" t="str">
        <f t="shared" si="10"/>
        <v>Error?</v>
      </c>
    </row>
    <row r="728" spans="1:4" x14ac:dyDescent="0.2">
      <c r="A728" s="5">
        <v>667</v>
      </c>
      <c r="B728" s="138">
        <f>'Expenditures 15-22'!C44</f>
        <v>56312</v>
      </c>
      <c r="D728" s="2" t="str">
        <f t="shared" si="10"/>
        <v>Error?</v>
      </c>
    </row>
    <row r="729" spans="1:4" x14ac:dyDescent="0.2">
      <c r="A729" s="5">
        <v>668</v>
      </c>
      <c r="B729" s="138">
        <f>'Expenditures 15-22'!C45</f>
        <v>398113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454425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286760</v>
      </c>
      <c r="D733" s="2" t="str">
        <f t="shared" si="10"/>
        <v>Error?</v>
      </c>
    </row>
    <row r="734" spans="1:4" x14ac:dyDescent="0.2">
      <c r="A734" s="5">
        <v>673</v>
      </c>
      <c r="B734" s="138">
        <f>'Expenditures 15-22'!C53</f>
        <v>286760</v>
      </c>
      <c r="C734" s="2" t="s">
        <v>594</v>
      </c>
      <c r="D734" s="2" t="str">
        <f t="shared" si="10"/>
        <v>Error?</v>
      </c>
    </row>
    <row r="735" spans="1:4" x14ac:dyDescent="0.2">
      <c r="A735" s="5">
        <v>674</v>
      </c>
      <c r="B735" s="138">
        <f>'Expenditures 15-22'!C55</f>
        <v>822860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822860</v>
      </c>
      <c r="C737" s="2" t="s">
        <v>594</v>
      </c>
      <c r="D737" s="2" t="str">
        <f t="shared" si="10"/>
        <v>Error?</v>
      </c>
    </row>
    <row r="738" spans="1:4" x14ac:dyDescent="0.2">
      <c r="A738" s="5">
        <v>677</v>
      </c>
      <c r="B738" s="138">
        <f>'Expenditures 15-22'!C59</f>
        <v>176895</v>
      </c>
      <c r="D738" s="2" t="str">
        <f t="shared" si="10"/>
        <v>Error?</v>
      </c>
    </row>
    <row r="739" spans="1:4" x14ac:dyDescent="0.2">
      <c r="A739" s="5">
        <v>678</v>
      </c>
      <c r="B739" s="138">
        <f>'Expenditures 15-22'!C60</f>
        <v>139052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226447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542394</v>
      </c>
      <c r="C745" s="2" t="s">
        <v>594</v>
      </c>
      <c r="D745" s="2" t="str">
        <f t="shared" si="10"/>
        <v>Error?</v>
      </c>
    </row>
    <row r="746" spans="1:4" x14ac:dyDescent="0.2">
      <c r="A746" s="5">
        <v>685</v>
      </c>
      <c r="B746" s="138">
        <f>'Expenditures 15-22'!C67</f>
        <v>213503</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60900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274403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3345797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13035026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1044197</v>
      </c>
      <c r="D763" s="2" t="str">
        <f t="shared" si="10"/>
        <v>Error?</v>
      </c>
    </row>
    <row r="764" spans="1:4" x14ac:dyDescent="0.2">
      <c r="A764" s="5">
        <v>703</v>
      </c>
      <c r="B764" s="138">
        <f>'Expenditures 15-22'!D16</f>
        <v>53289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104623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2151</v>
      </c>
      <c r="D776" s="2" t="str">
        <f t="shared" si="11"/>
        <v>Error?</v>
      </c>
    </row>
    <row r="777" spans="1:4" x14ac:dyDescent="0.2">
      <c r="A777" s="5">
        <v>716</v>
      </c>
      <c r="B777" s="138">
        <f>'Expenditures 15-22'!D15</f>
        <v>541</v>
      </c>
      <c r="D777" s="2" t="str">
        <f t="shared" si="11"/>
        <v>Error?</v>
      </c>
    </row>
    <row r="778" spans="1:4" x14ac:dyDescent="0.2">
      <c r="A778" s="5">
        <v>717</v>
      </c>
      <c r="B778" s="138">
        <f>'Expenditures 15-22'!D33</f>
        <v>1520212</v>
      </c>
      <c r="C778" s="2" t="s">
        <v>594</v>
      </c>
      <c r="D778" s="2" t="str">
        <f t="shared" si="11"/>
        <v>Error?</v>
      </c>
    </row>
    <row r="779" spans="1:4" x14ac:dyDescent="0.2">
      <c r="A779" s="5">
        <v>718</v>
      </c>
      <c r="B779" s="138">
        <f>'Expenditures 15-22'!D36</f>
        <v>15172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59086</v>
      </c>
      <c r="D781" s="2" t="str">
        <f t="shared" si="11"/>
        <v>Error?</v>
      </c>
    </row>
    <row r="782" spans="1:4" x14ac:dyDescent="0.2">
      <c r="A782" s="5">
        <v>721</v>
      </c>
      <c r="B782" s="138">
        <f>'Expenditures 15-22'!D39</f>
        <v>8110</v>
      </c>
      <c r="D782" s="2" t="str">
        <f t="shared" si="11"/>
        <v>Error?</v>
      </c>
    </row>
    <row r="783" spans="1:4" x14ac:dyDescent="0.2">
      <c r="A783" s="5">
        <v>722</v>
      </c>
      <c r="B783" s="138">
        <f>'Expenditures 15-22'!D40</f>
        <v>24507</v>
      </c>
      <c r="D783" s="2" t="str">
        <f t="shared" si="11"/>
        <v>Error?</v>
      </c>
    </row>
    <row r="784" spans="1:4" x14ac:dyDescent="0.2">
      <c r="A784" s="5">
        <v>723</v>
      </c>
      <c r="B784" s="138">
        <f>'Expenditures 15-22'!D41</f>
        <v>97</v>
      </c>
      <c r="D784" s="2" t="str">
        <f t="shared" si="11"/>
        <v>Error?</v>
      </c>
    </row>
    <row r="785" spans="1:4" x14ac:dyDescent="0.2">
      <c r="A785" s="5">
        <v>724</v>
      </c>
      <c r="B785" s="138">
        <f>'Expenditures 15-22'!D42</f>
        <v>106972</v>
      </c>
      <c r="C785" s="2" t="s">
        <v>594</v>
      </c>
      <c r="D785" s="2" t="str">
        <f t="shared" si="11"/>
        <v>Error?</v>
      </c>
    </row>
    <row r="786" spans="1:4" x14ac:dyDescent="0.2">
      <c r="A786" s="5">
        <v>725</v>
      </c>
      <c r="B786" s="138">
        <f>'Expenditures 15-22'!D44</f>
        <v>3271</v>
      </c>
      <c r="D786" s="2" t="str">
        <f t="shared" si="11"/>
        <v>Error?</v>
      </c>
    </row>
    <row r="787" spans="1:4" x14ac:dyDescent="0.2">
      <c r="A787" s="5">
        <v>726</v>
      </c>
      <c r="B787" s="138">
        <f>'Expenditures 15-22'!D45</f>
        <v>33075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36346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29497</v>
      </c>
      <c r="D791" s="2" t="str">
        <f t="shared" si="11"/>
        <v>Error?</v>
      </c>
    </row>
    <row r="792" spans="1:4" x14ac:dyDescent="0.2">
      <c r="A792" s="5">
        <v>731</v>
      </c>
      <c r="B792" s="138">
        <f>'Expenditures 15-22'!D53</f>
        <v>29497</v>
      </c>
      <c r="C792" s="2" t="s">
        <v>594</v>
      </c>
      <c r="D792" s="2" t="str">
        <f t="shared" si="11"/>
        <v>Error?</v>
      </c>
    </row>
    <row r="793" spans="1:4" x14ac:dyDescent="0.2">
      <c r="A793" s="5">
        <v>732</v>
      </c>
      <c r="B793" s="138">
        <f>'Expenditures 15-22'!D55</f>
        <v>184990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184990</v>
      </c>
      <c r="C795" s="2" t="s">
        <v>594</v>
      </c>
      <c r="D795" s="2" t="str">
        <f t="shared" si="11"/>
        <v>Error?</v>
      </c>
    </row>
    <row r="796" spans="1:4" x14ac:dyDescent="0.2">
      <c r="A796" s="5">
        <v>735</v>
      </c>
      <c r="B796" s="138">
        <f>'Expenditures 15-22'!D59</f>
        <v>28116</v>
      </c>
      <c r="D796" s="2" t="str">
        <f t="shared" si="11"/>
        <v>Error?</v>
      </c>
    </row>
    <row r="797" spans="1:4" x14ac:dyDescent="0.2">
      <c r="A797" s="5">
        <v>736</v>
      </c>
      <c r="B797" s="138">
        <f>'Expenditures 15-22'!D60</f>
        <v>38646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50332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117094</v>
      </c>
      <c r="C803" s="2" t="s">
        <v>594</v>
      </c>
      <c r="D803" s="2" t="str">
        <f t="shared" si="11"/>
        <v>Error?</v>
      </c>
    </row>
    <row r="804" spans="1:4" x14ac:dyDescent="0.2">
      <c r="A804" s="5">
        <v>743</v>
      </c>
      <c r="B804" s="138">
        <f>'Expenditures 15-22'!D67</f>
        <v>33044</v>
      </c>
      <c r="D804" s="2" t="str">
        <f t="shared" si="11"/>
        <v>Error?</v>
      </c>
    </row>
    <row r="805" spans="1:4" x14ac:dyDescent="0.2">
      <c r="A805" s="5">
        <v>744</v>
      </c>
      <c r="B805" s="138">
        <f>'Expenditures 15-22'!D68</f>
        <v>0</v>
      </c>
      <c r="D805" s="2" t="str">
        <f t="shared" si="11"/>
        <v>Error?</v>
      </c>
    </row>
    <row r="806" spans="1:4" x14ac:dyDescent="0.2">
      <c r="A806" s="5">
        <v>745</v>
      </c>
      <c r="B806" s="138">
        <f>'Expenditures 15-22'!D69</f>
        <v>9048</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42092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516991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2037203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251023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445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253313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1527</v>
      </c>
      <c r="D839" s="2" t="str">
        <f t="shared" si="12"/>
        <v>Error?</v>
      </c>
    </row>
    <row r="840" spans="1:4" x14ac:dyDescent="0.2">
      <c r="A840" s="5">
        <v>779</v>
      </c>
      <c r="B840" s="138">
        <f>'Expenditures 15-22'!E39</f>
        <v>30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1557</v>
      </c>
      <c r="C843" s="2" t="s">
        <v>594</v>
      </c>
      <c r="D843" s="2" t="str">
        <f t="shared" si="12"/>
        <v>Error?</v>
      </c>
    </row>
    <row r="844" spans="1:4" x14ac:dyDescent="0.2">
      <c r="A844" s="5">
        <v>783</v>
      </c>
      <c r="B844" s="138">
        <f>'Expenditures 15-22'!E44</f>
        <v>33463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33463</v>
      </c>
      <c r="C847" s="2" t="s">
        <v>594</v>
      </c>
      <c r="D847" s="2" t="str">
        <f t="shared" si="12"/>
        <v>Error?</v>
      </c>
    </row>
    <row r="848" spans="1:4" x14ac:dyDescent="0.2">
      <c r="A848" s="5">
        <v>787</v>
      </c>
      <c r="B848" s="138">
        <f>'Expenditures 15-22'!E49</f>
        <v>229416</v>
      </c>
      <c r="D848" s="2" t="str">
        <f t="shared" si="12"/>
        <v>Error?</v>
      </c>
    </row>
    <row r="849" spans="1:4" x14ac:dyDescent="0.2">
      <c r="A849" s="5">
        <v>788</v>
      </c>
      <c r="B849" s="138">
        <f>'Expenditures 15-22'!E50</f>
        <v>3819</v>
      </c>
      <c r="D849" s="2" t="str">
        <f t="shared" si="12"/>
        <v>Error?</v>
      </c>
    </row>
    <row r="850" spans="1:4" x14ac:dyDescent="0.2">
      <c r="A850" s="5">
        <v>789</v>
      </c>
      <c r="B850" s="138">
        <f>'Expenditures 15-22'!E53</f>
        <v>233235</v>
      </c>
      <c r="C850" s="2" t="s">
        <v>594</v>
      </c>
      <c r="D850" s="2" t="str">
        <f t="shared" si="12"/>
        <v>Error?</v>
      </c>
    </row>
    <row r="851" spans="1:4" x14ac:dyDescent="0.2">
      <c r="A851" s="5">
        <v>790</v>
      </c>
      <c r="B851" s="138">
        <f>'Expenditures 15-22'!E55</f>
        <v>5582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5582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84295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29339</v>
      </c>
      <c r="D858" s="2" t="str">
        <f t="shared" si="12"/>
        <v>Error?</v>
      </c>
    </row>
    <row r="859" spans="1:4" x14ac:dyDescent="0.2">
      <c r="A859" s="5">
        <v>798</v>
      </c>
      <c r="B859" s="138">
        <f>'Expenditures 15-22'!E64</f>
        <v>197</v>
      </c>
      <c r="D859" s="2" t="str">
        <f t="shared" si="12"/>
        <v>Error?</v>
      </c>
    </row>
    <row r="860" spans="1:4" x14ac:dyDescent="0.2">
      <c r="A860" s="10">
        <v>799</v>
      </c>
      <c r="D860" s="2" t="str">
        <f t="shared" si="12"/>
        <v>OK</v>
      </c>
    </row>
    <row r="861" spans="1:4" x14ac:dyDescent="0.2">
      <c r="A861" s="5">
        <v>800</v>
      </c>
      <c r="B861" s="138">
        <f>'Expenditures 15-22'!E65</f>
        <v>113831</v>
      </c>
      <c r="C861" s="2" t="s">
        <v>594</v>
      </c>
      <c r="D861" s="2" t="str">
        <f t="shared" si="12"/>
        <v>Error?</v>
      </c>
    </row>
    <row r="862" spans="1:4" x14ac:dyDescent="0.2">
      <c r="A862" s="5">
        <v>801</v>
      </c>
      <c r="B862" s="138">
        <f>'Expenditures 15-22'!E67</f>
        <v>-7053</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40550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33497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421165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703190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515105</v>
      </c>
      <c r="D879" s="2" t="str">
        <f t="shared" si="12"/>
        <v>Error?</v>
      </c>
    </row>
    <row r="880" spans="1:4" x14ac:dyDescent="0.2">
      <c r="A880" s="5">
        <v>819</v>
      </c>
      <c r="B880" s="138">
        <f>'Expenditures 15-22'!F16</f>
        <v>5986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1231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v>
      </c>
      <c r="D892" s="2" t="str">
        <f t="shared" si="12"/>
        <v>Error?</v>
      </c>
    </row>
    <row r="893" spans="1:4" x14ac:dyDescent="0.2">
      <c r="A893" s="5">
        <v>832</v>
      </c>
      <c r="B893" s="138">
        <f>'Expenditures 15-22'!F15</f>
        <v>2819</v>
      </c>
      <c r="D893" s="2" t="str">
        <f t="shared" si="12"/>
        <v>Error?</v>
      </c>
    </row>
    <row r="894" spans="1:4" x14ac:dyDescent="0.2">
      <c r="A894" s="5">
        <v>833</v>
      </c>
      <c r="B894" s="138">
        <f>'Expenditures 15-22'!F33</f>
        <v>530862</v>
      </c>
      <c r="C894" s="2" t="s">
        <v>594</v>
      </c>
      <c r="D894" s="2" t="str">
        <f t="shared" si="12"/>
        <v>Error?</v>
      </c>
    </row>
    <row r="895" spans="1:4" x14ac:dyDescent="0.2">
      <c r="A895" s="5">
        <v>834</v>
      </c>
      <c r="B895" s="138">
        <f>'Expenditures 15-22'!F36</f>
        <v>753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3026</v>
      </c>
      <c r="D897" s="2" t="str">
        <f t="shared" si="13"/>
        <v>Error?</v>
      </c>
    </row>
    <row r="898" spans="1:4" x14ac:dyDescent="0.2">
      <c r="A898" s="5">
        <v>837</v>
      </c>
      <c r="B898" s="138">
        <f>'Expenditures 15-22'!F39</f>
        <v>585</v>
      </c>
      <c r="D898" s="2" t="str">
        <f t="shared" si="13"/>
        <v>Error?</v>
      </c>
    </row>
    <row r="899" spans="1:4" x14ac:dyDescent="0.2">
      <c r="A899" s="5">
        <v>838</v>
      </c>
      <c r="B899" s="138">
        <f>'Expenditures 15-22'!F40</f>
        <v>912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5276</v>
      </c>
      <c r="C901" s="2" t="s">
        <v>594</v>
      </c>
      <c r="D901" s="2" t="str">
        <f t="shared" si="13"/>
        <v>Error?</v>
      </c>
    </row>
    <row r="902" spans="1:4" x14ac:dyDescent="0.2">
      <c r="A902" s="5">
        <v>841</v>
      </c>
      <c r="B902" s="138">
        <f>'Expenditures 15-22'!F44</f>
        <v>1299</v>
      </c>
      <c r="D902" s="2" t="str">
        <f t="shared" si="13"/>
        <v>Error?</v>
      </c>
    </row>
    <row r="903" spans="1:4" x14ac:dyDescent="0.2">
      <c r="A903" s="5">
        <v>842</v>
      </c>
      <c r="B903" s="138">
        <f>'Expenditures 15-22'!F45</f>
        <v>31557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32856</v>
      </c>
      <c r="C905" s="2" t="s">
        <v>594</v>
      </c>
      <c r="D905" s="2" t="str">
        <f t="shared" si="13"/>
        <v>Error?</v>
      </c>
    </row>
    <row r="906" spans="1:4" x14ac:dyDescent="0.2">
      <c r="A906" s="5">
        <v>845</v>
      </c>
      <c r="B906" s="138">
        <f>'Expenditures 15-22'!F49</f>
        <v>3745</v>
      </c>
      <c r="D906" s="2" t="str">
        <f t="shared" si="13"/>
        <v>Error?</v>
      </c>
    </row>
    <row r="907" spans="1:4" x14ac:dyDescent="0.2">
      <c r="A907" s="5">
        <v>846</v>
      </c>
      <c r="B907" s="138">
        <f>'Expenditures 15-22'!F50</f>
        <v>459</v>
      </c>
      <c r="D907" s="2" t="str">
        <f t="shared" si="13"/>
        <v>Error?</v>
      </c>
    </row>
    <row r="908" spans="1:4" x14ac:dyDescent="0.2">
      <c r="A908" s="5">
        <v>847</v>
      </c>
      <c r="B908" s="138">
        <f>'Expenditures 15-22'!F53</f>
        <v>4204</v>
      </c>
      <c r="C908" s="2" t="s">
        <v>594</v>
      </c>
      <c r="D908" s="2" t="str">
        <f t="shared" si="13"/>
        <v>Error?</v>
      </c>
    </row>
    <row r="909" spans="1:4" x14ac:dyDescent="0.2">
      <c r="A909" s="5">
        <v>848</v>
      </c>
      <c r="B909" s="138">
        <f>'Expenditures 15-22'!F55</f>
        <v>5061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5061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7738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250123</v>
      </c>
      <c r="D916" s="2" t="str">
        <f t="shared" si="13"/>
        <v>Error?</v>
      </c>
    </row>
    <row r="917" spans="1:4" x14ac:dyDescent="0.2">
      <c r="A917" s="5">
        <v>856</v>
      </c>
      <c r="B917" s="138">
        <f>'Expenditures 15-22'!F64</f>
        <v>339</v>
      </c>
      <c r="D917" s="2" t="str">
        <f t="shared" si="13"/>
        <v>Error?</v>
      </c>
    </row>
    <row r="918" spans="1:4" x14ac:dyDescent="0.2">
      <c r="A918" s="10">
        <v>857</v>
      </c>
      <c r="D918" s="2" t="str">
        <f t="shared" si="13"/>
        <v>OK</v>
      </c>
    </row>
    <row r="919" spans="1:4" x14ac:dyDescent="0.2">
      <c r="A919" s="5">
        <v>858</v>
      </c>
      <c r="B919" s="138">
        <f>'Expenditures 15-22'!F65</f>
        <v>258200</v>
      </c>
      <c r="C919" s="2" t="s">
        <v>594</v>
      </c>
      <c r="D919" s="2" t="str">
        <f t="shared" si="13"/>
        <v>Error?</v>
      </c>
    </row>
    <row r="920" spans="1:4" x14ac:dyDescent="0.2">
      <c r="A920" s="5">
        <v>859</v>
      </c>
      <c r="B920" s="138">
        <f>'Expenditures 15-22'!F67</f>
        <v>-885</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4614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3729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309326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840188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196867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209104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802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802</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802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209906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251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251</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14776</v>
      </c>
      <c r="D1022" s="2" t="str">
        <f t="shared" si="14"/>
        <v>Error?</v>
      </c>
    </row>
    <row r="1023" spans="1:4" x14ac:dyDescent="0.2">
      <c r="A1023" s="5">
        <v>962</v>
      </c>
      <c r="B1023" s="138">
        <f>'Expenditures 15-22'!H50</f>
        <v>4898</v>
      </c>
      <c r="D1023" s="2" t="str">
        <f t="shared" ref="D1023:D1086" si="15">IF(ISBLANK(B1023),"OK",IF(A1023-B1023=0,"OK","Error?"))</f>
        <v>Error?</v>
      </c>
    </row>
    <row r="1024" spans="1:4" x14ac:dyDescent="0.2">
      <c r="A1024" s="5">
        <v>963</v>
      </c>
      <c r="B1024" s="138">
        <f>'Expenditures 15-22'!H53</f>
        <v>19674</v>
      </c>
      <c r="C1024" s="2" t="s">
        <v>594</v>
      </c>
      <c r="D1024" s="2" t="str">
        <f t="shared" si="15"/>
        <v>Error?</v>
      </c>
    </row>
    <row r="1025" spans="1:4" x14ac:dyDescent="0.2">
      <c r="A1025" s="5">
        <v>964</v>
      </c>
      <c r="B1025" s="138">
        <f>'Expenditures 15-22'!H55</f>
        <v>412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412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32908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33646</v>
      </c>
      <c r="C1035" s="2" t="s">
        <v>594</v>
      </c>
      <c r="D1035" s="2" t="str">
        <f t="shared" si="15"/>
        <v>Error?</v>
      </c>
    </row>
    <row r="1036" spans="1:4" x14ac:dyDescent="0.2">
      <c r="A1036" s="5">
        <v>975</v>
      </c>
      <c r="B1036" s="138">
        <f>'Expenditures 15-22'!H67</f>
        <v>3085</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254</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3339</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57322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1868668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1926480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9464383</v>
      </c>
      <c r="C1093" s="2" t="s">
        <v>594</v>
      </c>
      <c r="D1093" s="2" t="str">
        <f t="shared" si="16"/>
        <v>Error?</v>
      </c>
    </row>
    <row r="1094" spans="1:4" x14ac:dyDescent="0.2">
      <c r="A1094" s="5">
        <v>1033</v>
      </c>
      <c r="B1094" s="138">
        <f>'Expenditures 15-22'!K16</f>
        <v>437631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638167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117212</v>
      </c>
      <c r="C1106" s="2" t="s">
        <v>594</v>
      </c>
      <c r="D1106" s="2" t="str">
        <f t="shared" si="16"/>
        <v>Error?</v>
      </c>
    </row>
    <row r="1107" spans="1:4" x14ac:dyDescent="0.2">
      <c r="A1107" s="5">
        <v>1046</v>
      </c>
      <c r="B1107" s="138">
        <f>'Expenditures 15-22'!K15</f>
        <v>48061</v>
      </c>
      <c r="C1107" s="2" t="s">
        <v>594</v>
      </c>
      <c r="D1107" s="2" t="str">
        <f t="shared" si="16"/>
        <v>Error?</v>
      </c>
    </row>
    <row r="1108" spans="1:4" x14ac:dyDescent="0.2">
      <c r="A1108" s="5">
        <v>1047</v>
      </c>
      <c r="B1108" s="138">
        <f>'Expenditures 15-22'!K33</f>
        <v>12748107</v>
      </c>
      <c r="C1108" s="2" t="s">
        <v>594</v>
      </c>
      <c r="D1108" s="2" t="str">
        <f t="shared" si="16"/>
        <v>Error?</v>
      </c>
    </row>
    <row r="1109" spans="1:4" x14ac:dyDescent="0.2">
      <c r="A1109" s="5">
        <v>1048</v>
      </c>
      <c r="B1109" s="138">
        <f>'Expenditures 15-22'!K36</f>
        <v>286785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311206</v>
      </c>
      <c r="C1111" s="2" t="s">
        <v>594</v>
      </c>
      <c r="D1111" s="2" t="str">
        <f t="shared" si="16"/>
        <v>Error?</v>
      </c>
    </row>
    <row r="1112" spans="1:4" x14ac:dyDescent="0.2">
      <c r="A1112" s="5">
        <v>1051</v>
      </c>
      <c r="B1112" s="138">
        <f>'Expenditures 15-22'!K39</f>
        <v>162537</v>
      </c>
      <c r="C1112" s="2" t="s">
        <v>594</v>
      </c>
      <c r="D1112" s="2" t="str">
        <f t="shared" si="16"/>
        <v>Error?</v>
      </c>
    </row>
    <row r="1113" spans="1:4" x14ac:dyDescent="0.2">
      <c r="A1113" s="5">
        <v>1052</v>
      </c>
      <c r="B1113" s="138">
        <f>'Expenditures 15-22'!K40</f>
        <v>272840</v>
      </c>
      <c r="C1113" s="2" t="s">
        <v>594</v>
      </c>
      <c r="D1113" s="2" t="str">
        <f t="shared" si="16"/>
        <v>Error?</v>
      </c>
    </row>
    <row r="1114" spans="1:4" x14ac:dyDescent="0.2">
      <c r="A1114" s="5">
        <v>1053</v>
      </c>
      <c r="B1114" s="138">
        <f>'Expenditures 15-22'!K41</f>
        <v>46445</v>
      </c>
      <c r="C1114" s="2" t="s">
        <v>594</v>
      </c>
      <c r="D1114" s="2" t="str">
        <f t="shared" si="16"/>
        <v>Error?</v>
      </c>
    </row>
    <row r="1115" spans="1:4" x14ac:dyDescent="0.2">
      <c r="A1115" s="5">
        <v>1054</v>
      </c>
      <c r="B1115" s="138">
        <f>'Expenditures 15-22'!K42</f>
        <v>1079813</v>
      </c>
      <c r="C1115" s="2" t="s">
        <v>594</v>
      </c>
      <c r="D1115" s="2" t="str">
        <f t="shared" si="16"/>
        <v>Error?</v>
      </c>
    </row>
    <row r="1116" spans="1:4" x14ac:dyDescent="0.2">
      <c r="A1116" s="5">
        <v>1055</v>
      </c>
      <c r="B1116" s="138">
        <f>'Expenditures 15-22'!K44</f>
        <v>94345</v>
      </c>
      <c r="C1116" s="2" t="s">
        <v>594</v>
      </c>
      <c r="D1116" s="2" t="str">
        <f t="shared" si="16"/>
        <v>Error?</v>
      </c>
    </row>
    <row r="1117" spans="1:4" x14ac:dyDescent="0.2">
      <c r="A1117" s="5">
        <v>1056</v>
      </c>
      <c r="B1117" s="138">
        <f>'Expenditures 15-22'!K45</f>
        <v>462745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557090</v>
      </c>
      <c r="C1119" s="2" t="s">
        <v>594</v>
      </c>
      <c r="D1119" s="2" t="str">
        <f t="shared" si="16"/>
        <v>Error?</v>
      </c>
    </row>
    <row r="1120" spans="1:4" x14ac:dyDescent="0.2">
      <c r="A1120" s="5">
        <v>1059</v>
      </c>
      <c r="B1120" s="138">
        <f>'Expenditures 15-22'!K49</f>
        <v>247937</v>
      </c>
      <c r="C1120" s="2" t="s">
        <v>594</v>
      </c>
      <c r="D1120" s="2" t="str">
        <f t="shared" si="16"/>
        <v>Error?</v>
      </c>
    </row>
    <row r="1121" spans="1:4" x14ac:dyDescent="0.2">
      <c r="A1121" s="5">
        <v>1060</v>
      </c>
      <c r="B1121" s="138">
        <f>'Expenditures 15-22'!K50</f>
        <v>325433</v>
      </c>
      <c r="C1121" s="2" t="s">
        <v>594</v>
      </c>
      <c r="D1121" s="2" t="str">
        <f t="shared" si="16"/>
        <v>Error?</v>
      </c>
    </row>
    <row r="1122" spans="1:4" x14ac:dyDescent="0.2">
      <c r="A1122" s="5">
        <v>1061</v>
      </c>
      <c r="B1122" s="138">
        <f>'Expenditures 15-22'!K53</f>
        <v>573370</v>
      </c>
      <c r="C1122" s="2" t="s">
        <v>594</v>
      </c>
      <c r="D1122" s="2" t="str">
        <f t="shared" si="16"/>
        <v>Error?</v>
      </c>
    </row>
    <row r="1123" spans="1:4" x14ac:dyDescent="0.2">
      <c r="A1123" s="5">
        <v>1062</v>
      </c>
      <c r="B1123" s="138">
        <f>'Expenditures 15-22'!K55</f>
        <v>1018905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1018905</v>
      </c>
      <c r="C1125" s="2" t="s">
        <v>594</v>
      </c>
      <c r="D1125" s="2" t="str">
        <f t="shared" si="16"/>
        <v>Error?</v>
      </c>
    </row>
    <row r="1126" spans="1:4" x14ac:dyDescent="0.2">
      <c r="A1126" s="5">
        <v>1065</v>
      </c>
      <c r="B1126" s="138">
        <f>'Expenditures 15-22'!K59</f>
        <v>205011</v>
      </c>
      <c r="C1126" s="2" t="s">
        <v>594</v>
      </c>
      <c r="D1126" s="2" t="str">
        <f t="shared" si="16"/>
        <v>Error?</v>
      </c>
    </row>
    <row r="1127" spans="1:4" x14ac:dyDescent="0.2">
      <c r="A1127" s="5">
        <v>1066</v>
      </c>
      <c r="B1127" s="138">
        <f>'Expenditures 15-22'!K60</f>
        <v>302639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557364</v>
      </c>
      <c r="C1130" s="2" t="s">
        <v>594</v>
      </c>
      <c r="D1130" s="2" t="str">
        <f t="shared" si="16"/>
        <v>Error?</v>
      </c>
    </row>
    <row r="1131" spans="1:4" x14ac:dyDescent="0.2">
      <c r="A1131" s="5">
        <v>1070</v>
      </c>
      <c r="B1131" s="138">
        <f>'Expenditures 15-22'!K64</f>
        <v>536</v>
      </c>
      <c r="C1131" s="2" t="s">
        <v>594</v>
      </c>
      <c r="D1131" s="2" t="str">
        <f t="shared" si="16"/>
        <v>Error?</v>
      </c>
    </row>
    <row r="1132" spans="1:4" x14ac:dyDescent="0.2">
      <c r="A1132" s="10">
        <v>1071</v>
      </c>
      <c r="D1132" s="2" t="str">
        <f t="shared" si="16"/>
        <v>OK</v>
      </c>
    </row>
    <row r="1133" spans="1:4" x14ac:dyDescent="0.2">
      <c r="A1133" s="5">
        <v>1072</v>
      </c>
      <c r="B1133" s="138">
        <f>'Expenditures 15-22'!K65</f>
        <v>1065550</v>
      </c>
      <c r="C1133" s="2" t="s">
        <v>594</v>
      </c>
      <c r="D1133" s="2" t="str">
        <f t="shared" si="16"/>
        <v>Error?</v>
      </c>
    </row>
    <row r="1134" spans="1:4" x14ac:dyDescent="0.2">
      <c r="A1134" s="5">
        <v>1073</v>
      </c>
      <c r="B1134" s="138">
        <f>'Expenditures 15-22'!K67</f>
        <v>241694</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115366</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357060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4651788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1897380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19297275</v>
      </c>
      <c r="C1152" s="2" t="s">
        <v>594</v>
      </c>
      <c r="D1152" s="2" t="str">
        <f t="shared" si="17"/>
        <v>Error?</v>
      </c>
    </row>
    <row r="1153" spans="1:4" x14ac:dyDescent="0.2">
      <c r="A1153" s="5">
        <v>1092</v>
      </c>
      <c r="B1153" s="138">
        <f>'Expenditures 15-22'!K115</f>
        <v>1221960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487493</v>
      </c>
      <c r="D1221" s="2" t="str">
        <f t="shared" si="18"/>
        <v>Error?</v>
      </c>
    </row>
    <row r="1222" spans="1:4" x14ac:dyDescent="0.2">
      <c r="A1222" s="10">
        <v>1161</v>
      </c>
      <c r="D1222" s="2" t="str">
        <f t="shared" si="18"/>
        <v>OK</v>
      </c>
    </row>
    <row r="1223" spans="1:4" x14ac:dyDescent="0.2">
      <c r="A1223" s="5">
        <v>1162</v>
      </c>
      <c r="B1223" s="138">
        <f>'Expenditures 15-22'!C127</f>
        <v>487493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487493</v>
      </c>
      <c r="C1225" s="2" t="s">
        <v>594</v>
      </c>
      <c r="D1225" s="2" t="str">
        <f t="shared" si="18"/>
        <v>Error?</v>
      </c>
    </row>
    <row r="1226" spans="1:4" x14ac:dyDescent="0.2">
      <c r="A1226" s="5">
        <v>1165</v>
      </c>
      <c r="B1226" s="138">
        <f>'Expenditures 15-22'!C151</f>
        <v>487493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65568</v>
      </c>
      <c r="D1229" s="2" t="str">
        <f t="shared" si="18"/>
        <v>Error?</v>
      </c>
    </row>
    <row r="1230" spans="1:4" x14ac:dyDescent="0.2">
      <c r="A1230" s="10">
        <v>1169</v>
      </c>
      <c r="D1230" s="2" t="str">
        <f t="shared" si="18"/>
        <v>OK</v>
      </c>
    </row>
    <row r="1231" spans="1:4" x14ac:dyDescent="0.2">
      <c r="A1231" s="5">
        <v>1170</v>
      </c>
      <c r="B1231" s="138">
        <f>'Expenditures 15-22'!D127</f>
        <v>65568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65568</v>
      </c>
      <c r="C1233" s="2" t="s">
        <v>594</v>
      </c>
      <c r="D1233" s="2" t="str">
        <f t="shared" si="18"/>
        <v>Error?</v>
      </c>
    </row>
    <row r="1234" spans="1:4" x14ac:dyDescent="0.2">
      <c r="A1234" s="5">
        <v>1173</v>
      </c>
      <c r="B1234" s="138">
        <f>'Expenditures 15-22'!D151</f>
        <v>65568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802497</v>
      </c>
      <c r="D1237" s="2" t="str">
        <f t="shared" si="18"/>
        <v>Error?</v>
      </c>
    </row>
    <row r="1238" spans="1:4" x14ac:dyDescent="0.2">
      <c r="A1238" s="10">
        <v>1177</v>
      </c>
      <c r="D1238" s="2" t="str">
        <f t="shared" si="18"/>
        <v>OK</v>
      </c>
    </row>
    <row r="1239" spans="1:4" x14ac:dyDescent="0.2">
      <c r="A1239" s="5">
        <v>1178</v>
      </c>
      <c r="B1239" s="138">
        <f>'Expenditures 15-22'!E127</f>
        <v>802497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802497</v>
      </c>
      <c r="C1241" s="2" t="s">
        <v>594</v>
      </c>
      <c r="D1241" s="2" t="str">
        <f t="shared" si="18"/>
        <v>Error?</v>
      </c>
    </row>
    <row r="1242" spans="1:4" x14ac:dyDescent="0.2">
      <c r="A1242" s="5">
        <v>1181</v>
      </c>
      <c r="B1242" s="138">
        <f>'Expenditures 15-22'!E151</f>
        <v>802497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408291</v>
      </c>
      <c r="D1245" s="2" t="str">
        <f t="shared" si="18"/>
        <v>Error?</v>
      </c>
    </row>
    <row r="1246" spans="1:4" x14ac:dyDescent="0.2">
      <c r="A1246" s="10">
        <v>1185</v>
      </c>
      <c r="D1246" s="2" t="str">
        <f t="shared" si="18"/>
        <v>OK</v>
      </c>
    </row>
    <row r="1247" spans="1:4" x14ac:dyDescent="0.2">
      <c r="A1247" s="5">
        <v>1186</v>
      </c>
      <c r="B1247" s="138">
        <f>'Expenditures 15-22'!F127</f>
        <v>408291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408291</v>
      </c>
      <c r="C1249" s="2" t="s">
        <v>594</v>
      </c>
      <c r="D1249" s="2" t="str">
        <f t="shared" si="18"/>
        <v>Error?</v>
      </c>
    </row>
    <row r="1250" spans="1:4" x14ac:dyDescent="0.2">
      <c r="A1250" s="5">
        <v>1189</v>
      </c>
      <c r="B1250" s="138">
        <f>'Expenditures 15-22'!F151</f>
        <v>408291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271631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271631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271631</v>
      </c>
      <c r="C1258" s="2" t="s">
        <v>594</v>
      </c>
      <c r="D1258" s="2" t="str">
        <f t="shared" si="18"/>
        <v>Error?</v>
      </c>
    </row>
    <row r="1259" spans="1:4" x14ac:dyDescent="0.2">
      <c r="A1259" s="5">
        <v>1198</v>
      </c>
      <c r="B1259" s="138">
        <f>'Expenditures 15-22'!G151</f>
        <v>271631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1340</v>
      </c>
      <c r="D1262" s="2" t="str">
        <f t="shared" si="18"/>
        <v>Error?</v>
      </c>
    </row>
    <row r="1263" spans="1:4" x14ac:dyDescent="0.2">
      <c r="A1263" s="10">
        <v>1202</v>
      </c>
      <c r="D1263" s="2" t="str">
        <f t="shared" si="18"/>
        <v>OK</v>
      </c>
    </row>
    <row r="1264" spans="1:4" x14ac:dyDescent="0.2">
      <c r="A1264" s="5">
        <v>1203</v>
      </c>
      <c r="B1264" s="138">
        <f>'Expenditures 15-22'!H127</f>
        <v>1340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1340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1340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2071684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2071684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2071684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2071684</v>
      </c>
      <c r="C1288" s="2" t="s">
        <v>594</v>
      </c>
      <c r="D1288" s="2" t="str">
        <f t="shared" si="19"/>
        <v>Error?</v>
      </c>
    </row>
    <row r="1289" spans="1:4" x14ac:dyDescent="0.2">
      <c r="A1289" s="5">
        <v>1228</v>
      </c>
      <c r="B1289" s="138">
        <f>'Expenditures 15-22'!K152</f>
        <v>-16544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363663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1048663</v>
      </c>
      <c r="C1317" s="2" t="s">
        <v>594</v>
      </c>
      <c r="D1317" s="2" t="str">
        <f t="shared" si="19"/>
        <v>Error?</v>
      </c>
    </row>
    <row r="1318" spans="1:4" x14ac:dyDescent="0.2">
      <c r="A1318" s="5">
        <v>1257</v>
      </c>
      <c r="B1318" s="138">
        <f>'Expenditures 15-22'!H174</f>
        <v>1048663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363663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685000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1048663</v>
      </c>
      <c r="C1331" s="2" t="s">
        <v>594</v>
      </c>
      <c r="D1331" s="2" t="str">
        <f t="shared" si="19"/>
        <v>Error?</v>
      </c>
    </row>
    <row r="1332" spans="1:4" x14ac:dyDescent="0.2">
      <c r="A1332" s="5">
        <v>1271</v>
      </c>
      <c r="B1332" s="138">
        <f>'Expenditures 15-22'!K174</f>
        <v>1048663</v>
      </c>
      <c r="C1332" s="2" t="s">
        <v>594</v>
      </c>
      <c r="D1332" s="2" t="str">
        <f t="shared" si="19"/>
        <v>Error?</v>
      </c>
    </row>
    <row r="1333" spans="1:4" x14ac:dyDescent="0.2">
      <c r="A1333" s="5">
        <v>1272</v>
      </c>
      <c r="B1333" s="138">
        <f>'Expenditures 15-22'!K175</f>
        <v>59616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1144879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1144879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1144879</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1144879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1144879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1144879</v>
      </c>
      <c r="C1388" s="2" t="s">
        <v>594</v>
      </c>
      <c r="D1388" s="2" t="str">
        <f t="shared" si="20"/>
        <v>Error?</v>
      </c>
    </row>
    <row r="1389" spans="1:4" x14ac:dyDescent="0.2">
      <c r="A1389" s="5">
        <v>1328</v>
      </c>
      <c r="B1389" s="138">
        <f>'Expenditures 15-22'!K211</f>
        <v>-114222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5194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7937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3667</v>
      </c>
      <c r="D1408" s="2" t="str">
        <f t="shared" si="21"/>
        <v>Error?</v>
      </c>
    </row>
    <row r="1409" spans="1:4" x14ac:dyDescent="0.2">
      <c r="A1409" s="5">
        <v>1348</v>
      </c>
      <c r="B1409" s="138">
        <f>'Expenditures 15-22'!D224</f>
        <v>1238</v>
      </c>
      <c r="D1409" s="2" t="str">
        <f t="shared" si="21"/>
        <v>Error?</v>
      </c>
    </row>
    <row r="1410" spans="1:4" x14ac:dyDescent="0.2">
      <c r="A1410" s="5">
        <v>1349</v>
      </c>
      <c r="B1410" s="138">
        <f>'Expenditures 15-22'!D229</f>
        <v>258017</v>
      </c>
      <c r="C1410" s="2" t="s">
        <v>594</v>
      </c>
      <c r="D1410" s="2" t="str">
        <f t="shared" si="21"/>
        <v>Error?</v>
      </c>
    </row>
    <row r="1411" spans="1:4" x14ac:dyDescent="0.2">
      <c r="A1411" s="5">
        <v>1350</v>
      </c>
      <c r="B1411" s="138">
        <f>'Expenditures 15-22'!D232</f>
        <v>3829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47013</v>
      </c>
      <c r="D1413" s="2" t="str">
        <f t="shared" si="21"/>
        <v>Error?</v>
      </c>
    </row>
    <row r="1414" spans="1:4" x14ac:dyDescent="0.2">
      <c r="A1414" s="5">
        <v>1353</v>
      </c>
      <c r="B1414" s="138">
        <f>'Expenditures 15-22'!D235</f>
        <v>2197</v>
      </c>
      <c r="D1414" s="2" t="str">
        <f t="shared" si="21"/>
        <v>Error?</v>
      </c>
    </row>
    <row r="1415" spans="1:4" x14ac:dyDescent="0.2">
      <c r="A1415" s="5">
        <v>1354</v>
      </c>
      <c r="B1415" s="138">
        <f>'Expenditures 15-22'!D236</f>
        <v>3390</v>
      </c>
      <c r="D1415" s="2" t="str">
        <f t="shared" si="21"/>
        <v>Error?</v>
      </c>
    </row>
    <row r="1416" spans="1:4" x14ac:dyDescent="0.2">
      <c r="A1416" s="5">
        <v>1355</v>
      </c>
      <c r="B1416" s="138">
        <f>'Expenditures 15-22'!D237</f>
        <v>3130</v>
      </c>
      <c r="D1416" s="2" t="str">
        <f t="shared" si="21"/>
        <v>Error?</v>
      </c>
    </row>
    <row r="1417" spans="1:4" x14ac:dyDescent="0.2">
      <c r="A1417" s="5">
        <v>1356</v>
      </c>
      <c r="B1417" s="138">
        <f>'Expenditures 15-22'!D238</f>
        <v>59559</v>
      </c>
      <c r="C1417" s="2" t="s">
        <v>594</v>
      </c>
      <c r="D1417" s="2" t="str">
        <f t="shared" si="21"/>
        <v>Error?</v>
      </c>
    </row>
    <row r="1418" spans="1:4" x14ac:dyDescent="0.2">
      <c r="A1418" s="5">
        <v>1357</v>
      </c>
      <c r="B1418" s="138">
        <f>'Expenditures 15-22'!D240</f>
        <v>776</v>
      </c>
      <c r="D1418" s="2" t="str">
        <f t="shared" si="21"/>
        <v>Error?</v>
      </c>
    </row>
    <row r="1419" spans="1:4" x14ac:dyDescent="0.2">
      <c r="A1419" s="5">
        <v>1358</v>
      </c>
      <c r="B1419" s="138">
        <f>'Expenditures 15-22'!D241</f>
        <v>5612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6388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4157</v>
      </c>
      <c r="D1423" s="2" t="str">
        <f t="shared" si="21"/>
        <v>Error?</v>
      </c>
    </row>
    <row r="1424" spans="1:4" x14ac:dyDescent="0.2">
      <c r="A1424" s="5">
        <v>1363</v>
      </c>
      <c r="B1424" s="138">
        <f>'Expenditures 15-22'!D257</f>
        <v>4157</v>
      </c>
      <c r="C1424" s="2" t="s">
        <v>594</v>
      </c>
      <c r="D1424" s="2" t="str">
        <f t="shared" si="21"/>
        <v>Error?</v>
      </c>
    </row>
    <row r="1425" spans="1:4" x14ac:dyDescent="0.2">
      <c r="A1425" s="5">
        <v>1364</v>
      </c>
      <c r="B1425" s="138">
        <f>'Expenditures 15-22'!D259</f>
        <v>41395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41395</v>
      </c>
      <c r="C1427" s="2" t="s">
        <v>594</v>
      </c>
      <c r="D1427" s="2" t="str">
        <f t="shared" si="21"/>
        <v>Error?</v>
      </c>
    </row>
    <row r="1428" spans="1:4" x14ac:dyDescent="0.2">
      <c r="A1428" s="5">
        <v>1367</v>
      </c>
      <c r="B1428" s="138">
        <f>'Expenditures 15-22'!D263</f>
        <v>2547</v>
      </c>
      <c r="D1428" s="2" t="str">
        <f t="shared" si="21"/>
        <v>Error?</v>
      </c>
    </row>
    <row r="1429" spans="1:4" x14ac:dyDescent="0.2">
      <c r="A1429" s="5">
        <v>1368</v>
      </c>
      <c r="B1429" s="138">
        <f>'Expenditures 15-22'!D264</f>
        <v>25983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93331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40470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162331</v>
      </c>
      <c r="C1436" s="2" t="s">
        <v>594</v>
      </c>
      <c r="D1436" s="2" t="str">
        <f t="shared" si="21"/>
        <v>Error?</v>
      </c>
    </row>
    <row r="1437" spans="1:4" x14ac:dyDescent="0.2">
      <c r="A1437" s="5">
        <v>1376</v>
      </c>
      <c r="B1437" s="138">
        <f>'Expenditures 15-22'!D272</f>
        <v>10835</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11813</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22648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296478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554495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5194</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7937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3667</v>
      </c>
      <c r="C1472" s="2" t="s">
        <v>594</v>
      </c>
      <c r="D1472" s="2" t="str">
        <f t="shared" si="22"/>
        <v>Error?</v>
      </c>
    </row>
    <row r="1473" spans="1:4" x14ac:dyDescent="0.2">
      <c r="A1473" s="5">
        <v>1412</v>
      </c>
      <c r="B1473" s="138">
        <f>'Expenditures 15-22'!K224</f>
        <v>1238</v>
      </c>
      <c r="C1473" s="2" t="s">
        <v>594</v>
      </c>
      <c r="D1473" s="2" t="str">
        <f t="shared" si="22"/>
        <v>Error?</v>
      </c>
    </row>
    <row r="1474" spans="1:4" x14ac:dyDescent="0.2">
      <c r="A1474" s="5">
        <v>1413</v>
      </c>
      <c r="B1474" s="138">
        <f>'Expenditures 15-22'!K229</f>
        <v>258017</v>
      </c>
      <c r="C1474" s="2" t="s">
        <v>594</v>
      </c>
      <c r="D1474" s="2" t="str">
        <f t="shared" si="22"/>
        <v>Error?</v>
      </c>
    </row>
    <row r="1475" spans="1:4" x14ac:dyDescent="0.2">
      <c r="A1475" s="5">
        <v>1414</v>
      </c>
      <c r="B1475" s="138">
        <f>'Expenditures 15-22'!K232</f>
        <v>3829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47013</v>
      </c>
      <c r="C1477" s="2" t="s">
        <v>594</v>
      </c>
      <c r="D1477" s="2" t="str">
        <f t="shared" si="22"/>
        <v>Error?</v>
      </c>
    </row>
    <row r="1478" spans="1:4" x14ac:dyDescent="0.2">
      <c r="A1478" s="5">
        <v>1417</v>
      </c>
      <c r="B1478" s="138">
        <f>'Expenditures 15-22'!K235</f>
        <v>2197</v>
      </c>
      <c r="C1478" s="2" t="s">
        <v>594</v>
      </c>
      <c r="D1478" s="2" t="str">
        <f t="shared" si="22"/>
        <v>Error?</v>
      </c>
    </row>
    <row r="1479" spans="1:4" x14ac:dyDescent="0.2">
      <c r="A1479" s="5">
        <v>1418</v>
      </c>
      <c r="B1479" s="138">
        <f>'Expenditures 15-22'!K236</f>
        <v>3390</v>
      </c>
      <c r="C1479" s="2" t="s">
        <v>594</v>
      </c>
      <c r="D1479" s="2" t="str">
        <f t="shared" si="22"/>
        <v>Error?</v>
      </c>
    </row>
    <row r="1480" spans="1:4" x14ac:dyDescent="0.2">
      <c r="A1480" s="5">
        <v>1419</v>
      </c>
      <c r="B1480" s="138">
        <f>'Expenditures 15-22'!K237</f>
        <v>3130</v>
      </c>
      <c r="C1480" s="2" t="s">
        <v>594</v>
      </c>
      <c r="D1480" s="2" t="str">
        <f t="shared" si="22"/>
        <v>Error?</v>
      </c>
    </row>
    <row r="1481" spans="1:4" x14ac:dyDescent="0.2">
      <c r="A1481" s="5">
        <v>1420</v>
      </c>
      <c r="B1481" s="138">
        <f>'Expenditures 15-22'!K238</f>
        <v>59559</v>
      </c>
      <c r="C1481" s="2" t="s">
        <v>594</v>
      </c>
      <c r="D1481" s="2" t="str">
        <f t="shared" si="22"/>
        <v>Error?</v>
      </c>
    </row>
    <row r="1482" spans="1:4" x14ac:dyDescent="0.2">
      <c r="A1482" s="5">
        <v>1421</v>
      </c>
      <c r="B1482" s="138">
        <f>'Expenditures 15-22'!K240</f>
        <v>776</v>
      </c>
      <c r="C1482" s="2" t="s">
        <v>594</v>
      </c>
      <c r="D1482" s="2" t="str">
        <f t="shared" si="22"/>
        <v>Error?</v>
      </c>
    </row>
    <row r="1483" spans="1:4" x14ac:dyDescent="0.2">
      <c r="A1483" s="5">
        <v>1422</v>
      </c>
      <c r="B1483" s="138">
        <f>'Expenditures 15-22'!K241</f>
        <v>5612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6388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4157</v>
      </c>
      <c r="C1487" s="2" t="s">
        <v>594</v>
      </c>
      <c r="D1487" s="2" t="str">
        <f t="shared" si="22"/>
        <v>Error?</v>
      </c>
    </row>
    <row r="1488" spans="1:4" x14ac:dyDescent="0.2">
      <c r="A1488" s="5">
        <v>1427</v>
      </c>
      <c r="B1488" s="138">
        <f>'Expenditures 15-22'!K257</f>
        <v>4157</v>
      </c>
      <c r="C1488" s="2" t="s">
        <v>594</v>
      </c>
      <c r="D1488" s="2" t="str">
        <f t="shared" si="22"/>
        <v>Error?</v>
      </c>
    </row>
    <row r="1489" spans="1:4" x14ac:dyDescent="0.2">
      <c r="A1489" s="5">
        <v>1428</v>
      </c>
      <c r="B1489" s="138">
        <f>'Expenditures 15-22'!K259</f>
        <v>41395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41395</v>
      </c>
      <c r="C1491" s="2" t="s">
        <v>594</v>
      </c>
      <c r="D1491" s="2" t="str">
        <f t="shared" si="22"/>
        <v>Error?</v>
      </c>
    </row>
    <row r="1492" spans="1:4" x14ac:dyDescent="0.2">
      <c r="A1492" s="5">
        <v>1431</v>
      </c>
      <c r="B1492" s="138">
        <f>'Expenditures 15-22'!K263</f>
        <v>2547</v>
      </c>
      <c r="C1492" s="2" t="s">
        <v>594</v>
      </c>
      <c r="D1492" s="2" t="str">
        <f t="shared" si="22"/>
        <v>Error?</v>
      </c>
    </row>
    <row r="1493" spans="1:4" x14ac:dyDescent="0.2">
      <c r="A1493" s="5">
        <v>1432</v>
      </c>
      <c r="B1493" s="138">
        <f>'Expenditures 15-22'!K264</f>
        <v>25983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93331</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40470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162331</v>
      </c>
      <c r="C1500" s="2" t="s">
        <v>594</v>
      </c>
      <c r="D1500" s="2" t="str">
        <f t="shared" si="22"/>
        <v>Error?</v>
      </c>
    </row>
    <row r="1501" spans="1:4" x14ac:dyDescent="0.2">
      <c r="A1501" s="5">
        <v>1440</v>
      </c>
      <c r="B1501" s="138">
        <f>'Expenditures 15-22'!K272</f>
        <v>10835</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11813</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22648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296478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554495</v>
      </c>
      <c r="C1517" s="2" t="s">
        <v>594</v>
      </c>
      <c r="D1517" s="2" t="str">
        <f t="shared" si="22"/>
        <v>Error?</v>
      </c>
    </row>
    <row r="1518" spans="1:4" x14ac:dyDescent="0.2">
      <c r="A1518" s="5">
        <v>1457</v>
      </c>
      <c r="B1518" s="138">
        <f>'Expenditures 15-22'!K296</f>
        <v>-169136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605428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605428</v>
      </c>
      <c r="C1535" s="2" t="s">
        <v>594</v>
      </c>
      <c r="D1535" s="2" t="str">
        <f t="shared" ref="D1535:D1598" si="23">IF(ISBLANK(B1535),"OK",IF(A1535-B1535=0,"OK","Error?"))</f>
        <v>Error?</v>
      </c>
    </row>
    <row r="1536" spans="1:4" x14ac:dyDescent="0.2">
      <c r="A1536" s="5">
        <v>1475</v>
      </c>
      <c r="B1536" s="138">
        <f>'Expenditures 15-22'!E312</f>
        <v>605428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6484737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6484737</v>
      </c>
      <c r="C1547" s="2" t="s">
        <v>594</v>
      </c>
      <c r="D1547" s="2" t="str">
        <f t="shared" si="23"/>
        <v>Error?</v>
      </c>
    </row>
    <row r="1548" spans="1:4" x14ac:dyDescent="0.2">
      <c r="A1548" s="5">
        <v>1487</v>
      </c>
      <c r="B1548" s="138">
        <f>'Expenditures 15-22'!G312</f>
        <v>6484737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7090165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7090165</v>
      </c>
      <c r="C1559" s="2" t="s">
        <v>594</v>
      </c>
      <c r="D1559" s="2" t="str">
        <f t="shared" si="23"/>
        <v>Error?</v>
      </c>
    </row>
    <row r="1560" spans="1:4" x14ac:dyDescent="0.2">
      <c r="A1560" s="5">
        <v>1499</v>
      </c>
      <c r="B1560" s="138">
        <f>'Expenditures 15-22'!K312</f>
        <v>7090165</v>
      </c>
      <c r="C1560" s="2" t="s">
        <v>594</v>
      </c>
      <c r="D1560" s="2" t="str">
        <f t="shared" si="23"/>
        <v>Error?</v>
      </c>
    </row>
    <row r="1561" spans="1:4" x14ac:dyDescent="0.2">
      <c r="A1561" s="5">
        <v>1500</v>
      </c>
      <c r="B1561" s="138">
        <f>'Expenditures 15-22'!K313</f>
        <v>-7041228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17854634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15576594</v>
      </c>
      <c r="C1630" s="2" t="s">
        <v>594</v>
      </c>
      <c r="D1630" s="2" t="str">
        <f t="shared" si="24"/>
        <v>Error?</v>
      </c>
    </row>
    <row r="1631" spans="1:4" x14ac:dyDescent="0.2">
      <c r="A1631" s="5">
        <v>1570</v>
      </c>
      <c r="B1631" s="138">
        <f>'Acct Summary 7-8'!D79</f>
        <v>2319010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802466</v>
      </c>
      <c r="C1644" s="2" t="s">
        <v>594</v>
      </c>
      <c r="D1644" s="2" t="str">
        <f t="shared" si="24"/>
        <v>Error?</v>
      </c>
    </row>
    <row r="1645" spans="1:4" x14ac:dyDescent="0.2">
      <c r="A1645" s="5">
        <v>1584</v>
      </c>
      <c r="B1645" s="138">
        <f>'Acct Summary 7-8'!E79</f>
        <v>529616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589232</v>
      </c>
      <c r="C1658" s="2" t="s">
        <v>594</v>
      </c>
      <c r="D1658" s="2" t="str">
        <f t="shared" si="24"/>
        <v>Error?</v>
      </c>
    </row>
    <row r="1659" spans="1:4" x14ac:dyDescent="0.2">
      <c r="A1659" s="5">
        <v>1598</v>
      </c>
      <c r="B1659" s="138">
        <f>'Acct Summary 7-8'!F79</f>
        <v>1387457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1273235</v>
      </c>
      <c r="C1672" s="2" t="s">
        <v>594</v>
      </c>
      <c r="D1672" s="2" t="str">
        <f t="shared" si="25"/>
        <v>Error?</v>
      </c>
    </row>
    <row r="1673" spans="1:4" x14ac:dyDescent="0.2">
      <c r="A1673" s="5">
        <v>1612</v>
      </c>
      <c r="B1673" s="138">
        <f>'Acct Summary 7-8'!G79</f>
        <v>554347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385211</v>
      </c>
      <c r="C1686" s="2" t="s">
        <v>594</v>
      </c>
      <c r="D1686" s="2" t="str">
        <f t="shared" si="25"/>
        <v>Error?</v>
      </c>
    </row>
    <row r="1687" spans="1:4" x14ac:dyDescent="0.2">
      <c r="A1687" s="5">
        <v>1626</v>
      </c>
      <c r="B1687" s="138">
        <f>'Acct Summary 7-8'!H79</f>
        <v>994714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-46514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17105888</v>
      </c>
      <c r="C1744" s="2" t="s">
        <v>594</v>
      </c>
      <c r="D1744" s="2" t="str">
        <f t="shared" si="26"/>
        <v>Error?</v>
      </c>
    </row>
    <row r="1745" spans="1:5" x14ac:dyDescent="0.2">
      <c r="A1745" s="5">
        <v>1684</v>
      </c>
      <c r="B1745" s="138">
        <f>'Tax Sched 23'!B5</f>
        <v>1923017</v>
      </c>
      <c r="C1745" s="2" t="s">
        <v>594</v>
      </c>
      <c r="D1745" s="2" t="str">
        <f t="shared" si="26"/>
        <v>Error?</v>
      </c>
    </row>
    <row r="1746" spans="1:5" x14ac:dyDescent="0.2">
      <c r="A1746" s="5">
        <v>1685</v>
      </c>
      <c r="B1746" s="138">
        <f>'Tax Sched 23'!B6</f>
        <v>1107164</v>
      </c>
      <c r="C1746" s="2" t="s">
        <v>594</v>
      </c>
      <c r="D1746" s="2" t="str">
        <f t="shared" si="26"/>
        <v>Error?</v>
      </c>
    </row>
    <row r="1747" spans="1:5" x14ac:dyDescent="0.2">
      <c r="A1747" s="5">
        <v>1686</v>
      </c>
      <c r="B1747" s="138">
        <f>'Tax Sched 23'!B7</f>
        <v>506323</v>
      </c>
      <c r="C1747" s="2" t="s">
        <v>594</v>
      </c>
      <c r="D1747" s="2" t="str">
        <f t="shared" si="26"/>
        <v>Error?</v>
      </c>
    </row>
    <row r="1748" spans="1:5" x14ac:dyDescent="0.2">
      <c r="A1748" s="5">
        <v>1687</v>
      </c>
      <c r="B1748" s="138">
        <f>'Tax Sched 23'!B8</f>
        <v>176836</v>
      </c>
      <c r="C1748" s="2" t="s">
        <v>594</v>
      </c>
      <c r="D1748" s="2" t="str">
        <f t="shared" si="26"/>
        <v>Error?</v>
      </c>
    </row>
    <row r="1749" spans="1:5" x14ac:dyDescent="0.2">
      <c r="A1749" s="5">
        <v>1688</v>
      </c>
      <c r="B1749" s="138">
        <f>'Tax Sched 23'!B10</f>
        <v>668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668</v>
      </c>
      <c r="C1752" s="2" t="s">
        <v>594</v>
      </c>
      <c r="D1752" s="2" t="str">
        <f t="shared" si="26"/>
        <v>Error?</v>
      </c>
    </row>
    <row r="1753" spans="1:5" x14ac:dyDescent="0.2">
      <c r="A1753" s="5">
        <v>1692</v>
      </c>
      <c r="B1753" s="138">
        <f>'Tax Sched 23'!B12</f>
        <v>310173</v>
      </c>
      <c r="C1753" s="2" t="s">
        <v>594</v>
      </c>
      <c r="D1753" s="2" t="str">
        <f t="shared" si="26"/>
        <v>Error?</v>
      </c>
    </row>
    <row r="1754" spans="1:5" x14ac:dyDescent="0.2">
      <c r="A1754" s="5">
        <v>1693</v>
      </c>
      <c r="B1754" s="138">
        <f>'Tax Sched 23'!B14</f>
        <v>303590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21586310</v>
      </c>
      <c r="C1759" s="2" t="s">
        <v>594</v>
      </c>
      <c r="D1759" s="2" t="str">
        <f t="shared" si="26"/>
        <v>Error?</v>
      </c>
    </row>
    <row r="1760" spans="1:5" x14ac:dyDescent="0.2">
      <c r="A1760" s="5">
        <v>1699</v>
      </c>
      <c r="B1760" s="138">
        <f>'Tax Sched 23'!D4</f>
        <v>7450203.1899999995</v>
      </c>
      <c r="C1760" s="2" t="s">
        <v>594</v>
      </c>
      <c r="D1760" s="2" t="str">
        <f t="shared" si="26"/>
        <v>Error?</v>
      </c>
    </row>
    <row r="1761" spans="1:5" x14ac:dyDescent="0.2">
      <c r="A1761" s="5">
        <v>1700</v>
      </c>
      <c r="B1761" s="138">
        <f>'Tax Sched 23'!D5</f>
        <v>837567.16999999993</v>
      </c>
      <c r="C1761" s="2" t="s">
        <v>594</v>
      </c>
      <c r="D1761" s="2" t="str">
        <f t="shared" si="26"/>
        <v>Error?</v>
      </c>
    </row>
    <row r="1762" spans="1:5" s="8" customFormat="1" x14ac:dyDescent="0.2">
      <c r="A1762" s="5">
        <v>1701</v>
      </c>
      <c r="B1762" s="138">
        <f>'Tax Sched 23'!D6</f>
        <v>484497.78</v>
      </c>
      <c r="C1762" s="2" t="s">
        <v>594</v>
      </c>
      <c r="D1762" s="2" t="str">
        <f t="shared" si="26"/>
        <v>Error?</v>
      </c>
      <c r="E1762" s="9"/>
    </row>
    <row r="1763" spans="1:5" x14ac:dyDescent="0.2">
      <c r="A1763" s="5">
        <v>1702</v>
      </c>
      <c r="B1763" s="138">
        <f>'Tax Sched 23'!D7</f>
        <v>220460.44</v>
      </c>
      <c r="C1763" s="2" t="s">
        <v>594</v>
      </c>
      <c r="D1763" s="2" t="str">
        <f t="shared" si="26"/>
        <v>Error?</v>
      </c>
    </row>
    <row r="1764" spans="1:5" x14ac:dyDescent="0.2">
      <c r="A1764" s="5">
        <v>1703</v>
      </c>
      <c r="B1764" s="138">
        <f>'Tax Sched 23'!D8</f>
        <v>77028.88</v>
      </c>
      <c r="C1764" s="2" t="s">
        <v>594</v>
      </c>
      <c r="D1764" s="2" t="str">
        <f t="shared" si="26"/>
        <v>Error?</v>
      </c>
    </row>
    <row r="1765" spans="1:5" x14ac:dyDescent="0.2">
      <c r="A1765" s="5">
        <v>1704</v>
      </c>
      <c r="B1765" s="138">
        <f>'Tax Sched 23'!D10</f>
        <v>291.43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291.43</v>
      </c>
      <c r="C1768" s="2" t="s">
        <v>594</v>
      </c>
      <c r="D1768" s="2" t="str">
        <f t="shared" si="26"/>
        <v>Error?</v>
      </c>
    </row>
    <row r="1769" spans="1:5" x14ac:dyDescent="0.2">
      <c r="A1769" s="5">
        <v>1708</v>
      </c>
      <c r="B1769" s="138">
        <f>'Tax Sched 23'!D12</f>
        <v>55222.450000000012</v>
      </c>
      <c r="C1769" s="2" t="s">
        <v>594</v>
      </c>
      <c r="D1769" s="2" t="str">
        <f t="shared" si="26"/>
        <v>Error?</v>
      </c>
    </row>
    <row r="1770" spans="1:5" x14ac:dyDescent="0.2">
      <c r="A1770" s="5">
        <v>1709</v>
      </c>
      <c r="B1770" s="138">
        <f>'Tax Sched 23'!D14</f>
        <v>132223.09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9323897.1199999973</v>
      </c>
      <c r="C1775" s="2" t="s">
        <v>594</v>
      </c>
      <c r="D1775" s="2" t="str">
        <f t="shared" si="26"/>
        <v>Error?</v>
      </c>
    </row>
    <row r="1776" spans="1:5" x14ac:dyDescent="0.2">
      <c r="A1776" s="5">
        <v>1715</v>
      </c>
      <c r="B1776" s="138">
        <f>'Tax Sched 23'!C4</f>
        <v>9655684.8100000005</v>
      </c>
      <c r="D1776" s="2" t="str">
        <f t="shared" si="26"/>
        <v>Error?</v>
      </c>
    </row>
    <row r="1777" spans="1:4" x14ac:dyDescent="0.2">
      <c r="A1777" s="5">
        <v>1716</v>
      </c>
      <c r="B1777" s="138">
        <f>'Tax Sched 23'!C5</f>
        <v>1085449.83</v>
      </c>
      <c r="D1777" s="2" t="str">
        <f t="shared" si="26"/>
        <v>Error?</v>
      </c>
    </row>
    <row r="1778" spans="1:4" x14ac:dyDescent="0.2">
      <c r="A1778" s="5">
        <v>1717</v>
      </c>
      <c r="B1778" s="138">
        <f>'Tax Sched 23'!C6</f>
        <v>622666.22</v>
      </c>
      <c r="D1778" s="2" t="str">
        <f t="shared" si="26"/>
        <v>Error?</v>
      </c>
    </row>
    <row r="1779" spans="1:4" x14ac:dyDescent="0.2">
      <c r="A1779" s="5">
        <v>1718</v>
      </c>
      <c r="B1779" s="138">
        <f>'Tax Sched 23'!C7</f>
        <v>285862.56</v>
      </c>
      <c r="D1779" s="2" t="str">
        <f t="shared" si="26"/>
        <v>Error?</v>
      </c>
    </row>
    <row r="1780" spans="1:4" x14ac:dyDescent="0.2">
      <c r="A1780" s="5">
        <v>1719</v>
      </c>
      <c r="B1780" s="138">
        <f>'Tax Sched 23'!C8</f>
        <v>99807.12</v>
      </c>
      <c r="D1780" s="2" t="str">
        <f t="shared" si="26"/>
        <v>Error?</v>
      </c>
    </row>
    <row r="1781" spans="1:4" x14ac:dyDescent="0.2">
      <c r="A1781" s="5">
        <v>1720</v>
      </c>
      <c r="B1781" s="138">
        <f>'Tax Sched 23'!C10</f>
        <v>376.57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376.57</v>
      </c>
      <c r="D1784" s="2" t="str">
        <f t="shared" si="26"/>
        <v>Error?</v>
      </c>
    </row>
    <row r="1785" spans="1:4" x14ac:dyDescent="0.2">
      <c r="A1785" s="5">
        <v>1724</v>
      </c>
      <c r="B1785" s="138">
        <f>'Tax Sched 23'!C12</f>
        <v>254950.55</v>
      </c>
      <c r="D1785" s="2" t="str">
        <f t="shared" si="26"/>
        <v>Error?</v>
      </c>
    </row>
    <row r="1786" spans="1:4" x14ac:dyDescent="0.2">
      <c r="A1786" s="5">
        <v>1725</v>
      </c>
      <c r="B1786" s="138">
        <f>'Tax Sched 23'!C14</f>
        <v>171366.91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12262412.880000003</v>
      </c>
      <c r="C1791" s="2" t="s">
        <v>594</v>
      </c>
      <c r="D1791" s="2" t="str">
        <f t="shared" ref="D1791:D1854" si="27">IF(ISBLANK(B1791),"OK",IF(A1791-B1791=0,"OK","Error?"))</f>
        <v>Error?</v>
      </c>
    </row>
    <row r="1792" spans="1:4" x14ac:dyDescent="0.2">
      <c r="A1792" s="5">
        <v>1731</v>
      </c>
      <c r="B1792" s="138">
        <f>'Tax Sched 23'!F4</f>
        <v>7523822.1899999995</v>
      </c>
      <c r="C1792" s="2" t="s">
        <v>594</v>
      </c>
      <c r="D1792" s="2" t="str">
        <f t="shared" si="27"/>
        <v>Error?</v>
      </c>
    </row>
    <row r="1793" spans="1:4" x14ac:dyDescent="0.2">
      <c r="A1793" s="5">
        <v>1732</v>
      </c>
      <c r="B1793" s="138">
        <f>'Tax Sched 23'!F5</f>
        <v>845795.16999999993</v>
      </c>
      <c r="C1793" s="2" t="s">
        <v>594</v>
      </c>
      <c r="D1793" s="2" t="str">
        <f t="shared" si="27"/>
        <v>Error?</v>
      </c>
    </row>
    <row r="1794" spans="1:4" x14ac:dyDescent="0.2">
      <c r="A1794" s="5">
        <v>1733</v>
      </c>
      <c r="B1794" s="138">
        <f>'Tax Sched 23'!F6</f>
        <v>485188.78</v>
      </c>
      <c r="C1794" s="2" t="s">
        <v>594</v>
      </c>
      <c r="D1794" s="2" t="str">
        <f t="shared" si="27"/>
        <v>Error?</v>
      </c>
    </row>
    <row r="1795" spans="1:4" x14ac:dyDescent="0.2">
      <c r="A1795" s="5">
        <v>1734</v>
      </c>
      <c r="B1795" s="138">
        <f>'Tax Sched 23'!F7</f>
        <v>222747.44</v>
      </c>
      <c r="C1795" s="2" t="s">
        <v>594</v>
      </c>
      <c r="D1795" s="2" t="str">
        <f t="shared" si="27"/>
        <v>Error?</v>
      </c>
    </row>
    <row r="1796" spans="1:4" x14ac:dyDescent="0.2">
      <c r="A1796" s="5">
        <v>1735</v>
      </c>
      <c r="B1796" s="138">
        <f>'Tax Sched 23'!F8</f>
        <v>77770.880000000005</v>
      </c>
      <c r="C1796" s="2" t="s">
        <v>594</v>
      </c>
      <c r="D1796" s="2" t="str">
        <f t="shared" si="27"/>
        <v>Error?</v>
      </c>
    </row>
    <row r="1797" spans="1:4" x14ac:dyDescent="0.2">
      <c r="A1797" s="5">
        <v>1736</v>
      </c>
      <c r="B1797" s="138">
        <f>'Tax Sched 23'!F10</f>
        <v>293.43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293.43</v>
      </c>
      <c r="C1800" s="2" t="s">
        <v>594</v>
      </c>
      <c r="D1800" s="2" t="str">
        <f t="shared" si="27"/>
        <v>Error?</v>
      </c>
    </row>
    <row r="1801" spans="1:4" x14ac:dyDescent="0.2">
      <c r="A1801" s="5">
        <v>1740</v>
      </c>
      <c r="B1801" s="138">
        <f>'Tax Sched 23'!F12</f>
        <v>198660.45</v>
      </c>
      <c r="C1801" s="2" t="s">
        <v>594</v>
      </c>
      <c r="D1801" s="2" t="str">
        <f t="shared" si="27"/>
        <v>Error?</v>
      </c>
    </row>
    <row r="1802" spans="1:4" x14ac:dyDescent="0.2">
      <c r="A1802" s="5">
        <v>1741</v>
      </c>
      <c r="B1802" s="138">
        <f>'Tax Sched 23'!F14</f>
        <v>133531.09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9555015.1199999973</v>
      </c>
      <c r="C1807" s="2" t="s">
        <v>594</v>
      </c>
      <c r="D1807" s="2" t="str">
        <f t="shared" si="27"/>
        <v>Error?</v>
      </c>
    </row>
    <row r="1808" spans="1:4" x14ac:dyDescent="0.2">
      <c r="A1808" s="5">
        <v>1747</v>
      </c>
      <c r="B1808" s="138">
        <f>'Tax Sched 23'!E4</f>
        <v>17179507</v>
      </c>
      <c r="D1808" s="2" t="str">
        <f t="shared" si="27"/>
        <v>Error?</v>
      </c>
    </row>
    <row r="1809" spans="1:4" x14ac:dyDescent="0.2">
      <c r="A1809" s="5">
        <v>1748</v>
      </c>
      <c r="B1809" s="138">
        <f>'Tax Sched 23'!E5</f>
        <v>1931245</v>
      </c>
      <c r="D1809" s="2" t="str">
        <f t="shared" si="27"/>
        <v>Error?</v>
      </c>
    </row>
    <row r="1810" spans="1:4" x14ac:dyDescent="0.2">
      <c r="A1810" s="5">
        <v>1749</v>
      </c>
      <c r="B1810" s="138">
        <f>'Tax Sched 23'!E6</f>
        <v>1107855</v>
      </c>
      <c r="D1810" s="2" t="str">
        <f t="shared" si="27"/>
        <v>Error?</v>
      </c>
    </row>
    <row r="1811" spans="1:4" x14ac:dyDescent="0.2">
      <c r="A1811" s="5">
        <v>1750</v>
      </c>
      <c r="B1811" s="138">
        <f>'Tax Sched 23'!E7</f>
        <v>508610</v>
      </c>
      <c r="D1811" s="2" t="str">
        <f t="shared" si="27"/>
        <v>Error?</v>
      </c>
    </row>
    <row r="1812" spans="1:4" x14ac:dyDescent="0.2">
      <c r="A1812" s="5">
        <v>1751</v>
      </c>
      <c r="B1812" s="138">
        <f>'Tax Sched 23'!E8</f>
        <v>177578</v>
      </c>
      <c r="D1812" s="2" t="str">
        <f t="shared" si="27"/>
        <v>Error?</v>
      </c>
    </row>
    <row r="1813" spans="1:4" x14ac:dyDescent="0.2">
      <c r="A1813" s="5">
        <v>1752</v>
      </c>
      <c r="B1813" s="138">
        <f>'Tax Sched 23'!E10</f>
        <v>670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670</v>
      </c>
      <c r="D1816" s="2" t="str">
        <f t="shared" si="27"/>
        <v>Error?</v>
      </c>
    </row>
    <row r="1817" spans="1:4" x14ac:dyDescent="0.2">
      <c r="A1817" s="5">
        <v>1756</v>
      </c>
      <c r="B1817" s="138">
        <f>'Tax Sched 23'!E12</f>
        <v>453611</v>
      </c>
      <c r="D1817" s="2" t="str">
        <f t="shared" si="27"/>
        <v>Error?</v>
      </c>
    </row>
    <row r="1818" spans="1:4" x14ac:dyDescent="0.2">
      <c r="A1818" s="5">
        <v>1757</v>
      </c>
      <c r="B1818" s="138">
        <f>'Tax Sched 23'!E14</f>
        <v>304898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21817428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11120000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303590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303590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303590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2337500</v>
      </c>
      <c r="D2008" s="2" t="str">
        <f t="shared" si="30"/>
        <v>Error?</v>
      </c>
    </row>
    <row r="2009" spans="1:4" x14ac:dyDescent="0.2">
      <c r="A2009" s="5">
        <v>1948</v>
      </c>
      <c r="B2009" s="138">
        <f>'Cap Outlay Deprec 26'!C8</f>
        <v>44377309</v>
      </c>
      <c r="D2009" s="2" t="str">
        <f t="shared" si="30"/>
        <v>Error?</v>
      </c>
    </row>
    <row r="2010" spans="1:4" x14ac:dyDescent="0.2">
      <c r="A2010" s="5">
        <v>1949</v>
      </c>
      <c r="B2010" s="138">
        <f>'Cap Outlay Deprec 26'!C10</f>
        <v>1147036</v>
      </c>
      <c r="D2010" s="2" t="str">
        <f t="shared" si="30"/>
        <v>Error?</v>
      </c>
    </row>
    <row r="2011" spans="1:4" x14ac:dyDescent="0.2">
      <c r="A2011" s="5">
        <v>1950</v>
      </c>
      <c r="B2011" s="138">
        <f>'Cap Outlay Deprec 26'!C12</f>
        <v>6338001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54199846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5573218</v>
      </c>
      <c r="D2015" s="2" t="str">
        <f t="shared" si="30"/>
        <v>Error?</v>
      </c>
    </row>
    <row r="2016" spans="1:4" x14ac:dyDescent="0.2">
      <c r="A2016" s="5">
        <v>1955</v>
      </c>
      <c r="B2016" s="138">
        <f>'Cap Outlay Deprec 26'!D10</f>
        <v>90536</v>
      </c>
      <c r="D2016" s="2" t="str">
        <f t="shared" si="30"/>
        <v>Error?</v>
      </c>
    </row>
    <row r="2017" spans="1:4" x14ac:dyDescent="0.2">
      <c r="A2017" s="5">
        <v>1956</v>
      </c>
      <c r="B2017" s="138">
        <f>'Cap Outlay Deprec 26'!D12</f>
        <v>408029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6071783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2337500</v>
      </c>
      <c r="C2026" s="2" t="s">
        <v>594</v>
      </c>
      <c r="D2026" s="2" t="str">
        <f t="shared" si="30"/>
        <v>Error?</v>
      </c>
    </row>
    <row r="2027" spans="1:4" x14ac:dyDescent="0.2">
      <c r="A2027" s="5">
        <v>1966</v>
      </c>
      <c r="B2027" s="138">
        <f>'Cap Outlay Deprec 26'!F8</f>
        <v>49950527</v>
      </c>
      <c r="C2027" s="2" t="s">
        <v>594</v>
      </c>
      <c r="D2027" s="2" t="str">
        <f t="shared" si="30"/>
        <v>Error?</v>
      </c>
    </row>
    <row r="2028" spans="1:4" x14ac:dyDescent="0.2">
      <c r="A2028" s="5">
        <v>1967</v>
      </c>
      <c r="B2028" s="138">
        <f>'Cap Outlay Deprec 26'!F10</f>
        <v>1237572</v>
      </c>
      <c r="C2028" s="2" t="s">
        <v>594</v>
      </c>
      <c r="D2028" s="2" t="str">
        <f t="shared" si="30"/>
        <v>Error?</v>
      </c>
    </row>
    <row r="2029" spans="1:4" x14ac:dyDescent="0.2">
      <c r="A2029" s="5">
        <v>1968</v>
      </c>
      <c r="B2029" s="138">
        <f>'Cap Outlay Deprec 26'!F12</f>
        <v>6746030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60271629</v>
      </c>
      <c r="C2031" s="2" t="s">
        <v>594</v>
      </c>
      <c r="D2031" s="2" t="str">
        <f t="shared" si="30"/>
        <v>Error?</v>
      </c>
    </row>
    <row r="2032" spans="1:4" x14ac:dyDescent="0.2">
      <c r="A2032" s="10">
        <v>1971</v>
      </c>
      <c r="D2032" s="2" t="str">
        <f t="shared" si="30"/>
        <v>OK</v>
      </c>
    </row>
    <row r="2033" spans="1:4" x14ac:dyDescent="0.2">
      <c r="A2033" s="5">
        <v>1972</v>
      </c>
      <c r="B2033" s="138">
        <f>'Cap Outlay Deprec 26'!H8</f>
        <v>17112101</v>
      </c>
      <c r="D2033" s="2" t="str">
        <f t="shared" si="30"/>
        <v>Error?</v>
      </c>
    </row>
    <row r="2034" spans="1:4" x14ac:dyDescent="0.2">
      <c r="A2034" s="5">
        <v>1973</v>
      </c>
      <c r="B2034" s="138">
        <f>'Cap Outlay Deprec 26'!H10</f>
        <v>656848</v>
      </c>
      <c r="D2034" s="2" t="str">
        <f t="shared" si="30"/>
        <v>Error?</v>
      </c>
    </row>
    <row r="2035" spans="1:4" x14ac:dyDescent="0.2">
      <c r="A2035" s="5">
        <v>1974</v>
      </c>
      <c r="B2035" s="138">
        <f>'Cap Outlay Deprec 26'!H12</f>
        <v>4593290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22362239</v>
      </c>
      <c r="C2037" s="2" t="s">
        <v>594</v>
      </c>
      <c r="D2037" s="2" t="str">
        <f t="shared" si="30"/>
        <v>Error?</v>
      </c>
    </row>
    <row r="2038" spans="1:4" x14ac:dyDescent="0.2">
      <c r="A2038" s="10">
        <v>1977</v>
      </c>
      <c r="D2038" s="2" t="str">
        <f t="shared" si="30"/>
        <v>OK</v>
      </c>
    </row>
    <row r="2039" spans="1:4" x14ac:dyDescent="0.2">
      <c r="A2039" s="5">
        <v>1978</v>
      </c>
      <c r="B2039" s="138">
        <f>'Cap Outlay Deprec 26'!I8</f>
        <v>1698287</v>
      </c>
      <c r="D2039" s="2" t="str">
        <f t="shared" si="30"/>
        <v>Error?</v>
      </c>
    </row>
    <row r="2040" spans="1:4" x14ac:dyDescent="0.2">
      <c r="A2040" s="5">
        <v>1979</v>
      </c>
      <c r="B2040" s="138">
        <f>'Cap Outlay Deprec 26'!I10</f>
        <v>45441</v>
      </c>
      <c r="D2040" s="2" t="str">
        <f t="shared" si="30"/>
        <v>Error?</v>
      </c>
    </row>
    <row r="2041" spans="1:4" x14ac:dyDescent="0.2">
      <c r="A2041" s="5">
        <v>1980</v>
      </c>
      <c r="B2041" s="138">
        <f>'Cap Outlay Deprec 26'!I12</f>
        <v>461111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2204839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18810388</v>
      </c>
      <c r="C2051" s="2" t="s">
        <v>594</v>
      </c>
      <c r="D2051" s="2" t="str">
        <f t="shared" si="31"/>
        <v>Error?</v>
      </c>
    </row>
    <row r="2052" spans="1:4" x14ac:dyDescent="0.2">
      <c r="A2052" s="5">
        <v>1991</v>
      </c>
      <c r="B2052" s="138">
        <f>'Cap Outlay Deprec 26'!K10</f>
        <v>702289</v>
      </c>
      <c r="C2052" s="2" t="s">
        <v>594</v>
      </c>
      <c r="D2052" s="2" t="str">
        <f t="shared" si="31"/>
        <v>Error?</v>
      </c>
    </row>
    <row r="2053" spans="1:4" x14ac:dyDescent="0.2">
      <c r="A2053" s="5">
        <v>1992</v>
      </c>
      <c r="B2053" s="138">
        <f>'Cap Outlay Deprec 26'!K12</f>
        <v>5054401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24567078</v>
      </c>
      <c r="C2055" s="2" t="s">
        <v>594</v>
      </c>
      <c r="D2055" s="2" t="str">
        <f t="shared" si="31"/>
        <v>Error?</v>
      </c>
    </row>
    <row r="2056" spans="1:4" x14ac:dyDescent="0.2">
      <c r="A2056" s="5">
        <v>1995</v>
      </c>
      <c r="B2056" s="138">
        <f>'Cap Outlay Deprec 26'!L5</f>
        <v>2337500</v>
      </c>
      <c r="C2056" s="2" t="s">
        <v>594</v>
      </c>
      <c r="D2056" s="2" t="str">
        <f t="shared" si="31"/>
        <v>Error?</v>
      </c>
    </row>
    <row r="2057" spans="1:4" x14ac:dyDescent="0.2">
      <c r="A2057" s="5">
        <v>1996</v>
      </c>
      <c r="B2057" s="138">
        <f>'Cap Outlay Deprec 26'!L8</f>
        <v>31140139</v>
      </c>
      <c r="C2057" s="2" t="s">
        <v>594</v>
      </c>
      <c r="D2057" s="2" t="str">
        <f t="shared" si="31"/>
        <v>Error?</v>
      </c>
    </row>
    <row r="2058" spans="1:4" x14ac:dyDescent="0.2">
      <c r="A2058" s="5">
        <v>1997</v>
      </c>
      <c r="B2058" s="138">
        <f>'Cap Outlay Deprec 26'!L10</f>
        <v>535283</v>
      </c>
      <c r="C2058" s="2" t="s">
        <v>594</v>
      </c>
      <c r="D2058" s="2" t="str">
        <f t="shared" si="31"/>
        <v>Error?</v>
      </c>
    </row>
    <row r="2059" spans="1:4" x14ac:dyDescent="0.2">
      <c r="A2059" s="5">
        <v>1998</v>
      </c>
      <c r="B2059" s="138">
        <f>'Cap Outlay Deprec 26'!L12</f>
        <v>1691629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35704551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1868668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1897380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802466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1273235</v>
      </c>
      <c r="D2475" s="2" t="str">
        <f t="shared" si="37"/>
        <v>Error?</v>
      </c>
    </row>
    <row r="2476" spans="1:4" x14ac:dyDescent="0.2">
      <c r="A2476" s="10">
        <v>2415</v>
      </c>
      <c r="D2476" s="2" t="str">
        <f t="shared" si="37"/>
        <v>OK</v>
      </c>
    </row>
    <row r="2477" spans="1:4" x14ac:dyDescent="0.2">
      <c r="A2477" s="5">
        <v>2416</v>
      </c>
      <c r="B2477" s="138">
        <f>'Assets-Liab 5-6'!G38</f>
        <v>385211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589232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18975765</v>
      </c>
      <c r="C2551" s="2" t="s">
        <v>594</v>
      </c>
      <c r="D2551" s="2" t="str">
        <f t="shared" si="38"/>
        <v>Error?</v>
      </c>
    </row>
    <row r="2552" spans="1:4" x14ac:dyDescent="0.2">
      <c r="A2552" s="10">
        <v>2491</v>
      </c>
      <c r="D2552" s="2" t="str">
        <f t="shared" si="38"/>
        <v>OK</v>
      </c>
    </row>
    <row r="2553" spans="1:4" x14ac:dyDescent="0.2">
      <c r="A2553" s="5">
        <v>2492</v>
      </c>
      <c r="B2553" s="138">
        <f>'Acct Summary 7-8'!C6</f>
        <v>1167814</v>
      </c>
      <c r="C2553" s="2" t="s">
        <v>594</v>
      </c>
      <c r="D2553" s="2" t="str">
        <f t="shared" si="38"/>
        <v>Error?</v>
      </c>
    </row>
    <row r="2554" spans="1:4" x14ac:dyDescent="0.2">
      <c r="A2554" s="5">
        <v>2493</v>
      </c>
      <c r="B2554" s="138">
        <f>'Acct Summary 7-8'!C7</f>
        <v>375656</v>
      </c>
      <c r="C2554" s="2" t="s">
        <v>594</v>
      </c>
      <c r="D2554" s="2" t="str">
        <f t="shared" si="38"/>
        <v>Error?</v>
      </c>
    </row>
    <row r="2555" spans="1:4" x14ac:dyDescent="0.2">
      <c r="A2555" s="5">
        <v>2494</v>
      </c>
      <c r="B2555" s="138">
        <f>'Acct Summary 7-8'!C8</f>
        <v>20519235</v>
      </c>
      <c r="C2555" s="2" t="s">
        <v>594</v>
      </c>
      <c r="D2555" s="2" t="str">
        <f t="shared" si="38"/>
        <v>Error?</v>
      </c>
    </row>
    <row r="2556" spans="1:4" x14ac:dyDescent="0.2">
      <c r="A2556" s="5">
        <v>2495</v>
      </c>
      <c r="B2556" s="138">
        <f>'Acct Summary 7-8'!C12</f>
        <v>12748107</v>
      </c>
      <c r="C2556" s="2" t="s">
        <v>594</v>
      </c>
      <c r="D2556" s="2" t="str">
        <f t="shared" si="38"/>
        <v>Error?</v>
      </c>
    </row>
    <row r="2557" spans="1:4" x14ac:dyDescent="0.2">
      <c r="A2557" s="5">
        <v>2496</v>
      </c>
      <c r="B2557" s="138">
        <f>'Acct Summary 7-8'!C13</f>
        <v>4651788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1897380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19297275</v>
      </c>
      <c r="C2561" s="2" t="s">
        <v>594</v>
      </c>
      <c r="D2561" s="2" t="str">
        <f t="shared" si="39"/>
        <v>Error?</v>
      </c>
    </row>
    <row r="2562" spans="1:4" x14ac:dyDescent="0.2">
      <c r="A2562" s="5">
        <v>2501</v>
      </c>
      <c r="B2562" s="138">
        <f>'Acct Summary 7-8'!C20</f>
        <v>1221960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2055140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2055140</v>
      </c>
      <c r="C2568" s="2" t="s">
        <v>594</v>
      </c>
      <c r="D2568" s="2" t="str">
        <f t="shared" si="39"/>
        <v>Error?</v>
      </c>
    </row>
    <row r="2569" spans="1:4" x14ac:dyDescent="0.2">
      <c r="A2569" s="5">
        <v>2508</v>
      </c>
      <c r="B2569" s="138">
        <f>'Acct Summary 7-8'!D13</f>
        <v>2071684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2071684</v>
      </c>
      <c r="C2573" s="2" t="s">
        <v>594</v>
      </c>
      <c r="D2573" s="2" t="str">
        <f t="shared" si="39"/>
        <v>Error?</v>
      </c>
    </row>
    <row r="2574" spans="1:4" x14ac:dyDescent="0.2">
      <c r="A2574" s="5">
        <v>2513</v>
      </c>
      <c r="B2574" s="138">
        <f>'Acct Summary 7-8'!D20</f>
        <v>-16544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647758</v>
      </c>
      <c r="C2591" s="2" t="s">
        <v>594</v>
      </c>
      <c r="D2591" s="2" t="str">
        <f t="shared" si="39"/>
        <v>Error?</v>
      </c>
    </row>
    <row r="2592" spans="1:4" x14ac:dyDescent="0.2">
      <c r="A2592" s="10">
        <v>2531</v>
      </c>
      <c r="D2592" s="2" t="str">
        <f t="shared" si="39"/>
        <v>OK</v>
      </c>
    </row>
    <row r="2593" spans="1:4" x14ac:dyDescent="0.2">
      <c r="A2593" s="5">
        <v>2532</v>
      </c>
      <c r="B2593" s="138">
        <f>'Acct Summary 7-8'!F6</f>
        <v>382899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1030657</v>
      </c>
      <c r="C2595" s="2" t="s">
        <v>594</v>
      </c>
      <c r="D2595" s="2" t="str">
        <f t="shared" si="39"/>
        <v>Error?</v>
      </c>
    </row>
    <row r="2596" spans="1:4" x14ac:dyDescent="0.2">
      <c r="A2596" s="5">
        <v>2535</v>
      </c>
      <c r="B2596" s="138">
        <f>'Acct Summary 7-8'!F13</f>
        <v>1144879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1144879</v>
      </c>
      <c r="C2600" s="2" t="s">
        <v>594</v>
      </c>
      <c r="D2600" s="2" t="str">
        <f t="shared" si="39"/>
        <v>Error?</v>
      </c>
    </row>
    <row r="2601" spans="1:4" x14ac:dyDescent="0.2">
      <c r="A2601" s="5">
        <v>2540</v>
      </c>
      <c r="B2601" s="138">
        <f>'Acct Summary 7-8'!F20</f>
        <v>-114222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385359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385359</v>
      </c>
      <c r="C2606" s="2" t="s">
        <v>594</v>
      </c>
      <c r="D2606" s="2" t="str">
        <f t="shared" si="39"/>
        <v>Error?</v>
      </c>
    </row>
    <row r="2607" spans="1:4" x14ac:dyDescent="0.2">
      <c r="A2607" s="5">
        <v>2546</v>
      </c>
      <c r="B2607" s="138">
        <f>'Acct Summary 7-8'!G12</f>
        <v>258017</v>
      </c>
      <c r="C2607" s="2" t="s">
        <v>594</v>
      </c>
      <c r="D2607" s="2" t="str">
        <f t="shared" si="39"/>
        <v>Error?</v>
      </c>
    </row>
    <row r="2608" spans="1:4" x14ac:dyDescent="0.2">
      <c r="A2608" s="5">
        <v>2547</v>
      </c>
      <c r="B2608" s="138">
        <f>'Acct Summary 7-8'!G13</f>
        <v>296478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554495</v>
      </c>
      <c r="C2612" s="2" t="s">
        <v>594</v>
      </c>
      <c r="D2612" s="2" t="str">
        <f t="shared" si="39"/>
        <v>Error?</v>
      </c>
    </row>
    <row r="2613" spans="1:4" x14ac:dyDescent="0.2">
      <c r="A2613" s="5">
        <v>2552</v>
      </c>
      <c r="B2613" s="138">
        <f>'Acct Summary 7-8'!G20</f>
        <v>-169136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1108279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1108279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1048663</v>
      </c>
      <c r="C2634" s="2" t="s">
        <v>594</v>
      </c>
      <c r="D2634" s="2" t="str">
        <f t="shared" si="40"/>
        <v>Error?</v>
      </c>
    </row>
    <row r="2635" spans="1:4" x14ac:dyDescent="0.2">
      <c r="A2635" s="5">
        <v>2574</v>
      </c>
      <c r="B2635" s="138">
        <f>'Acct Summary 7-8'!E17</f>
        <v>1048663</v>
      </c>
      <c r="C2635" s="2" t="s">
        <v>594</v>
      </c>
      <c r="D2635" s="2" t="str">
        <f t="shared" si="40"/>
        <v>Error?</v>
      </c>
    </row>
    <row r="2636" spans="1:4" x14ac:dyDescent="0.2">
      <c r="A2636" s="5">
        <v>2575</v>
      </c>
      <c r="B2636" s="138">
        <f>'Acct Summary 7-8'!E20</f>
        <v>59616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48937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48937</v>
      </c>
      <c r="C2658" s="2" t="s">
        <v>594</v>
      </c>
      <c r="D2658" s="2" t="str">
        <f t="shared" si="40"/>
        <v>Error?</v>
      </c>
    </row>
    <row r="2659" spans="1:4" x14ac:dyDescent="0.2">
      <c r="A2659" s="5">
        <v>2598</v>
      </c>
      <c r="B2659" s="138">
        <f>'Acct Summary 7-8'!H13</f>
        <v>7090165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7090165</v>
      </c>
      <c r="C2661" s="2" t="s">
        <v>594</v>
      </c>
      <c r="D2661" s="2" t="str">
        <f t="shared" si="40"/>
        <v>Error?</v>
      </c>
    </row>
    <row r="2662" spans="1:4" x14ac:dyDescent="0.2">
      <c r="A2662" s="5">
        <v>2601</v>
      </c>
      <c r="B2662" s="138">
        <f>'Acct Summary 7-8'!H20</f>
        <v>-7041228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4500000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28712</v>
      </c>
      <c r="C2789" s="2" t="s">
        <v>594</v>
      </c>
      <c r="D2789" s="2" t="str">
        <f t="shared" si="42"/>
        <v>Error?</v>
      </c>
    </row>
    <row r="2790" spans="1:4" x14ac:dyDescent="0.2">
      <c r="A2790" s="5">
        <v>2729</v>
      </c>
      <c r="B2790" s="138">
        <f>'Expenditures 15-22'!E102</f>
        <v>28712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3500000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287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365428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14364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287</v>
      </c>
      <c r="D2908" s="2" t="str">
        <f t="shared" si="44"/>
        <v>Error?</v>
      </c>
    </row>
    <row r="2909" spans="1:4" x14ac:dyDescent="0.2">
      <c r="A2909" s="10">
        <v>2848</v>
      </c>
      <c r="D2909" s="2" t="str">
        <f t="shared" si="44"/>
        <v>OK</v>
      </c>
    </row>
    <row r="2910" spans="1:4" x14ac:dyDescent="0.2">
      <c r="A2910" s="5">
        <v>2849</v>
      </c>
      <c r="B2910" s="138">
        <f>'Assets-Liab 5-6'!I34</f>
        <v>287</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365141</v>
      </c>
      <c r="D2912" s="2" t="str">
        <f t="shared" si="44"/>
        <v>Error?</v>
      </c>
    </row>
    <row r="2913" spans="1:4" x14ac:dyDescent="0.2">
      <c r="A2913" s="5">
        <v>2852</v>
      </c>
      <c r="B2913" s="138">
        <f>'Assets-Liab 5-6'!I41</f>
        <v>365428</v>
      </c>
      <c r="C2913" s="2" t="s">
        <v>594</v>
      </c>
      <c r="D2913" s="2" t="str">
        <f t="shared" si="44"/>
        <v>Error?</v>
      </c>
    </row>
    <row r="2914" spans="1:4" x14ac:dyDescent="0.2">
      <c r="A2914" s="5">
        <v>2853</v>
      </c>
      <c r="B2914" s="138">
        <f>'Assets-Liab 5-6'!L33</f>
        <v>14364</v>
      </c>
      <c r="D2914" s="2" t="str">
        <f t="shared" si="44"/>
        <v>Error?</v>
      </c>
    </row>
    <row r="2915" spans="1:4" x14ac:dyDescent="0.2">
      <c r="A2915" s="10">
        <v>2854</v>
      </c>
      <c r="D2915" s="2" t="str">
        <f t="shared" si="44"/>
        <v>OK</v>
      </c>
    </row>
    <row r="2916" spans="1:4" x14ac:dyDescent="0.2">
      <c r="A2916" s="5">
        <v>2855</v>
      </c>
      <c r="B2916" s="138">
        <f>'Assets-Liab 5-6'!L34</f>
        <v>14364</v>
      </c>
      <c r="C2916" s="2" t="s">
        <v>594</v>
      </c>
      <c r="D2916" s="2" t="str">
        <f t="shared" si="44"/>
        <v>Error?</v>
      </c>
    </row>
    <row r="2917" spans="1:4" x14ac:dyDescent="0.2">
      <c r="A2917" s="5">
        <v>2856</v>
      </c>
      <c r="B2917" s="138">
        <f>'Assets-Liab 5-6'!L41</f>
        <v>14364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28712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1868668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1897380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602810</v>
      </c>
      <c r="D3055" s="2" t="str">
        <f t="shared" si="46"/>
        <v>Error?</v>
      </c>
    </row>
    <row r="3056" spans="1:4" x14ac:dyDescent="0.2">
      <c r="A3056" s="5">
        <v>2995</v>
      </c>
      <c r="B3056" s="138">
        <f>'Expenditures 15-22'!D10</f>
        <v>133215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1043</v>
      </c>
      <c r="D3058" s="2" t="str">
        <f t="shared" si="46"/>
        <v>Error?</v>
      </c>
    </row>
    <row r="3059" spans="1:4" x14ac:dyDescent="0.2">
      <c r="A3059" s="5">
        <v>2998</v>
      </c>
      <c r="B3059" s="138">
        <f>'Expenditures 15-22'!G10</f>
        <v>11000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748068</v>
      </c>
      <c r="C3062" s="2" t="s">
        <v>594</v>
      </c>
      <c r="D3062" s="2" t="str">
        <f t="shared" si="46"/>
        <v>Error?</v>
      </c>
    </row>
    <row r="3063" spans="1:4" x14ac:dyDescent="0.2">
      <c r="A3063" s="10">
        <v>3002</v>
      </c>
      <c r="D3063" s="2" t="str">
        <f t="shared" si="46"/>
        <v>OK</v>
      </c>
    </row>
    <row r="3064" spans="1:4" x14ac:dyDescent="0.2">
      <c r="A3064" s="5">
        <v>3003</v>
      </c>
      <c r="B3064" s="138">
        <f>'Expenditures 15-22'!D219</f>
        <v>20069</v>
      </c>
      <c r="D3064" s="2" t="str">
        <f t="shared" si="46"/>
        <v>Error?</v>
      </c>
    </row>
    <row r="3065" spans="1:4" x14ac:dyDescent="0.2">
      <c r="A3065" s="5">
        <v>3004</v>
      </c>
      <c r="B3065" s="138">
        <f>'Expenditures 15-22'!K219</f>
        <v>20069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268</v>
      </c>
      <c r="C3225" s="2" t="s">
        <v>594</v>
      </c>
      <c r="D3225" s="2" t="str">
        <f t="shared" si="49"/>
        <v>Error?</v>
      </c>
    </row>
    <row r="3226" spans="1:4" x14ac:dyDescent="0.2">
      <c r="A3226" s="5">
        <v>3165</v>
      </c>
      <c r="B3226" s="138">
        <f>'Acct Summary 7-8'!I8</f>
        <v>268</v>
      </c>
      <c r="C3226" s="2" t="s">
        <v>594</v>
      </c>
      <c r="D3226" s="2" t="str">
        <f t="shared" si="49"/>
        <v>Error?</v>
      </c>
    </row>
    <row r="3227" spans="1:4" x14ac:dyDescent="0.2">
      <c r="A3227" s="5">
        <v>3166</v>
      </c>
      <c r="B3227" s="138">
        <f>'Acct Summary 7-8'!I20</f>
        <v>268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3500000</v>
      </c>
      <c r="C3231" s="2" t="s">
        <v>594</v>
      </c>
      <c r="D3231" s="2" t="str">
        <f t="shared" si="49"/>
        <v>Error?</v>
      </c>
    </row>
    <row r="3232" spans="1:4" x14ac:dyDescent="0.2">
      <c r="A3232" s="5">
        <v>3171</v>
      </c>
      <c r="B3232" s="138">
        <f>'Acct Summary 7-8'!C77</f>
        <v>-3500000</v>
      </c>
      <c r="C3232" s="2" t="s">
        <v>594</v>
      </c>
      <c r="D3232" s="2" t="str">
        <f t="shared" si="49"/>
        <v>Error?</v>
      </c>
    </row>
    <row r="3233" spans="1:4" x14ac:dyDescent="0.2">
      <c r="A3233" s="5">
        <v>3172</v>
      </c>
      <c r="B3233" s="138">
        <f>'Acct Summary 7-8'!C78</f>
        <v>-2278040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4500000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6000000</v>
      </c>
      <c r="C3237" s="2" t="s">
        <v>594</v>
      </c>
      <c r="D3237" s="2" t="str">
        <f t="shared" si="49"/>
        <v>Error?</v>
      </c>
    </row>
    <row r="3238" spans="1:4" x14ac:dyDescent="0.2">
      <c r="A3238" s="5">
        <v>3177</v>
      </c>
      <c r="B3238" s="138">
        <f>'Acct Summary 7-8'!D77</f>
        <v>-1500000</v>
      </c>
      <c r="C3238" s="2" t="s">
        <v>594</v>
      </c>
      <c r="D3238" s="2" t="str">
        <f t="shared" si="49"/>
        <v>Error?</v>
      </c>
    </row>
    <row r="3239" spans="1:4" x14ac:dyDescent="0.2">
      <c r="A3239" s="5">
        <v>3178</v>
      </c>
      <c r="B3239" s="138">
        <f>'Acct Summary 7-8'!D78</f>
        <v>-1516544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-114222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-169136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59616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6000000</v>
      </c>
      <c r="C3299" s="2" t="s">
        <v>594</v>
      </c>
      <c r="D3299" s="2" t="str">
        <f t="shared" si="50"/>
        <v>Error?</v>
      </c>
    </row>
    <row r="3300" spans="1:4" x14ac:dyDescent="0.2">
      <c r="A3300" s="5">
        <v>3239</v>
      </c>
      <c r="B3300" s="138">
        <f>'Acct Summary 7-8'!H78</f>
        <v>-1041228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268</v>
      </c>
      <c r="C3320" s="2" t="s">
        <v>594</v>
      </c>
      <c r="D3320" s="2" t="str">
        <f t="shared" si="50"/>
        <v>Error?</v>
      </c>
    </row>
    <row r="3321" spans="1:4" x14ac:dyDescent="0.2">
      <c r="A3321" s="5">
        <v>3260</v>
      </c>
      <c r="B3321" s="138">
        <f>'Acct Summary 7-8'!I79</f>
        <v>364873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365141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1032782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166983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667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490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1207431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165859</v>
      </c>
      <c r="D3387" s="2" t="str">
        <f t="shared" si="51"/>
        <v>Error?</v>
      </c>
    </row>
    <row r="3388" spans="1:4" x14ac:dyDescent="0.2">
      <c r="A3388" s="5">
        <v>3327</v>
      </c>
      <c r="B3388" s="138">
        <f>'Expenditures 15-22'!D217</f>
        <v>53273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165859</v>
      </c>
      <c r="C3390" s="2" t="s">
        <v>594</v>
      </c>
      <c r="D3390" s="2" t="str">
        <f t="shared" si="51"/>
        <v>Error?</v>
      </c>
    </row>
    <row r="3391" spans="1:4" x14ac:dyDescent="0.2">
      <c r="A3391" s="5">
        <v>3330</v>
      </c>
      <c r="B3391" s="138">
        <f>'Expenditures 15-22'!K217</f>
        <v>53273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14154247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2441547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589232</v>
      </c>
      <c r="D3417" s="2" t="str">
        <f t="shared" si="52"/>
        <v>Error?</v>
      </c>
    </row>
    <row r="3418" spans="1:4" x14ac:dyDescent="0.2">
      <c r="A3418" s="10">
        <v>3357</v>
      </c>
      <c r="D3418" s="2" t="str">
        <f t="shared" si="52"/>
        <v>OK</v>
      </c>
    </row>
    <row r="3419" spans="1:4" x14ac:dyDescent="0.2">
      <c r="A3419" s="5">
        <v>3358</v>
      </c>
      <c r="B3419" s="138">
        <f>'Assets-Liab 5-6'!F4</f>
        <v>1248267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385211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1013948</v>
      </c>
      <c r="D3425" s="2" t="str">
        <f t="shared" si="52"/>
        <v>Error?</v>
      </c>
    </row>
    <row r="3426" spans="1:4" x14ac:dyDescent="0.2">
      <c r="A3426" s="10">
        <v>3365</v>
      </c>
      <c r="D3426" s="2" t="str">
        <f t="shared" si="52"/>
        <v>OK</v>
      </c>
    </row>
    <row r="3427" spans="1:4" x14ac:dyDescent="0.2">
      <c r="A3427" s="5">
        <v>3366</v>
      </c>
      <c r="B3427" s="138">
        <f>'Assets-Liab 5-6'!I4</f>
        <v>365141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14364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151983</v>
      </c>
      <c r="C3446" s="2" t="s">
        <v>594</v>
      </c>
      <c r="D3446" s="2" t="str">
        <f t="shared" si="52"/>
        <v>Error?</v>
      </c>
    </row>
    <row r="3447" spans="1:4" x14ac:dyDescent="0.2">
      <c r="A3447" s="5">
        <v>3386</v>
      </c>
      <c r="B3447" s="138">
        <f>'Tax Sched 23'!D16</f>
        <v>66111.259999999995</v>
      </c>
      <c r="C3447" s="2" t="s">
        <v>594</v>
      </c>
      <c r="D3447" s="2" t="str">
        <f t="shared" si="52"/>
        <v>Error?</v>
      </c>
    </row>
    <row r="3448" spans="1:4" x14ac:dyDescent="0.2">
      <c r="A3448" s="5">
        <v>3387</v>
      </c>
      <c r="B3448" s="138">
        <f>'Tax Sched 23'!C16</f>
        <v>85871.74</v>
      </c>
      <c r="D3448" s="2" t="str">
        <f t="shared" si="52"/>
        <v>Error?</v>
      </c>
    </row>
    <row r="3449" spans="1:4" x14ac:dyDescent="0.2">
      <c r="A3449" s="5">
        <v>3388</v>
      </c>
      <c r="B3449" s="138">
        <f>'Tax Sched 23'!F16</f>
        <v>66912.259999999995</v>
      </c>
      <c r="C3449" s="2" t="s">
        <v>594</v>
      </c>
      <c r="D3449" s="2" t="str">
        <f t="shared" si="52"/>
        <v>Error?</v>
      </c>
    </row>
    <row r="3450" spans="1:4" x14ac:dyDescent="0.2">
      <c r="A3450" s="5">
        <v>3389</v>
      </c>
      <c r="B3450" s="138">
        <f>'Tax Sched 23'!E16</f>
        <v>152784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1819427</v>
      </c>
      <c r="D3546" s="2" t="str">
        <f t="shared" si="54"/>
        <v>Error?</v>
      </c>
    </row>
    <row r="3547" spans="1:4" x14ac:dyDescent="0.2">
      <c r="A3547" s="10">
        <v>3486</v>
      </c>
      <c r="D3547" s="2" t="str">
        <f t="shared" si="54"/>
        <v>OK</v>
      </c>
    </row>
    <row r="3548" spans="1:4" x14ac:dyDescent="0.2">
      <c r="A3548" s="5">
        <v>3487</v>
      </c>
      <c r="B3548" s="138">
        <f>'Assets-Liab 5-6'!K6</f>
        <v>194658</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2014085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194658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962794</v>
      </c>
      <c r="C3565" s="2" t="s">
        <v>594</v>
      </c>
      <c r="D3565" s="2" t="str">
        <f t="shared" si="54"/>
        <v>Error?</v>
      </c>
    </row>
    <row r="3566" spans="1:4" x14ac:dyDescent="0.2">
      <c r="A3566" s="5">
        <v>3505</v>
      </c>
      <c r="B3566" s="138">
        <f>'Assets-Liab 5-6'!K38</f>
        <v>1051291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2014085</v>
      </c>
      <c r="C3568" s="2" t="s">
        <v>594</v>
      </c>
      <c r="D3568" s="2" t="str">
        <f t="shared" si="54"/>
        <v>Error?</v>
      </c>
    </row>
    <row r="3569" spans="1:4" x14ac:dyDescent="0.2">
      <c r="A3569" s="5">
        <v>3508</v>
      </c>
      <c r="B3569" s="138">
        <f>'Acct Summary 7-8'!K4</f>
        <v>295698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295698</v>
      </c>
      <c r="C3571" s="2" t="s">
        <v>594</v>
      </c>
      <c r="D3571" s="2" t="str">
        <f t="shared" si="54"/>
        <v>Error?</v>
      </c>
    </row>
    <row r="3572" spans="1:4" x14ac:dyDescent="0.2">
      <c r="A3572" s="5">
        <v>3511</v>
      </c>
      <c r="B3572" s="138">
        <f>'Acct Summary 7-8'!K13</f>
        <v>648136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648136</v>
      </c>
      <c r="C3575" s="2" t="s">
        <v>594</v>
      </c>
      <c r="D3575" s="2" t="str">
        <f t="shared" si="54"/>
        <v>Error?</v>
      </c>
    </row>
    <row r="3576" spans="1:4" x14ac:dyDescent="0.2">
      <c r="A3576" s="5">
        <v>3515</v>
      </c>
      <c r="B3576" s="138">
        <f>'Acct Summary 7-8'!K20</f>
        <v>-352438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-352438</v>
      </c>
      <c r="C3588" s="2" t="s">
        <v>594</v>
      </c>
      <c r="D3588" s="2" t="str">
        <f t="shared" si="55"/>
        <v>Error?</v>
      </c>
    </row>
    <row r="3589" spans="1:4" x14ac:dyDescent="0.2">
      <c r="A3589" s="5">
        <v>3528</v>
      </c>
      <c r="B3589" s="138">
        <f>'Acct Summary 7-8'!K79</f>
        <v>1403729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1051291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648136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648136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648136</v>
      </c>
      <c r="C3649" s="2" t="s">
        <v>594</v>
      </c>
      <c r="D3649" s="2" t="str">
        <f t="shared" si="56"/>
        <v>Error?</v>
      </c>
    </row>
    <row r="3650" spans="1:4" x14ac:dyDescent="0.2">
      <c r="A3650" s="5">
        <v>3589</v>
      </c>
      <c r="B3650" s="138">
        <f>'Expenditures 15-22'!G367</f>
        <v>648136</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648136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648136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648136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648136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-352438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9014262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29533497</v>
      </c>
      <c r="C4122" s="2" t="s">
        <v>594</v>
      </c>
      <c r="D4122" s="2" t="str">
        <f t="shared" si="63"/>
        <v>Error?</v>
      </c>
    </row>
    <row r="4123" spans="1:4" x14ac:dyDescent="0.2">
      <c r="A4123" s="5">
        <v>4062</v>
      </c>
      <c r="B4123" s="138">
        <f>'Acct Summary 7-8'!D10</f>
        <v>2055140</v>
      </c>
      <c r="C4123" s="2" t="s">
        <v>594</v>
      </c>
      <c r="D4123" s="2" t="str">
        <f t="shared" si="63"/>
        <v>Error?</v>
      </c>
    </row>
    <row r="4124" spans="1:4" x14ac:dyDescent="0.2">
      <c r="A4124" s="5">
        <v>4063</v>
      </c>
      <c r="B4124" s="138">
        <f>'Acct Summary 7-8'!E10</f>
        <v>1108279</v>
      </c>
      <c r="C4124" s="2" t="s">
        <v>594</v>
      </c>
      <c r="D4124" s="2" t="str">
        <f t="shared" si="63"/>
        <v>Error?</v>
      </c>
    </row>
    <row r="4125" spans="1:4" x14ac:dyDescent="0.2">
      <c r="A4125" s="5">
        <v>4064</v>
      </c>
      <c r="B4125" s="138">
        <f>'Acct Summary 7-8'!F10</f>
        <v>1030657</v>
      </c>
      <c r="C4125" s="2" t="s">
        <v>594</v>
      </c>
      <c r="D4125" s="2" t="str">
        <f t="shared" si="63"/>
        <v>Error?</v>
      </c>
    </row>
    <row r="4126" spans="1:4" x14ac:dyDescent="0.2">
      <c r="A4126" s="5">
        <v>4065</v>
      </c>
      <c r="B4126" s="138">
        <f>'Acct Summary 7-8'!G10</f>
        <v>385359</v>
      </c>
      <c r="C4126" s="2" t="s">
        <v>594</v>
      </c>
      <c r="D4126" s="2" t="str">
        <f t="shared" si="63"/>
        <v>Error?</v>
      </c>
    </row>
    <row r="4127" spans="1:4" x14ac:dyDescent="0.2">
      <c r="A4127" s="5">
        <v>4066</v>
      </c>
      <c r="B4127" s="138">
        <f>'Acct Summary 7-8'!H10</f>
        <v>48937</v>
      </c>
      <c r="C4127" s="2" t="s">
        <v>594</v>
      </c>
      <c r="D4127" s="2" t="str">
        <f t="shared" si="63"/>
        <v>Error?</v>
      </c>
    </row>
    <row r="4128" spans="1:4" x14ac:dyDescent="0.2">
      <c r="A4128" s="5">
        <v>4067</v>
      </c>
      <c r="B4128" s="138">
        <f>'Acct Summary 7-8'!I10</f>
        <v>268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295698</v>
      </c>
      <c r="C4130" s="2" t="s">
        <v>594</v>
      </c>
      <c r="D4130" s="2" t="str">
        <f t="shared" si="63"/>
        <v>Error?</v>
      </c>
    </row>
    <row r="4131" spans="1:4" x14ac:dyDescent="0.2">
      <c r="A4131" s="5">
        <v>4070</v>
      </c>
      <c r="B4131" s="138">
        <f>'Acct Summary 7-8'!C18</f>
        <v>9014262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28311537</v>
      </c>
      <c r="C4136" s="2" t="s">
        <v>594</v>
      </c>
      <c r="D4136" s="2" t="str">
        <f t="shared" si="63"/>
        <v>Error?</v>
      </c>
    </row>
    <row r="4137" spans="1:4" x14ac:dyDescent="0.2">
      <c r="A4137" s="5">
        <v>4076</v>
      </c>
      <c r="B4137" s="138">
        <f>'Acct Summary 7-8'!D19</f>
        <v>2071684</v>
      </c>
      <c r="C4137" s="2" t="s">
        <v>594</v>
      </c>
      <c r="D4137" s="2" t="str">
        <f t="shared" si="63"/>
        <v>Error?</v>
      </c>
    </row>
    <row r="4138" spans="1:4" x14ac:dyDescent="0.2">
      <c r="A4138" s="5">
        <v>4077</v>
      </c>
      <c r="B4138" s="138">
        <f>'Acct Summary 7-8'!E19</f>
        <v>1048663</v>
      </c>
      <c r="C4138" s="2" t="s">
        <v>594</v>
      </c>
      <c r="D4138" s="2" t="str">
        <f t="shared" si="63"/>
        <v>Error?</v>
      </c>
    </row>
    <row r="4139" spans="1:4" x14ac:dyDescent="0.2">
      <c r="A4139" s="5">
        <v>4078</v>
      </c>
      <c r="B4139" s="138">
        <f>'Acct Summary 7-8'!F19</f>
        <v>1144879</v>
      </c>
      <c r="C4139" s="2" t="s">
        <v>594</v>
      </c>
      <c r="D4139" s="2" t="str">
        <f t="shared" si="63"/>
        <v>Error?</v>
      </c>
    </row>
    <row r="4140" spans="1:4" x14ac:dyDescent="0.2">
      <c r="A4140" s="5">
        <v>4079</v>
      </c>
      <c r="B4140" s="138">
        <f>'Acct Summary 7-8'!G19</f>
        <v>554495</v>
      </c>
      <c r="C4140" s="2" t="s">
        <v>594</v>
      </c>
      <c r="D4140" s="2" t="str">
        <f t="shared" si="63"/>
        <v>Error?</v>
      </c>
    </row>
    <row r="4141" spans="1:4" x14ac:dyDescent="0.2">
      <c r="A4141" s="5">
        <v>4080</v>
      </c>
      <c r="B4141" s="138">
        <f>'Acct Summary 7-8'!H19</f>
        <v>7090165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648136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10435000</v>
      </c>
      <c r="C4171" s="2" t="s">
        <v>594</v>
      </c>
      <c r="D4171" s="2" t="str">
        <f t="shared" si="64"/>
        <v>Error?</v>
      </c>
    </row>
    <row r="4172" spans="1:4" x14ac:dyDescent="0.2">
      <c r="A4172" s="5">
        <v>4111</v>
      </c>
      <c r="B4172" s="138">
        <f>'Short-Term Long-Term Debt 24'!J49</f>
        <v>9845768</v>
      </c>
      <c r="C4172" s="2" t="s">
        <v>594</v>
      </c>
      <c r="D4172" s="2" t="str">
        <f t="shared" si="64"/>
        <v>Error?</v>
      </c>
    </row>
    <row r="4173" spans="1:4" x14ac:dyDescent="0.2">
      <c r="A4173" s="5">
        <v>4112</v>
      </c>
      <c r="B4173" s="138">
        <f>'Short-Term Long-Term Debt 24'!H49</f>
        <v>685000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2563.6999999999998</v>
      </c>
      <c r="C4265" s="2" t="s">
        <v>594</v>
      </c>
      <c r="D4265" s="2" t="str">
        <f t="shared" si="65"/>
        <v>Error?</v>
      </c>
      <c r="E4265" s="128"/>
    </row>
    <row r="4266" spans="1:5" x14ac:dyDescent="0.2">
      <c r="A4266" s="12">
        <v>4205</v>
      </c>
      <c r="B4266" s="138">
        <f>('FP Info 3'!F10)*100000</f>
        <v>28.8</v>
      </c>
      <c r="C4266" s="2" t="s">
        <v>594</v>
      </c>
      <c r="D4266" s="2" t="str">
        <f t="shared" si="65"/>
        <v>Error?</v>
      </c>
      <c r="E4266" s="128"/>
    </row>
    <row r="4267" spans="1:5" x14ac:dyDescent="0.2">
      <c r="A4267" s="12">
        <v>4206</v>
      </c>
      <c r="B4267" s="138">
        <f>('FP Info 3'!H10)*100000</f>
        <v>75.900000000000006</v>
      </c>
      <c r="C4267" s="2" t="s">
        <v>594</v>
      </c>
      <c r="D4267" s="2" t="str">
        <f t="shared" si="65"/>
        <v>Error?</v>
      </c>
      <c r="E4267" s="128"/>
    </row>
    <row r="4268" spans="1:5" x14ac:dyDescent="0.2">
      <c r="A4268" s="12">
        <v>4207</v>
      </c>
      <c r="B4268" s="138">
        <f>('FP Info 3'!J10)*100000</f>
        <v>2668</v>
      </c>
      <c r="C4268" s="2" t="s">
        <v>594</v>
      </c>
      <c r="D4268" s="2" t="str">
        <f t="shared" si="65"/>
        <v>Error?</v>
      </c>
    </row>
    <row r="4269" spans="1:5" x14ac:dyDescent="0.2">
      <c r="A4269" s="12">
        <v>4208</v>
      </c>
      <c r="B4269" s="138">
        <f>'FP Info 3'!J16</f>
        <v>18017436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15519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4880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2237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670106010</v>
      </c>
      <c r="D4995" s="2" t="str">
        <f t="shared" si="77"/>
        <v>Error?</v>
      </c>
    </row>
    <row r="4996" spans="1:4" x14ac:dyDescent="0.2">
      <c r="A4996" s="12">
        <v>4935</v>
      </c>
      <c r="B4996" s="138">
        <f>'FP Info 3'!H31</f>
        <v>46237314.690000005</v>
      </c>
      <c r="D4996" s="2" t="str">
        <f t="shared" si="77"/>
        <v>Error?</v>
      </c>
    </row>
    <row r="4997" spans="1:4" x14ac:dyDescent="0.2">
      <c r="A4997" s="12">
        <v>4936</v>
      </c>
      <c r="B4997" s="138">
        <f>'FP Info 3'!H37</f>
        <v>10435000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17105888</v>
      </c>
      <c r="D5061" s="2" t="str">
        <f t="shared" si="78"/>
        <v>Error?</v>
      </c>
    </row>
    <row r="5062" spans="1:4" x14ac:dyDescent="0.2">
      <c r="A5062" s="10">
        <v>5001</v>
      </c>
      <c r="D5062" s="2" t="str">
        <f t="shared" si="78"/>
        <v>OK</v>
      </c>
    </row>
    <row r="5063" spans="1:4" x14ac:dyDescent="0.2">
      <c r="A5063" s="5">
        <v>5002</v>
      </c>
      <c r="B5063" s="138">
        <f>'Revenues 9-14'!C7</f>
        <v>303590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17409478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388512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388512</v>
      </c>
      <c r="C5071" s="2" t="s">
        <v>594</v>
      </c>
      <c r="D5071" s="2" t="str">
        <f t="shared" si="78"/>
        <v>Error?</v>
      </c>
    </row>
    <row r="5072" spans="1:4" x14ac:dyDescent="0.2">
      <c r="A5072" s="5">
        <v>5011</v>
      </c>
      <c r="B5072" s="138">
        <f>'Revenues 9-14'!C20</f>
        <v>202350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41748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244098</v>
      </c>
      <c r="C5087" s="2" t="s">
        <v>594</v>
      </c>
      <c r="D5087" s="2" t="str">
        <f t="shared" si="78"/>
        <v>Error?</v>
      </c>
    </row>
    <row r="5088" spans="1:4" x14ac:dyDescent="0.2">
      <c r="A5088" s="5">
        <v>5027</v>
      </c>
      <c r="B5088" s="138">
        <f>'Revenues 9-14'!C65</f>
        <v>111198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111198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290409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96959</v>
      </c>
      <c r="D5099" s="2" t="str">
        <f t="shared" si="78"/>
        <v>Error?</v>
      </c>
    </row>
    <row r="5100" spans="1:4" x14ac:dyDescent="0.2">
      <c r="A5100" s="5">
        <v>5039</v>
      </c>
      <c r="B5100" s="138">
        <f>'Revenues 9-14'!C80</f>
        <v>3313</v>
      </c>
      <c r="D5100" s="2" t="str">
        <f t="shared" si="78"/>
        <v>Error?</v>
      </c>
    </row>
    <row r="5101" spans="1:4" x14ac:dyDescent="0.2">
      <c r="A5101" s="5">
        <v>5040</v>
      </c>
      <c r="B5101" s="138">
        <f>'Revenues 9-14'!C81</f>
        <v>32080</v>
      </c>
      <c r="D5101" s="2" t="str">
        <f t="shared" si="78"/>
        <v>Error?</v>
      </c>
    </row>
    <row r="5102" spans="1:4" x14ac:dyDescent="0.2">
      <c r="A5102" s="5">
        <v>5041</v>
      </c>
      <c r="B5102" s="138">
        <f>'Revenues 9-14'!C82</f>
        <v>132352</v>
      </c>
      <c r="C5102" s="2" t="s">
        <v>594</v>
      </c>
      <c r="D5102" s="2" t="str">
        <f t="shared" si="78"/>
        <v>Error?</v>
      </c>
    </row>
    <row r="5103" spans="1:4" x14ac:dyDescent="0.2">
      <c r="A5103" s="5">
        <v>5042</v>
      </c>
      <c r="B5103" s="138">
        <f>'Revenues 9-14'!C84</f>
        <v>45167</v>
      </c>
      <c r="D5103" s="2" t="str">
        <f t="shared" si="78"/>
        <v>Error?</v>
      </c>
    </row>
    <row r="5104" spans="1:4" x14ac:dyDescent="0.2">
      <c r="A5104" s="5">
        <v>5043</v>
      </c>
      <c r="B5104" s="138">
        <f>'Revenues 9-14'!C85</f>
        <v>38814</v>
      </c>
      <c r="D5104" s="2" t="str">
        <f t="shared" si="78"/>
        <v>Error?</v>
      </c>
    </row>
    <row r="5105" spans="1:4" x14ac:dyDescent="0.2">
      <c r="A5105" s="5">
        <v>5044</v>
      </c>
      <c r="B5105" s="138">
        <f>'Revenues 9-14'!C86</f>
        <v>12671</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1905</v>
      </c>
      <c r="D5107" s="2" t="str">
        <f t="shared" si="78"/>
        <v>Error?</v>
      </c>
    </row>
    <row r="5108" spans="1:4" x14ac:dyDescent="0.2">
      <c r="A5108" s="5">
        <v>5047</v>
      </c>
      <c r="B5108" s="138">
        <f>'Revenues 9-14'!C89</f>
        <v>2295</v>
      </c>
      <c r="D5108" s="2" t="str">
        <f t="shared" si="78"/>
        <v>Error?</v>
      </c>
    </row>
    <row r="5109" spans="1:4" x14ac:dyDescent="0.2">
      <c r="A5109" s="5">
        <v>5048</v>
      </c>
      <c r="B5109" s="138">
        <f>'Revenues 9-14'!C90</f>
        <v>4100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10</v>
      </c>
      <c r="D5111" s="2" t="str">
        <f t="shared" si="78"/>
        <v>Error?</v>
      </c>
    </row>
    <row r="5112" spans="1:4" x14ac:dyDescent="0.2">
      <c r="A5112" s="5">
        <v>5051</v>
      </c>
      <c r="B5112" s="138">
        <f>'Revenues 9-14'!C93</f>
        <v>104962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251393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43363</v>
      </c>
      <c r="D5119" s="2" t="str">
        <f t="shared" ref="D5119:D5182" si="79">IF(ISBLANK(B5119),"OK",IF(A5119-B5119=0,"OK","Error?"))</f>
        <v>Error?</v>
      </c>
    </row>
    <row r="5120" spans="1:4" x14ac:dyDescent="0.2">
      <c r="A5120" s="5">
        <v>5059</v>
      </c>
      <c r="B5120" s="138">
        <f>'Revenues 9-14'!C108</f>
        <v>294756</v>
      </c>
      <c r="C5120" s="2" t="s">
        <v>594</v>
      </c>
      <c r="D5120" s="2" t="str">
        <f t="shared" si="79"/>
        <v>Error?</v>
      </c>
    </row>
    <row r="5121" spans="1:4" x14ac:dyDescent="0.2">
      <c r="A5121" s="5">
        <v>5060</v>
      </c>
      <c r="B5121" s="138">
        <f>'Revenues 9-14'!C109</f>
        <v>18975765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1159947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1159947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1705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1705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3925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3925</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7867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1167814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19915</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19915</v>
      </c>
      <c r="C5246" s="2" t="s">
        <v>594</v>
      </c>
      <c r="D5246" s="2" t="str">
        <f t="shared" si="80"/>
        <v>Error?</v>
      </c>
    </row>
    <row r="5247" spans="1:4" x14ac:dyDescent="0.2">
      <c r="A5247" s="5">
        <v>5186</v>
      </c>
      <c r="B5247" s="138">
        <f>'Revenues 9-14'!C203</f>
        <v>335342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335342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375656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375656</v>
      </c>
      <c r="C5326" s="2" t="s">
        <v>594</v>
      </c>
      <c r="D5326" s="2" t="str">
        <f t="shared" si="82"/>
        <v>Error?</v>
      </c>
    </row>
    <row r="5327" spans="1:4" x14ac:dyDescent="0.2">
      <c r="A5327" s="5">
        <v>5266</v>
      </c>
      <c r="B5327" s="138">
        <f>'Revenues 9-14'!C275</f>
        <v>20519235</v>
      </c>
      <c r="C5327" s="2" t="s">
        <v>594</v>
      </c>
      <c r="D5327" s="2" t="str">
        <f t="shared" si="82"/>
        <v>Error?</v>
      </c>
    </row>
    <row r="5328" spans="1:4" x14ac:dyDescent="0.2">
      <c r="A5328" s="5">
        <v>5267</v>
      </c>
      <c r="B5328" s="138">
        <f>'Revenues 9-14'!D5</f>
        <v>1923017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1923017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1955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1955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125139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2590</v>
      </c>
      <c r="D5354" s="2" t="str">
        <f t="shared" si="82"/>
        <v>Error?</v>
      </c>
    </row>
    <row r="5355" spans="1:4" x14ac:dyDescent="0.2">
      <c r="A5355" s="5">
        <v>5294</v>
      </c>
      <c r="B5355" s="138">
        <f>'Revenues 9-14'!D108</f>
        <v>130168</v>
      </c>
      <c r="C5355" s="2" t="s">
        <v>594</v>
      </c>
      <c r="D5355" s="2" t="str">
        <f t="shared" si="82"/>
        <v>Error?</v>
      </c>
    </row>
    <row r="5356" spans="1:4" x14ac:dyDescent="0.2">
      <c r="A5356" s="5">
        <v>5295</v>
      </c>
      <c r="B5356" s="138">
        <f>'Revenues 9-14'!D109</f>
        <v>2055140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2055140</v>
      </c>
      <c r="C5508" s="2" t="s">
        <v>594</v>
      </c>
      <c r="D5508" s="2" t="str">
        <f t="shared" si="85"/>
        <v>Error?</v>
      </c>
    </row>
    <row r="5509" spans="1:4" x14ac:dyDescent="0.2">
      <c r="A5509" s="5">
        <v>5448</v>
      </c>
      <c r="B5509" s="138">
        <f>'Revenues 9-14'!E5</f>
        <v>1107164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1107164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1115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1108279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1108279</v>
      </c>
      <c r="C5552" s="2" t="s">
        <v>594</v>
      </c>
      <c r="D5552" s="2" t="str">
        <f t="shared" si="85"/>
        <v>Error?</v>
      </c>
    </row>
    <row r="5553" spans="1:4" x14ac:dyDescent="0.2">
      <c r="A5553" s="5">
        <v>5492</v>
      </c>
      <c r="B5553" s="138">
        <f>'Revenues 9-14'!F5</f>
        <v>506323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506323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140644</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140644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791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791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647758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152782</v>
      </c>
      <c r="D5615" s="2" t="str">
        <f t="shared" si="86"/>
        <v>Error?</v>
      </c>
    </row>
    <row r="5616" spans="1:4" x14ac:dyDescent="0.2">
      <c r="A5616" s="10">
        <v>5555</v>
      </c>
      <c r="D5616" s="2" t="str">
        <f t="shared" si="86"/>
        <v>OK</v>
      </c>
    </row>
    <row r="5617" spans="1:4" x14ac:dyDescent="0.2">
      <c r="A5617" s="5">
        <v>5556</v>
      </c>
      <c r="B5617" s="138">
        <f>'Revenues 9-14'!F152</f>
        <v>230117</v>
      </c>
      <c r="D5617" s="2" t="str">
        <f t="shared" si="86"/>
        <v>Error?</v>
      </c>
    </row>
    <row r="5618" spans="1:4" x14ac:dyDescent="0.2">
      <c r="A5618" s="5">
        <v>5557</v>
      </c>
      <c r="B5618" s="138">
        <f>'Revenues 9-14'!F154</f>
        <v>382899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382899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382899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1030657</v>
      </c>
      <c r="C5720" s="2" t="s">
        <v>594</v>
      </c>
      <c r="D5720" s="2" t="str">
        <f t="shared" si="88"/>
        <v>Error?</v>
      </c>
    </row>
    <row r="5721" spans="1:4" x14ac:dyDescent="0.2">
      <c r="A5721" s="5">
        <v>5660</v>
      </c>
      <c r="B5721" s="138">
        <f>'Revenues 9-14'!G5</f>
        <v>176836</v>
      </c>
      <c r="D5721" s="2" t="str">
        <f t="shared" si="88"/>
        <v>Error?</v>
      </c>
    </row>
    <row r="5722" spans="1:4" x14ac:dyDescent="0.2">
      <c r="A5722" s="5">
        <v>5661</v>
      </c>
      <c r="B5722" s="138">
        <f>'Revenues 9-14'!G7</f>
        <v>0</v>
      </c>
      <c r="D5722" s="2" t="str">
        <f t="shared" si="88"/>
        <v>Error?</v>
      </c>
    </row>
    <row r="5723" spans="1:4" x14ac:dyDescent="0.2">
      <c r="A5723" s="5">
        <v>5662</v>
      </c>
      <c r="B5723" s="138">
        <f>'Revenues 9-14'!G8</f>
        <v>151983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328819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52090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52090</v>
      </c>
      <c r="C5730" s="2" t="s">
        <v>594</v>
      </c>
      <c r="D5730" s="2" t="str">
        <f t="shared" si="88"/>
        <v>Error?</v>
      </c>
    </row>
    <row r="5731" spans="1:4" x14ac:dyDescent="0.2">
      <c r="A5731" s="5">
        <v>5670</v>
      </c>
      <c r="B5731" s="138">
        <f>'Revenues 9-14'!G65</f>
        <v>4450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4450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385359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3937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3937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45000</v>
      </c>
      <c r="D5885" s="2" t="str">
        <f t="shared" si="90"/>
        <v>Error?</v>
      </c>
    </row>
    <row r="5886" spans="1:4" x14ac:dyDescent="0.2">
      <c r="A5886" s="5">
        <v>5825</v>
      </c>
      <c r="B5886" s="138">
        <f>'Revenues 9-14'!H108</f>
        <v>45000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48937</v>
      </c>
      <c r="C5915" s="2" t="s">
        <v>594</v>
      </c>
      <c r="D5915" s="2" t="str">
        <f t="shared" si="91"/>
        <v>Error?</v>
      </c>
    </row>
    <row r="5916" spans="1:4" x14ac:dyDescent="0.2">
      <c r="A5916" s="5">
        <v>5855</v>
      </c>
      <c r="B5916" s="138">
        <f>'Revenues 9-14'!I5</f>
        <v>668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668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268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310173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310173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-14475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-14475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295698</v>
      </c>
      <c r="C6023" s="2" t="s">
        <v>594</v>
      </c>
      <c r="D6023" s="2" t="str">
        <f t="shared" si="93"/>
        <v>Error?</v>
      </c>
    </row>
    <row r="6024" spans="1:5" x14ac:dyDescent="0.2">
      <c r="A6024" s="5">
        <v>5963</v>
      </c>
      <c r="B6024" s="138">
        <f>'Revenues 9-14'!G109</f>
        <v>385359</v>
      </c>
      <c r="C6024" s="2" t="s">
        <v>594</v>
      </c>
      <c r="D6024" s="2" t="str">
        <f t="shared" si="93"/>
        <v>Error?</v>
      </c>
    </row>
    <row r="6025" spans="1:5" x14ac:dyDescent="0.2">
      <c r="A6025" s="5">
        <v>5964</v>
      </c>
      <c r="B6025" s="138">
        <f>'Revenues 9-14'!H109</f>
        <v>48937</v>
      </c>
      <c r="C6025" s="2" t="s">
        <v>594</v>
      </c>
      <c r="D6025" s="2" t="str">
        <f t="shared" si="93"/>
        <v>Error?</v>
      </c>
    </row>
    <row r="6026" spans="1:5" x14ac:dyDescent="0.2">
      <c r="A6026" s="5">
        <v>5965</v>
      </c>
      <c r="B6026" s="138">
        <f>'Revenues 9-14'!I109</f>
        <v>268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295698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290409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1209.27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1500000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382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96614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86881</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134680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380261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355078</v>
      </c>
      <c r="D6142" s="2" t="str">
        <f t="shared" si="94"/>
        <v>Error?</v>
      </c>
      <c r="E6142" s="2" t="s">
        <v>199</v>
      </c>
    </row>
    <row r="6143" spans="1:5" x14ac:dyDescent="0.2">
      <c r="A6143">
        <v>6082</v>
      </c>
      <c r="B6143" s="138">
        <f>'Assets-Liab 5-6'!D27</f>
        <v>146047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71646</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1060462</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5162</v>
      </c>
      <c r="D6149" s="2" t="str">
        <f t="shared" si="95"/>
        <v>Error?</v>
      </c>
      <c r="E6149" s="2" t="s">
        <v>199</v>
      </c>
    </row>
    <row r="6150" spans="1:5" x14ac:dyDescent="0.2">
      <c r="A6150">
        <v>6089</v>
      </c>
      <c r="B6150" s="138">
        <f>'Assets-Liab 5-6'!K27</f>
        <v>768136</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287</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1500000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5449</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374812</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380261</v>
      </c>
      <c r="D6216" s="2" t="str">
        <f t="shared" si="96"/>
        <v>Error?</v>
      </c>
      <c r="E6216" s="2" t="s">
        <v>199</v>
      </c>
    </row>
    <row r="6217" spans="1:5" x14ac:dyDescent="0.2">
      <c r="A6217">
        <v>6156</v>
      </c>
      <c r="B6217" s="138">
        <f>'Assets-Liab 5-6'!J4</f>
        <v>245294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287</v>
      </c>
      <c r="D6219" s="2" t="str">
        <f t="shared" si="96"/>
        <v>Error?</v>
      </c>
      <c r="E6219" s="2" t="s">
        <v>199</v>
      </c>
    </row>
    <row r="6220" spans="1:5" x14ac:dyDescent="0.2">
      <c r="A6220">
        <v>6159</v>
      </c>
      <c r="B6220" s="138">
        <f>'Acct Summary 7-8'!J4</f>
        <v>22752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22752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22752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212535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212535</v>
      </c>
      <c r="D6229" s="2" t="str">
        <f t="shared" si="96"/>
        <v>Error?</v>
      </c>
      <c r="E6229" s="2" t="s">
        <v>199</v>
      </c>
    </row>
    <row r="6230" spans="1:5" x14ac:dyDescent="0.2">
      <c r="A6230">
        <v>6169</v>
      </c>
      <c r="B6230" s="138">
        <f>'Acct Summary 7-8'!J20</f>
        <v>-189783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1000000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1000000</v>
      </c>
      <c r="D6261" s="2" t="str">
        <f t="shared" si="96"/>
        <v>Error?</v>
      </c>
      <c r="E6261" s="2" t="s">
        <v>199</v>
      </c>
    </row>
    <row r="6262" spans="1:5" x14ac:dyDescent="0.2">
      <c r="A6262">
        <v>6201</v>
      </c>
      <c r="B6262" s="138">
        <f>'Acct Summary 7-8'!J77</f>
        <v>-1000000</v>
      </c>
      <c r="D6262" s="2" t="str">
        <f t="shared" si="96"/>
        <v>Error?</v>
      </c>
      <c r="E6262" s="2" t="s">
        <v>199</v>
      </c>
    </row>
    <row r="6263" spans="1:5" x14ac:dyDescent="0.2">
      <c r="A6263">
        <v>6202</v>
      </c>
      <c r="B6263" s="138">
        <f>'Acct Summary 7-8'!J78</f>
        <v>-1189783</v>
      </c>
      <c r="D6263" s="2" t="str">
        <f t="shared" si="96"/>
        <v>Error?</v>
      </c>
      <c r="E6263" s="2" t="s">
        <v>199</v>
      </c>
    </row>
    <row r="6264" spans="1:5" x14ac:dyDescent="0.2">
      <c r="A6264">
        <v>6203</v>
      </c>
      <c r="B6264" s="138">
        <f>'Acct Summary 7-8'!J79</f>
        <v>1564595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374812</v>
      </c>
      <c r="D6266" s="2" t="str">
        <f t="shared" si="96"/>
        <v>Error?</v>
      </c>
      <c r="E6266" s="2" t="s">
        <v>199</v>
      </c>
    </row>
    <row r="6267" spans="1:5" x14ac:dyDescent="0.2">
      <c r="A6267">
        <v>6206</v>
      </c>
      <c r="B6267" s="138">
        <f>'Acct Summary 7-8'!C82</f>
        <v>-2278040</v>
      </c>
      <c r="D6267" s="2" t="str">
        <f t="shared" si="96"/>
        <v>Error?</v>
      </c>
      <c r="E6267" s="2" t="s">
        <v>199</v>
      </c>
    </row>
    <row r="6268" spans="1:5" x14ac:dyDescent="0.2">
      <c r="A6268">
        <v>6207</v>
      </c>
      <c r="B6268" s="138">
        <f>'Acct Summary 7-8'!D82</f>
        <v>-1516544</v>
      </c>
      <c r="D6268" s="2" t="str">
        <f t="shared" si="96"/>
        <v>Error?</v>
      </c>
      <c r="E6268" s="2" t="s">
        <v>199</v>
      </c>
    </row>
    <row r="6269" spans="1:5" x14ac:dyDescent="0.2">
      <c r="A6269">
        <v>6208</v>
      </c>
      <c r="B6269" s="138">
        <f>'Acct Summary 7-8'!E82</f>
        <v>59616</v>
      </c>
      <c r="D6269" s="2" t="str">
        <f t="shared" si="96"/>
        <v>Error?</v>
      </c>
      <c r="E6269" s="2" t="s">
        <v>199</v>
      </c>
    </row>
    <row r="6270" spans="1:5" x14ac:dyDescent="0.2">
      <c r="A6270">
        <v>6209</v>
      </c>
      <c r="B6270" s="138">
        <f>'Acct Summary 7-8'!F82</f>
        <v>-114222</v>
      </c>
      <c r="D6270" s="2" t="str">
        <f t="shared" si="96"/>
        <v>Error?</v>
      </c>
      <c r="E6270" s="2" t="s">
        <v>199</v>
      </c>
    </row>
    <row r="6271" spans="1:5" x14ac:dyDescent="0.2">
      <c r="A6271">
        <v>6210</v>
      </c>
      <c r="B6271" s="138">
        <f>'Acct Summary 7-8'!G82</f>
        <v>-169136</v>
      </c>
      <c r="D6271" s="2" t="str">
        <f t="shared" ref="D6271:D6334" si="97">IF(ISBLANK(B6271),"OK",IF(A6271-B6271=0,"OK","Error?"))</f>
        <v>Error?</v>
      </c>
      <c r="E6271" s="2" t="s">
        <v>199</v>
      </c>
    </row>
    <row r="6272" spans="1:5" x14ac:dyDescent="0.2">
      <c r="A6272">
        <v>6211</v>
      </c>
      <c r="B6272" s="138">
        <f>'Acct Summary 7-8'!H82</f>
        <v>-1041228</v>
      </c>
      <c r="D6272" s="2" t="str">
        <f t="shared" si="97"/>
        <v>Error?</v>
      </c>
      <c r="E6272" s="2" t="s">
        <v>199</v>
      </c>
    </row>
    <row r="6273" spans="1:5" x14ac:dyDescent="0.2">
      <c r="A6273">
        <v>6212</v>
      </c>
      <c r="B6273" s="138">
        <f>'Acct Summary 7-8'!I82</f>
        <v>268</v>
      </c>
      <c r="D6273" s="2" t="str">
        <f t="shared" si="97"/>
        <v>Error?</v>
      </c>
      <c r="E6273" s="2" t="s">
        <v>199</v>
      </c>
    </row>
    <row r="6274" spans="1:5" x14ac:dyDescent="0.2">
      <c r="A6274">
        <v>6213</v>
      </c>
      <c r="B6274" s="138">
        <f>'Acct Summary 7-8'!J82</f>
        <v>-1189783</v>
      </c>
      <c r="D6274" s="2" t="str">
        <f t="shared" si="97"/>
        <v>Error?</v>
      </c>
      <c r="E6274" s="2" t="s">
        <v>199</v>
      </c>
    </row>
    <row r="6275" spans="1:5" x14ac:dyDescent="0.2">
      <c r="A6275">
        <v>6214</v>
      </c>
      <c r="B6275" s="138">
        <f>'Acct Summary 7-8'!K82</f>
        <v>-352438</v>
      </c>
      <c r="D6275" s="2" t="str">
        <f t="shared" si="97"/>
        <v>Error?</v>
      </c>
      <c r="E6275" s="2" t="s">
        <v>199</v>
      </c>
    </row>
    <row r="6276" spans="1:5" x14ac:dyDescent="0.2">
      <c r="A6276">
        <v>6215</v>
      </c>
      <c r="B6276" s="138">
        <f>'Acct Summary 7-8'!C83</f>
        <v>-0.14624763282653447</v>
      </c>
      <c r="D6276" s="2" t="str">
        <f t="shared" si="97"/>
        <v>Error?</v>
      </c>
      <c r="E6276" s="2" t="s">
        <v>199</v>
      </c>
    </row>
    <row r="6277" spans="1:5" x14ac:dyDescent="0.2">
      <c r="A6277">
        <v>6216</v>
      </c>
      <c r="B6277" s="138">
        <f>'Acct Summary 7-8'!D83</f>
        <v>-1.8898545234315223</v>
      </c>
      <c r="D6277" s="2" t="str">
        <f t="shared" si="97"/>
        <v>Error?</v>
      </c>
      <c r="E6277" s="2" t="s">
        <v>199</v>
      </c>
    </row>
    <row r="6278" spans="1:5" x14ac:dyDescent="0.2">
      <c r="A6278">
        <v>6217</v>
      </c>
      <c r="B6278" s="138">
        <f>'Acct Summary 7-8'!E83</f>
        <v>0.10117576777907514</v>
      </c>
      <c r="D6278" s="2" t="str">
        <f t="shared" si="97"/>
        <v>Error?</v>
      </c>
      <c r="E6278" s="2" t="s">
        <v>199</v>
      </c>
    </row>
    <row r="6279" spans="1:5" x14ac:dyDescent="0.2">
      <c r="A6279">
        <v>6218</v>
      </c>
      <c r="B6279" s="138">
        <f>'Acct Summary 7-8'!F83</f>
        <v>-8.9710069233095227E-2</v>
      </c>
      <c r="D6279" s="2" t="str">
        <f t="shared" si="97"/>
        <v>Error?</v>
      </c>
      <c r="E6279" s="2" t="s">
        <v>199</v>
      </c>
    </row>
    <row r="6280" spans="1:5" x14ac:dyDescent="0.2">
      <c r="A6280">
        <v>6219</v>
      </c>
      <c r="B6280" s="138">
        <f>'Acct Summary 7-8'!G83</f>
        <v>-0.43907365054476638</v>
      </c>
      <c r="D6280" s="2" t="str">
        <f t="shared" si="97"/>
        <v>Error?</v>
      </c>
      <c r="E6280" s="2" t="s">
        <v>199</v>
      </c>
    </row>
    <row r="6281" spans="1:5" x14ac:dyDescent="0.2">
      <c r="A6281">
        <v>6220</v>
      </c>
      <c r="B6281" s="138">
        <f>'Acct Summary 7-8'!H83</f>
        <v>22.385260351722064</v>
      </c>
      <c r="D6281" s="2" t="str">
        <f t="shared" si="97"/>
        <v>Error?</v>
      </c>
      <c r="E6281" s="2" t="s">
        <v>199</v>
      </c>
    </row>
    <row r="6282" spans="1:5" x14ac:dyDescent="0.2">
      <c r="A6282">
        <v>6221</v>
      </c>
      <c r="B6282" s="138">
        <f>'Acct Summary 7-8'!I83</f>
        <v>7.3396304441298015E-4</v>
      </c>
      <c r="D6282" s="2" t="str">
        <f t="shared" si="97"/>
        <v>Error?</v>
      </c>
      <c r="E6282" s="2" t="s">
        <v>199</v>
      </c>
    </row>
    <row r="6283" spans="1:5" x14ac:dyDescent="0.2">
      <c r="A6283">
        <v>6222</v>
      </c>
      <c r="B6283" s="138">
        <f>'Acct Summary 7-8'!J83</f>
        <v>-3.1743460721641785</v>
      </c>
      <c r="D6283" s="2" t="str">
        <f t="shared" si="97"/>
        <v>Error?</v>
      </c>
      <c r="E6283" s="2" t="s">
        <v>199</v>
      </c>
    </row>
    <row r="6284" spans="1:5" x14ac:dyDescent="0.2">
      <c r="A6284">
        <v>6223</v>
      </c>
      <c r="B6284" s="138">
        <f>'Acct Summary 7-8'!K83</f>
        <v>-0.33524304878477984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6000000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668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668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22084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22084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2439</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22752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69799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127196</v>
      </c>
      <c r="D6844" s="2" t="str">
        <f t="shared" si="105"/>
        <v>Error?</v>
      </c>
    </row>
    <row r="6845" spans="1:4" x14ac:dyDescent="0.2">
      <c r="A6845">
        <v>6784</v>
      </c>
      <c r="B6845" s="138">
        <f>'Expenditures 15-22'!J5</f>
        <v>416131</v>
      </c>
      <c r="D6845" s="2" t="str">
        <f t="shared" si="105"/>
        <v>Error?</v>
      </c>
    </row>
    <row r="6846" spans="1:4" x14ac:dyDescent="0.2">
      <c r="A6846">
        <v>6785</v>
      </c>
      <c r="B6846" s="138">
        <f>'Expenditures 15-22'!I7</f>
        <v>142</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86203</v>
      </c>
      <c r="D6848" s="2" t="str">
        <f t="shared" si="106"/>
        <v>Error?</v>
      </c>
    </row>
    <row r="6849" spans="1:4" x14ac:dyDescent="0.2">
      <c r="A6849">
        <v>6788</v>
      </c>
      <c r="B6849" s="138">
        <f>'Expenditures 15-22'!I8</f>
        <v>1428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951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128766</v>
      </c>
      <c r="D6902" s="2" t="str">
        <f t="shared" si="106"/>
        <v>Error?</v>
      </c>
    </row>
    <row r="6903" spans="1:4" x14ac:dyDescent="0.2">
      <c r="A6903">
        <v>6842</v>
      </c>
      <c r="B6903" s="138">
        <f>'Expenditures 15-22'!J33</f>
        <v>416131</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385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385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385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129151</v>
      </c>
      <c r="D7020" s="2" t="str">
        <f t="shared" si="108"/>
        <v>Error?</v>
      </c>
    </row>
    <row r="7021" spans="1:4" x14ac:dyDescent="0.2">
      <c r="A7021">
        <v>6960</v>
      </c>
      <c r="B7021" s="138">
        <f>'Expenditures 15-22'!J114</f>
        <v>416131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34864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34864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34864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212535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34864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22752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780</v>
      </c>
      <c r="D7073" s="2" t="str">
        <f t="shared" si="109"/>
        <v>Error?</v>
      </c>
    </row>
    <row r="7074" spans="1:4" x14ac:dyDescent="0.2">
      <c r="A7074">
        <v>7013</v>
      </c>
      <c r="B7074" s="138">
        <f>'Expenditures 15-22'!K216</f>
        <v>780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150513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150513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5162</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5162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207373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5162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212535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207373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5162</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212535</v>
      </c>
      <c r="D7224" s="2" t="str">
        <f t="shared" si="111"/>
        <v>Error?</v>
      </c>
    </row>
    <row r="7225" spans="1:4" x14ac:dyDescent="0.2">
      <c r="A7225">
        <v>7164</v>
      </c>
      <c r="B7225" s="138">
        <f>'Expenditures 15-22'!K343</f>
        <v>-189783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15213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479</v>
      </c>
      <c r="D7248" s="2" t="str">
        <f t="shared" si="112"/>
        <v>Error?</v>
      </c>
    </row>
    <row r="7249" spans="1:4" x14ac:dyDescent="0.2">
      <c r="A7249">
        <f t="shared" si="113"/>
        <v>7188</v>
      </c>
      <c r="B7249" s="138">
        <f>'Expenditures 15-22'!G7</f>
        <v>570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951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164015</v>
      </c>
      <c r="D7624" s="2" t="str">
        <f t="shared" si="124"/>
        <v>Error?</v>
      </c>
      <c r="E7624" s="2" t="s">
        <v>19</v>
      </c>
    </row>
    <row r="7625" spans="1:5" x14ac:dyDescent="0.2">
      <c r="A7625">
        <f t="shared" si="123"/>
        <v>7564</v>
      </c>
      <c r="B7625" s="138">
        <f>'Cap Outlay Deprec 26'!I17</f>
        <v>16401.5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2221240.5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6000000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56860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56860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303590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382899</v>
      </c>
      <c r="D7759" s="2" t="str">
        <f t="shared" si="127"/>
        <v>Error?</v>
      </c>
      <c r="E7759" s="4" t="s">
        <v>1400</v>
      </c>
    </row>
    <row r="7760" spans="1:6" x14ac:dyDescent="0.2">
      <c r="A7760">
        <v>7699</v>
      </c>
      <c r="B7760" s="138">
        <f>'Aud Quest 2'!J90</f>
        <v>382900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6546607</v>
      </c>
      <c r="D7797" s="2" t="str">
        <f t="shared" si="127"/>
        <v>Error?</v>
      </c>
      <c r="E7797" s="4" t="s">
        <v>2020</v>
      </c>
    </row>
    <row r="7798" spans="1:5" x14ac:dyDescent="0.2">
      <c r="A7798">
        <v>7737</v>
      </c>
      <c r="B7798" s="138">
        <f>'Contracts Paid in CY 29'!F141</f>
        <v>100000</v>
      </c>
      <c r="D7798" s="2" t="str">
        <f t="shared" si="127"/>
        <v>Error?</v>
      </c>
      <c r="E7798" s="4" t="s">
        <v>2020</v>
      </c>
    </row>
    <row r="7799" spans="1:5" x14ac:dyDescent="0.2">
      <c r="A7799">
        <v>7738</v>
      </c>
      <c r="B7799" s="138">
        <f>'Contracts Paid in CY 29'!G141</f>
        <v>1244528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9" t="str">
        <f>COVER!A17</f>
        <v>Lincolnwood SD 74</v>
      </c>
      <c r="B7" s="2400"/>
      <c r="C7" s="2400"/>
      <c r="D7" s="2437"/>
      <c r="E7" s="2438">
        <f>COVER!A13</f>
        <v>5016074002</v>
      </c>
      <c r="F7" s="2439"/>
      <c r="G7" s="2406" t="str">
        <f>COVER!T23</f>
        <v>065-033233</v>
      </c>
      <c r="H7" s="2407"/>
      <c r="I7" s="2407"/>
      <c r="J7" s="2407"/>
      <c r="K7" s="2407"/>
      <c r="L7" s="240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9"/>
      <c r="B9" s="2410"/>
      <c r="C9" s="2410"/>
      <c r="D9" s="2410"/>
      <c r="E9" s="2410"/>
      <c r="F9" s="2411"/>
      <c r="G9" s="2412" t="str">
        <f>COVER!T13</f>
        <v>Lauterbach &amp; Amen, LLP</v>
      </c>
      <c r="H9" s="2413"/>
      <c r="I9" s="2413"/>
      <c r="J9" s="2413"/>
      <c r="K9" s="2413"/>
      <c r="L9" s="2414"/>
    </row>
    <row r="10" spans="1:29" ht="13.5" customHeight="1" x14ac:dyDescent="0.2">
      <c r="A10" s="2396" t="str">
        <f>COVER!A38</f>
        <v>Dr. Kimberly Nasshan</v>
      </c>
      <c r="B10" s="2397"/>
      <c r="C10" s="2397"/>
      <c r="D10" s="2397"/>
      <c r="E10" s="2397"/>
      <c r="F10" s="2398"/>
      <c r="G10" s="2412" t="str">
        <f>COVER!T17</f>
        <v>668 N. River Raod</v>
      </c>
      <c r="H10" s="2425"/>
      <c r="I10" s="2425"/>
      <c r="J10" s="2425"/>
      <c r="K10" s="2425"/>
      <c r="L10" s="2426"/>
    </row>
    <row r="11" spans="1:29" ht="13.5" customHeight="1" x14ac:dyDescent="0.2">
      <c r="A11" s="1185" t="s">
        <v>1599</v>
      </c>
      <c r="B11" s="1186"/>
      <c r="C11" s="1187"/>
      <c r="D11" s="1192"/>
      <c r="E11" s="1187"/>
      <c r="F11" s="1191"/>
      <c r="G11" s="2412" t="str">
        <f>COVER!T19</f>
        <v>Naperville</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f>COVER!T25</f>
        <v>0</v>
      </c>
      <c r="J13" s="2434"/>
      <c r="K13" s="2434"/>
      <c r="L13" s="2435"/>
    </row>
    <row r="14" spans="1:29" ht="13.5" customHeight="1" x14ac:dyDescent="0.2">
      <c r="A14" s="2412" t="str">
        <f>COVER!A19</f>
        <v>6950 East Prairie Road</v>
      </c>
      <c r="B14" s="2425"/>
      <c r="C14" s="2425"/>
      <c r="D14" s="2425"/>
      <c r="E14" s="2425"/>
      <c r="F14" s="2426"/>
      <c r="G14" s="1196" t="s">
        <v>1247</v>
      </c>
      <c r="H14" s="1194"/>
      <c r="I14" s="1194"/>
      <c r="J14" s="1194"/>
      <c r="K14" s="1194"/>
      <c r="L14" s="1195"/>
    </row>
    <row r="15" spans="1:29" ht="13.5" customHeight="1" x14ac:dyDescent="0.2">
      <c r="A15" s="2412" t="str">
        <f>COVER!A21</f>
        <v>Lincolnwood</v>
      </c>
      <c r="B15" s="2425"/>
      <c r="C15" s="2425"/>
      <c r="D15" s="2425"/>
      <c r="E15" s="2425"/>
      <c r="F15" s="2426"/>
      <c r="G15" s="2422" t="str">
        <f>COVER!T15</f>
        <v>Matt Beran</v>
      </c>
      <c r="H15" s="2423"/>
      <c r="I15" s="2423"/>
      <c r="J15" s="2423"/>
      <c r="K15" s="2423"/>
      <c r="L15" s="2424"/>
    </row>
    <row r="16" spans="1:29" ht="12.2" customHeight="1" x14ac:dyDescent="0.2">
      <c r="A16" s="2402">
        <f>COVER!A25</f>
        <v>60712</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6" t="s">
        <v>1246</v>
      </c>
      <c r="H17" s="1194"/>
      <c r="I17" s="1194"/>
      <c r="J17" s="1194"/>
      <c r="K17" s="1198" t="s">
        <v>1245</v>
      </c>
      <c r="L17" s="1191"/>
      <c r="M17" s="1184"/>
    </row>
    <row r="18" spans="1:13" ht="12.2" customHeight="1" x14ac:dyDescent="0.2">
      <c r="A18" s="2396"/>
      <c r="B18" s="2397"/>
      <c r="C18" s="2397"/>
      <c r="D18" s="2397"/>
      <c r="E18" s="2397"/>
      <c r="F18" s="2398"/>
      <c r="G18" s="2399">
        <f>COVER!T21</f>
        <v>6303931483</v>
      </c>
      <c r="H18" s="2400"/>
      <c r="I18" s="2400"/>
      <c r="J18" s="2400"/>
      <c r="K18" s="2399">
        <f>COVER!X21</f>
        <v>6303932516</v>
      </c>
      <c r="L18" s="240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0" t="str">
        <f>'Single Audit Cover'!A7</f>
        <v>Lincolnwood SD 74</v>
      </c>
      <c r="B1" s="2436"/>
      <c r="C1" s="2436"/>
      <c r="D1" s="2436"/>
    </row>
    <row r="2" spans="1:11" s="1215" customFormat="1" ht="12.75" x14ac:dyDescent="0.2">
      <c r="A2" s="2441">
        <f>'Single Audit Cover'!E7</f>
        <v>5016074002</v>
      </c>
      <c r="B2" s="2442"/>
      <c r="C2" s="2442"/>
      <c r="D2" s="2442"/>
    </row>
    <row r="3" spans="1:11" s="1215" customFormat="1" ht="12.75" x14ac:dyDescent="0.2">
      <c r="A3" s="2440" t="s">
        <v>1593</v>
      </c>
      <c r="B3" s="2436"/>
      <c r="C3" s="2436"/>
      <c r="D3" s="243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4" t="str">
        <f>'Single Audit Cover'!A7</f>
        <v>Lincolnwood SD 74</v>
      </c>
      <c r="B1" s="2444"/>
      <c r="C1" s="2444"/>
      <c r="D1" s="2444"/>
      <c r="E1" s="2444"/>
    </row>
    <row r="2" spans="1:5" x14ac:dyDescent="0.2">
      <c r="A2" s="2445">
        <f>'Single Audit Cover'!E7</f>
        <v>5016074002</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60" t="s">
        <v>1305</v>
      </c>
    </row>
    <row r="10" spans="1:5" x14ac:dyDescent="0.2">
      <c r="A10" s="1261" t="s">
        <v>1304</v>
      </c>
      <c r="B10" s="1262" t="s">
        <v>1303</v>
      </c>
      <c r="C10" s="1262"/>
      <c r="D10" s="1263">
        <f>SUM('Acct Summary 7-8'!C7:K7)</f>
        <v>375656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375656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6"/>
      <c r="B24" s="2446"/>
      <c r="D24" s="1268"/>
    </row>
    <row r="25" spans="1:4" x14ac:dyDescent="0.2">
      <c r="A25" s="2443"/>
      <c r="B25" s="2443"/>
      <c r="D25" s="1268"/>
    </row>
    <row r="26" spans="1:4" x14ac:dyDescent="0.2">
      <c r="A26" s="2443"/>
      <c r="B26" s="2443"/>
      <c r="D26" s="1268"/>
    </row>
    <row r="27" spans="1:4" x14ac:dyDescent="0.2">
      <c r="A27" s="2443"/>
      <c r="B27" s="2443"/>
      <c r="D27" s="1268"/>
    </row>
    <row r="28" spans="1:4" x14ac:dyDescent="0.2">
      <c r="A28" s="2443"/>
      <c r="B28" s="2443"/>
      <c r="D28" s="1268"/>
    </row>
    <row r="29" spans="1:4" x14ac:dyDescent="0.2">
      <c r="A29" s="2443"/>
      <c r="B29" s="2443"/>
      <c r="D29" s="1268"/>
    </row>
    <row r="30" spans="1:4" x14ac:dyDescent="0.2">
      <c r="A30" s="2443"/>
      <c r="B30" s="2443"/>
      <c r="D30" s="1268"/>
    </row>
    <row r="32" spans="1:4" x14ac:dyDescent="0.2">
      <c r="A32" s="1260" t="s">
        <v>1295</v>
      </c>
      <c r="D32" s="1263">
        <f>SUM(D19:D30)</f>
        <v>375656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3"/>
      <c r="B40" s="2443"/>
      <c r="D40" s="1268"/>
    </row>
    <row r="41" spans="1:4" x14ac:dyDescent="0.2">
      <c r="A41" s="2443"/>
      <c r="B41" s="2443"/>
      <c r="D41" s="1271"/>
    </row>
    <row r="42" spans="1:4" x14ac:dyDescent="0.2">
      <c r="A42" s="2443"/>
      <c r="B42" s="2443"/>
      <c r="D42" s="1271"/>
    </row>
    <row r="43" spans="1:4" x14ac:dyDescent="0.2">
      <c r="A43" s="2443"/>
      <c r="B43" s="2443"/>
      <c r="D43" s="1271"/>
    </row>
    <row r="44" spans="1:4" x14ac:dyDescent="0.2">
      <c r="A44" s="2443"/>
      <c r="B44" s="2443"/>
      <c r="D44" s="1271"/>
    </row>
    <row r="45" spans="1:4" x14ac:dyDescent="0.2">
      <c r="A45" s="2443"/>
      <c r="B45" s="2443"/>
      <c r="D45" s="1271"/>
    </row>
    <row r="47" spans="1:4" x14ac:dyDescent="0.2">
      <c r="B47" s="1272" t="s">
        <v>1289</v>
      </c>
      <c r="C47" s="1272"/>
      <c r="D47" s="1273">
        <f>SUM(D35:D45)</f>
        <v>0</v>
      </c>
    </row>
    <row r="49" spans="2:4" x14ac:dyDescent="0.2">
      <c r="B49" s="1272" t="s">
        <v>1288</v>
      </c>
      <c r="C49" s="1272"/>
      <c r="D49" s="1273">
        <f>D32-D47</f>
        <v>375656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Lincolnwood SD 74</v>
      </c>
      <c r="B1" s="2449"/>
      <c r="C1" s="2449"/>
      <c r="D1" s="2449"/>
      <c r="E1" s="2449"/>
      <c r="F1" s="2449"/>
    </row>
    <row r="2" spans="1:7" ht="13.5" customHeight="1" x14ac:dyDescent="0.2">
      <c r="A2" s="2450">
        <f>'Single Audit Cover'!E7</f>
        <v>5016074002</v>
      </c>
      <c r="B2" s="2450"/>
      <c r="C2" s="2450"/>
      <c r="D2" s="2450"/>
      <c r="E2" s="2450"/>
      <c r="F2" s="2450"/>
      <c r="G2" s="1275"/>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7"/>
      <c r="D5" s="317"/>
    </row>
    <row r="6" spans="1:7" ht="13.5" customHeight="1" x14ac:dyDescent="0.2">
      <c r="A6" s="1276" t="s">
        <v>1831</v>
      </c>
      <c r="C6" s="317"/>
      <c r="D6" s="317"/>
    </row>
    <row r="7" spans="1:7" ht="60.95" customHeight="1" x14ac:dyDescent="0.2">
      <c r="A7" s="2448" t="s">
        <v>1832</v>
      </c>
      <c r="B7" s="2448"/>
      <c r="C7" s="2448"/>
      <c r="D7" s="2448"/>
      <c r="E7" s="2448"/>
      <c r="F7" s="244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8" t="s">
        <v>1834</v>
      </c>
      <c r="B13" s="2448"/>
      <c r="C13" s="2448"/>
      <c r="D13" s="2448"/>
      <c r="E13" s="2448"/>
      <c r="F13" s="2448"/>
    </row>
    <row r="14" spans="1:7" ht="9.75" customHeight="1" x14ac:dyDescent="0.2">
      <c r="C14" s="1260"/>
      <c r="D14" s="1260"/>
    </row>
    <row r="15" spans="1:7" ht="13.5" customHeight="1" x14ac:dyDescent="0.2">
      <c r="C15" s="1871" t="s">
        <v>1332</v>
      </c>
      <c r="D15" s="2454" t="s">
        <v>1331</v>
      </c>
      <c r="E15" s="2454"/>
      <c r="F15" s="2454"/>
    </row>
    <row r="16" spans="1:7" ht="13.5" customHeight="1" x14ac:dyDescent="0.2">
      <c r="A16" s="1282"/>
      <c r="B16" s="1276" t="s">
        <v>1330</v>
      </c>
      <c r="C16" s="1871" t="s">
        <v>1329</v>
      </c>
      <c r="D16" s="2455" t="s">
        <v>1670</v>
      </c>
      <c r="E16" s="2455"/>
      <c r="F16" s="2455"/>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7" t="s">
        <v>1835</v>
      </c>
      <c r="B32" s="2457"/>
      <c r="C32" s="2457"/>
      <c r="D32" s="2457"/>
      <c r="E32" s="2457"/>
      <c r="F32" s="2457"/>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8">
        <f>+C33+C34</f>
        <v>0</v>
      </c>
      <c r="F34" s="245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Lincolnwood SD 74</v>
      </c>
      <c r="C1" s="2461"/>
      <c r="D1" s="2461"/>
      <c r="E1" s="2461"/>
      <c r="F1" s="2461"/>
      <c r="G1" s="2461"/>
      <c r="H1" s="2461"/>
      <c r="I1" s="2461"/>
      <c r="J1" s="2461"/>
      <c r="K1" s="2461"/>
      <c r="L1" s="2461"/>
      <c r="M1" s="2461"/>
    </row>
    <row r="2" spans="2:14" ht="15" x14ac:dyDescent="0.2">
      <c r="B2" s="2450">
        <f>'Single Audit Cover'!E7</f>
        <v>5016074002</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v>152782</v>
      </c>
      <c r="G88" s="276">
        <v>230117</v>
      </c>
      <c r="H88" s="276"/>
      <c r="I88" s="276"/>
      <c r="J88" s="277">
        <f>SUM(E88:I88)</f>
        <v>382899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382900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Lincolnwood SD 74</v>
      </c>
      <c r="C1" s="2469"/>
      <c r="D1" s="2469"/>
      <c r="E1" s="2469"/>
      <c r="F1" s="2469"/>
      <c r="G1" s="2469"/>
      <c r="H1" s="2469"/>
      <c r="I1" s="2469"/>
      <c r="J1" s="1422"/>
    </row>
    <row r="2" spans="2:10" s="317" customFormat="1" ht="12.75" customHeight="1" x14ac:dyDescent="0.2">
      <c r="B2" s="2470">
        <f>'Single Audit Cover'!E7</f>
        <v>5016074002</v>
      </c>
      <c r="C2" s="2471"/>
      <c r="D2" s="2471"/>
      <c r="E2" s="2471"/>
      <c r="F2" s="2471"/>
      <c r="G2" s="2471"/>
      <c r="H2" s="2471"/>
      <c r="I2" s="2471"/>
      <c r="J2" s="1422"/>
    </row>
    <row r="3" spans="2:10" s="317" customFormat="1" ht="12.75" customHeight="1" x14ac:dyDescent="0.2">
      <c r="B3" s="2472" t="s">
        <v>1347</v>
      </c>
      <c r="C3" s="2473"/>
      <c r="D3" s="2473"/>
      <c r="E3" s="2473"/>
      <c r="F3" s="2473"/>
      <c r="G3" s="2473"/>
      <c r="H3" s="2473"/>
      <c r="I3" s="2473"/>
      <c r="J3" s="1423"/>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2" t="s">
        <v>1346</v>
      </c>
      <c r="C7" s="2473"/>
      <c r="D7" s="2473"/>
      <c r="E7" s="2473"/>
      <c r="F7" s="2473"/>
      <c r="G7" s="2473"/>
      <c r="H7" s="2473"/>
      <c r="I7" s="247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4"/>
      <c r="D11" s="247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5"/>
      <c r="E29" s="2475"/>
      <c r="F29" s="2475"/>
      <c r="G29" s="2475"/>
      <c r="H29" s="2475"/>
      <c r="I29" s="247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6" t="s">
        <v>1854</v>
      </c>
      <c r="D37" s="2477"/>
      <c r="E37" s="2477"/>
      <c r="F37" s="2478"/>
      <c r="G37" s="2476" t="s">
        <v>1674</v>
      </c>
      <c r="H37" s="2477"/>
      <c r="I37" s="2478"/>
    </row>
    <row r="38" spans="2:9" ht="16.5" customHeight="1" x14ac:dyDescent="0.2">
      <c r="B38" s="1444"/>
      <c r="C38" s="2464"/>
      <c r="D38" s="2465"/>
      <c r="E38" s="2465"/>
      <c r="F38" s="2466"/>
      <c r="G38" s="2479"/>
      <c r="H38" s="2480"/>
      <c r="I38" s="2481"/>
    </row>
    <row r="39" spans="2:9" ht="16.5" customHeight="1" x14ac:dyDescent="0.2">
      <c r="B39" s="1444"/>
      <c r="C39" s="2464"/>
      <c r="D39" s="2465"/>
      <c r="E39" s="2465"/>
      <c r="F39" s="2466"/>
      <c r="G39" s="2467"/>
      <c r="H39" s="2467"/>
      <c r="I39" s="2467"/>
    </row>
    <row r="40" spans="2:9" ht="16.5" customHeight="1" x14ac:dyDescent="0.2">
      <c r="B40" s="1444"/>
      <c r="C40" s="2464"/>
      <c r="D40" s="2465"/>
      <c r="E40" s="2465"/>
      <c r="F40" s="2466"/>
      <c r="G40" s="2467"/>
      <c r="H40" s="2467"/>
      <c r="I40" s="2467"/>
    </row>
    <row r="41" spans="2:9" ht="16.5" customHeight="1" x14ac:dyDescent="0.2">
      <c r="B41" s="1444"/>
      <c r="C41" s="2464"/>
      <c r="D41" s="2465"/>
      <c r="E41" s="2465"/>
      <c r="F41" s="2466"/>
      <c r="G41" s="2467"/>
      <c r="H41" s="2467"/>
      <c r="I41" s="2467"/>
    </row>
    <row r="42" spans="2:9" ht="16.5" customHeight="1" x14ac:dyDescent="0.2">
      <c r="B42" s="1444"/>
      <c r="C42" s="2464"/>
      <c r="D42" s="2465"/>
      <c r="E42" s="2465"/>
      <c r="F42" s="2466"/>
      <c r="G42" s="2467"/>
      <c r="H42" s="2467"/>
      <c r="I42" s="2467"/>
    </row>
    <row r="43" spans="2:9" ht="16.5" customHeight="1" x14ac:dyDescent="0.2">
      <c r="B43" s="1444"/>
      <c r="C43" s="2482" t="s">
        <v>1675</v>
      </c>
      <c r="D43" s="2483"/>
      <c r="E43" s="2483"/>
      <c r="F43" s="2484"/>
      <c r="G43" s="2485">
        <f>SUM(G38:I42)</f>
        <v>0</v>
      </c>
      <c r="H43" s="2485"/>
      <c r="I43" s="2485"/>
    </row>
    <row r="44" spans="2:9" ht="12.75" customHeight="1" x14ac:dyDescent="0.2"/>
    <row r="45" spans="2:9" ht="12.75" customHeight="1" x14ac:dyDescent="0.2">
      <c r="B45" s="1435" t="s">
        <v>1952</v>
      </c>
      <c r="D45" s="2486">
        <v>0</v>
      </c>
      <c r="E45" s="2487"/>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8"/>
      <c r="F49" s="2488"/>
      <c r="G49" s="2488"/>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Lincolnwood SD 74</v>
      </c>
      <c r="C1" s="2468"/>
      <c r="D1" s="2468"/>
      <c r="E1" s="2468"/>
      <c r="F1" s="2468"/>
      <c r="G1" s="2468"/>
      <c r="H1" s="2468"/>
      <c r="I1" s="2468"/>
      <c r="J1" s="2468"/>
      <c r="K1" s="2468"/>
      <c r="L1" s="1374"/>
      <c r="M1" s="1374"/>
    </row>
    <row r="2" spans="1:13" ht="12" customHeight="1" x14ac:dyDescent="0.2">
      <c r="B2" s="2470">
        <f>'Single Audit Cover'!E7</f>
        <v>5016074002</v>
      </c>
      <c r="C2" s="2470"/>
      <c r="D2" s="2470"/>
      <c r="E2" s="2470"/>
      <c r="F2" s="2470"/>
      <c r="G2" s="2470"/>
      <c r="H2" s="2470"/>
      <c r="I2" s="2470"/>
      <c r="J2" s="2470"/>
      <c r="K2" s="2470"/>
      <c r="L2" s="1375"/>
      <c r="M2" s="1376"/>
    </row>
    <row r="3" spans="1:13" ht="10.35" customHeight="1" x14ac:dyDescent="0.2">
      <c r="B3" s="2491" t="s">
        <v>1347</v>
      </c>
      <c r="C3" s="2491"/>
      <c r="D3" s="2491"/>
      <c r="E3" s="2491"/>
      <c r="F3" s="2491"/>
      <c r="G3" s="2491"/>
      <c r="H3" s="2491"/>
      <c r="I3" s="2491"/>
      <c r="J3" s="2491"/>
      <c r="K3" s="2491"/>
      <c r="L3" s="1377"/>
      <c r="M3" s="1377"/>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2" t="s">
        <v>1363</v>
      </c>
      <c r="C7" s="2492"/>
      <c r="D7" s="2493"/>
      <c r="E7" s="2493"/>
      <c r="F7" s="2493"/>
      <c r="G7" s="2493"/>
      <c r="H7" s="2493"/>
      <c r="I7" s="2493"/>
      <c r="J7" s="2493"/>
      <c r="K7" s="249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0"/>
      <c r="C14" s="2490"/>
      <c r="D14" s="2490"/>
      <c r="E14" s="2490"/>
      <c r="F14" s="2490"/>
      <c r="G14" s="2490"/>
      <c r="H14" s="2490"/>
      <c r="I14" s="2490"/>
      <c r="J14" s="2490"/>
      <c r="K14" s="249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0"/>
      <c r="C17" s="2490"/>
      <c r="D17" s="2490"/>
      <c r="E17" s="2490"/>
      <c r="F17" s="2490"/>
      <c r="G17" s="2490"/>
      <c r="H17" s="2490"/>
      <c r="I17" s="2490"/>
      <c r="J17" s="2490"/>
      <c r="K17" s="2490"/>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4"/>
      <c r="C20" s="2494"/>
      <c r="D20" s="2490"/>
      <c r="E20" s="2490"/>
      <c r="F20" s="2490"/>
      <c r="G20" s="2490"/>
      <c r="H20" s="2490"/>
      <c r="I20" s="2490"/>
      <c r="J20" s="2490"/>
      <c r="K20" s="249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0"/>
      <c r="C23" s="2490"/>
      <c r="D23" s="2490"/>
      <c r="E23" s="2490"/>
      <c r="F23" s="2490"/>
      <c r="G23" s="2490"/>
      <c r="H23" s="2490"/>
      <c r="I23" s="2490"/>
      <c r="J23" s="2490"/>
      <c r="K23" s="249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0"/>
      <c r="C26" s="2490"/>
      <c r="D26" s="2490"/>
      <c r="E26" s="2490"/>
      <c r="F26" s="2490"/>
      <c r="G26" s="2490"/>
      <c r="H26" s="2490"/>
      <c r="I26" s="2490"/>
      <c r="J26" s="2490"/>
      <c r="K26" s="249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9"/>
      <c r="C29" s="2489"/>
      <c r="D29" s="2490"/>
      <c r="E29" s="2490"/>
      <c r="F29" s="2490"/>
      <c r="G29" s="2490"/>
      <c r="H29" s="2490"/>
      <c r="I29" s="2490"/>
      <c r="J29" s="2490"/>
      <c r="K29" s="249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9"/>
      <c r="C32" s="2489"/>
      <c r="D32" s="2490"/>
      <c r="E32" s="2490"/>
      <c r="F32" s="2490"/>
      <c r="G32" s="2490"/>
      <c r="H32" s="2490"/>
      <c r="I32" s="2490"/>
      <c r="J32" s="2490"/>
      <c r="K32" s="249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Lincolnwood SD 74</v>
      </c>
      <c r="C1" s="2495"/>
      <c r="D1" s="2495"/>
      <c r="E1" s="2495"/>
      <c r="F1" s="2495"/>
      <c r="G1" s="2495"/>
      <c r="H1" s="2495"/>
      <c r="I1" s="2495"/>
      <c r="J1" s="2495"/>
      <c r="K1" s="2495"/>
      <c r="L1" s="1465"/>
    </row>
    <row r="2" spans="1:12" ht="12.75" customHeight="1" x14ac:dyDescent="0.2">
      <c r="B2" s="2496">
        <f>'Single Audit Cover'!E7</f>
        <v>5016074002</v>
      </c>
      <c r="C2" s="2496"/>
      <c r="D2" s="2496"/>
      <c r="E2" s="2496"/>
      <c r="F2" s="2496"/>
      <c r="G2" s="2496"/>
      <c r="H2" s="2496"/>
      <c r="I2" s="2496"/>
      <c r="J2" s="2496"/>
      <c r="K2" s="2496"/>
      <c r="L2" s="1466"/>
    </row>
    <row r="3" spans="1:12" ht="12.75" customHeight="1" x14ac:dyDescent="0.2">
      <c r="B3" s="2491" t="s">
        <v>1347</v>
      </c>
      <c r="C3" s="2491"/>
      <c r="D3" s="2491"/>
      <c r="E3" s="2491"/>
      <c r="F3" s="2491"/>
      <c r="G3" s="2491"/>
      <c r="H3" s="2491"/>
      <c r="I3" s="2491"/>
      <c r="J3" s="2491"/>
      <c r="K3" s="2491"/>
      <c r="L3" s="1377"/>
    </row>
    <row r="4" spans="1:12" ht="12.75" customHeight="1" x14ac:dyDescent="0.2">
      <c r="B4" s="2491" t="str">
        <f>'Single Audit Cover'!A4</f>
        <v>Year Ending June 30, 2018</v>
      </c>
      <c r="C4" s="2491"/>
      <c r="D4" s="2491"/>
      <c r="E4" s="2491"/>
      <c r="F4" s="2491"/>
      <c r="G4" s="2491"/>
      <c r="H4" s="2491"/>
      <c r="I4" s="2491"/>
      <c r="J4" s="2491"/>
      <c r="K4" s="2491"/>
      <c r="L4" s="1377"/>
    </row>
    <row r="5" spans="1:12" ht="5.25" customHeight="1" x14ac:dyDescent="0.2">
      <c r="B5" s="1260" t="s">
        <v>1231</v>
      </c>
      <c r="C5" s="1260"/>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5"/>
      <c r="G12" s="2475"/>
      <c r="H12" s="2475"/>
      <c r="I12" s="2475"/>
      <c r="J12" s="2475"/>
      <c r="K12" s="247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0"/>
      <c r="C20" s="2490"/>
      <c r="D20" s="2490"/>
      <c r="E20" s="2490"/>
      <c r="F20" s="2490"/>
      <c r="G20" s="2490"/>
      <c r="H20" s="2490"/>
      <c r="I20" s="2490"/>
      <c r="J20" s="2490"/>
      <c r="K20" s="249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8" t="str">
        <f>'Single Audit Cover'!A7</f>
        <v>Lincolnwood SD 74</v>
      </c>
      <c r="C1" s="2468"/>
      <c r="D1" s="2468"/>
      <c r="E1" s="1491"/>
    </row>
    <row r="2" spans="2:5" s="1282" customFormat="1" ht="12.75" customHeight="1" x14ac:dyDescent="0.2">
      <c r="B2" s="2470">
        <f>'Single Audit Cover'!E7</f>
        <v>5016074002</v>
      </c>
      <c r="C2" s="2470"/>
      <c r="D2" s="2470"/>
      <c r="E2" s="1492"/>
    </row>
    <row r="3" spans="2:5" ht="12.75" customHeight="1" x14ac:dyDescent="0.2">
      <c r="B3" s="2491" t="s">
        <v>1869</v>
      </c>
      <c r="C3" s="2491"/>
      <c r="D3" s="2491"/>
      <c r="E3" s="1274"/>
    </row>
    <row r="4" spans="2:5" s="1282" customFormat="1" ht="12.75" customHeight="1" x14ac:dyDescent="0.2">
      <c r="B4" s="2501" t="str">
        <f>'Single Audit Cover'!A4</f>
        <v>Year Ending June 30, 2018</v>
      </c>
      <c r="C4" s="2501"/>
      <c r="D4" s="2501"/>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670106010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2.5637E-2</v>
      </c>
      <c r="E10" s="356" t="s">
        <v>1062</v>
      </c>
      <c r="F10" s="355">
        <v>2.8800000000000001E-4</v>
      </c>
      <c r="G10" s="356" t="s">
        <v>1062</v>
      </c>
      <c r="H10" s="355">
        <v>7.5900000000000002E-4</v>
      </c>
      <c r="I10" s="356" t="s">
        <v>1063</v>
      </c>
      <c r="J10" s="1754">
        <f>ROUND(D10+F10+H10,5)</f>
        <v>2.6679999999999999E-2</v>
      </c>
      <c r="K10" s="222"/>
      <c r="L10" s="355">
        <v>9.9999999999999995E-7</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23605300</v>
      </c>
      <c r="E16" s="356"/>
      <c r="F16" s="1755">
        <f>SUM('Acct Summary 7-8'!C17,'Acct Summary 7-8'!D17,'Acct Summary 7-8'!F17)</f>
        <v>22513838</v>
      </c>
      <c r="G16" s="356"/>
      <c r="H16" s="1755">
        <f>SUM(D16-F16)</f>
        <v>1091462</v>
      </c>
      <c r="I16" s="222"/>
      <c r="J16" s="1755">
        <f>SUM('Acct Summary 7-8'!C81,'Acct Summary 7-8'!D81,'Acct Summary 7-8'!F81,'Acct Summary 7-8'!I81)</f>
        <v>18017436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46237314.690000005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10435000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Lincolnwood SD 74</v>
      </c>
      <c r="E7" s="391"/>
      <c r="G7" s="252"/>
      <c r="H7" s="387"/>
      <c r="I7" s="387"/>
      <c r="J7" s="387"/>
      <c r="K7" s="387"/>
      <c r="L7" s="329"/>
      <c r="M7" s="329"/>
      <c r="N7" s="329"/>
      <c r="O7" s="329"/>
      <c r="P7" s="329"/>
    </row>
    <row r="8" spans="1:18" ht="12.75" x14ac:dyDescent="0.2">
      <c r="A8" s="329"/>
      <c r="B8" s="329"/>
      <c r="C8" s="389" t="s">
        <v>1187</v>
      </c>
      <c r="D8" s="392">
        <f>COVER!A13</f>
        <v>5016074002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18017436</v>
      </c>
      <c r="I12" s="404"/>
      <c r="J12" s="404"/>
      <c r="K12" s="405">
        <f>TRUNC((H12/H13*100000),5)/100000</f>
        <v>1.0234097685999999</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17605300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-6000000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1</v>
      </c>
      <c r="P16" s="216"/>
      <c r="R16" s="384"/>
    </row>
    <row r="17" spans="1:18" s="408" customFormat="1" ht="11.25" x14ac:dyDescent="0.2">
      <c r="A17" s="218"/>
      <c r="B17" s="401"/>
      <c r="C17" s="218" t="s">
        <v>830</v>
      </c>
      <c r="D17" s="218"/>
      <c r="E17" s="218"/>
      <c r="F17" s="218" t="s">
        <v>464</v>
      </c>
      <c r="G17" s="402"/>
      <c r="H17" s="403">
        <f>SUM('Acct Summary 7-8'!C17+'Acct Summary 7-8'!D17+'Acct Summary 7-8'!F17)</f>
        <v>22513838</v>
      </c>
      <c r="I17" s="404"/>
      <c r="J17" s="416"/>
      <c r="K17" s="405">
        <f>TRUNC((H17/H18*100000),5)/100000</f>
        <v>1.2788102446</v>
      </c>
      <c r="L17" s="406"/>
      <c r="M17" s="417" t="s">
        <v>1233</v>
      </c>
      <c r="O17" s="418" t="str">
        <f>IF(AND(O16="2", J20 &gt; 2),"1",IF(AND(O16 = "1", J20 &gt; 2),"2",IF(AND(O16="1", J20 &gt;1),"1","0")))</f>
        <v>2</v>
      </c>
      <c r="P17" s="218"/>
    </row>
    <row r="18" spans="1:18" s="408" customFormat="1" ht="11.25" x14ac:dyDescent="0.2">
      <c r="A18" s="218"/>
      <c r="B18" s="401"/>
      <c r="C18" s="2116" t="s">
        <v>1384</v>
      </c>
      <c r="D18" s="2117"/>
      <c r="E18" s="218"/>
      <c r="F18" s="419" t="s">
        <v>827</v>
      </c>
      <c r="G18" s="402"/>
      <c r="H18" s="403">
        <f>SUM('Acct Summary 7-8'!C8+'Acct Summary 7-8'!D8+'Acct Summary 7-8'!F8+'Acct Summary 7-8'!I8)+H19</f>
        <v>17605300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-6000000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3.3119649</v>
      </c>
      <c r="K20" s="405">
        <f>IF(K17&lt;=1,"0",IF(AND(O16="2", J20 &gt; 2),TRUNC(((K12-0.1)/(K17-1)*100),5)/100,IF(AND(O16 = "1", J20 &gt; 2),TRUNC(((K12-0.1)/(K17-1)*100),5)/100,IF(AND(O16="1", J20 &gt;1),TRUNC(((K12-0.1)/(K17-1)*100),5)/100,""))))</f>
        <v>3.3119649</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18209202</v>
      </c>
      <c r="I24" s="422"/>
      <c r="J24" s="422"/>
      <c r="K24" s="423">
        <f>TRUNC(((H24/H25*100000)/100000),2)</f>
        <v>291.16000000000003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62538.438889999998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15196664.09478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10435000</v>
      </c>
      <c r="I32" s="420"/>
      <c r="J32" s="420"/>
      <c r="K32" s="423">
        <f>TRUNC(100-((((H32/H33*100))*100)/100),2)</f>
        <v>77.430000000000007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46237314.690000005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8"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14154247</v>
      </c>
      <c r="D4" s="466">
        <v>2441547</v>
      </c>
      <c r="E4" s="466">
        <v>589232</v>
      </c>
      <c r="F4" s="466">
        <v>1248267</v>
      </c>
      <c r="G4" s="466">
        <v>385211</v>
      </c>
      <c r="H4" s="466">
        <v>1013948</v>
      </c>
      <c r="I4" s="466">
        <v>365141</v>
      </c>
      <c r="J4" s="467">
        <v>245294</v>
      </c>
      <c r="K4" s="466">
        <v>1819427</v>
      </c>
      <c r="L4" s="466">
        <v>14364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7504154</v>
      </c>
      <c r="D6" s="466">
        <v>828873</v>
      </c>
      <c r="E6" s="466">
        <v>475575</v>
      </c>
      <c r="F6" s="466">
        <v>218291</v>
      </c>
      <c r="G6" s="471">
        <v>141789</v>
      </c>
      <c r="H6" s="471"/>
      <c r="I6" s="466">
        <v>287</v>
      </c>
      <c r="J6" s="474">
        <v>287</v>
      </c>
      <c r="K6" s="471">
        <v>194658</v>
      </c>
      <c r="L6" s="475"/>
      <c r="M6" s="468"/>
      <c r="N6" s="469"/>
    </row>
    <row r="7" spans="1:14" ht="13.5" customHeight="1" x14ac:dyDescent="0.2">
      <c r="A7" s="473" t="s">
        <v>438</v>
      </c>
      <c r="B7" s="470">
        <v>140</v>
      </c>
      <c r="C7" s="476">
        <v>1500000</v>
      </c>
      <c r="D7" s="467"/>
      <c r="E7" s="467"/>
      <c r="F7" s="467"/>
      <c r="G7" s="467"/>
      <c r="H7" s="467"/>
      <c r="I7" s="467"/>
      <c r="J7" s="467"/>
      <c r="K7" s="467"/>
      <c r="L7" s="477"/>
      <c r="M7" s="468"/>
      <c r="N7" s="469"/>
    </row>
    <row r="8" spans="1:14" ht="13.5" customHeight="1" x14ac:dyDescent="0.2">
      <c r="A8" s="473" t="s">
        <v>287</v>
      </c>
      <c r="B8" s="470">
        <v>150</v>
      </c>
      <c r="C8" s="476">
        <v>382</v>
      </c>
      <c r="D8" s="467"/>
      <c r="E8" s="467"/>
      <c r="F8" s="467">
        <v>96614</v>
      </c>
      <c r="G8" s="478"/>
      <c r="H8" s="467"/>
      <c r="I8" s="474"/>
      <c r="J8" s="474"/>
      <c r="K8" s="479"/>
      <c r="L8" s="480"/>
      <c r="M8" s="468"/>
      <c r="N8" s="469"/>
    </row>
    <row r="9" spans="1:14" ht="13.5" customHeight="1" x14ac:dyDescent="0.2">
      <c r="A9" s="473" t="s">
        <v>288</v>
      </c>
      <c r="B9" s="470">
        <v>160</v>
      </c>
      <c r="C9" s="476">
        <v>86881</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v>134680</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23245664</v>
      </c>
      <c r="D13" s="1759">
        <f t="shared" ref="D13:L13" si="0">SUM(D4:D12)</f>
        <v>3270420</v>
      </c>
      <c r="E13" s="1759">
        <f t="shared" si="0"/>
        <v>1064807</v>
      </c>
      <c r="F13" s="1759">
        <f t="shared" si="0"/>
        <v>1563172</v>
      </c>
      <c r="G13" s="1759">
        <f t="shared" si="0"/>
        <v>527000</v>
      </c>
      <c r="H13" s="1759">
        <f t="shared" si="0"/>
        <v>1013948</v>
      </c>
      <c r="I13" s="1759">
        <f t="shared" si="0"/>
        <v>365428</v>
      </c>
      <c r="J13" s="1759">
        <f t="shared" si="0"/>
        <v>380261</v>
      </c>
      <c r="K13" s="1759">
        <f t="shared" si="0"/>
        <v>2014085</v>
      </c>
      <c r="L13" s="1759">
        <f t="shared" si="0"/>
        <v>14364</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2337500</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49950527</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1237572</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f>
        <v>6746030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E38</f>
        <v>589232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9845768</v>
      </c>
    </row>
    <row r="23" spans="1:14" ht="13.5" customHeight="1" thickBot="1" x14ac:dyDescent="0.25">
      <c r="A23" s="1758" t="s">
        <v>664</v>
      </c>
      <c r="B23" s="1763"/>
      <c r="C23" s="468"/>
      <c r="D23" s="468"/>
      <c r="E23" s="468"/>
      <c r="F23" s="468"/>
      <c r="G23" s="468"/>
      <c r="H23" s="468"/>
      <c r="I23" s="468"/>
      <c r="J23" s="468"/>
      <c r="K23" s="468"/>
      <c r="L23" s="468"/>
      <c r="M23" s="1710">
        <f>SUM(M15:M22)</f>
        <v>60271629</v>
      </c>
      <c r="N23" s="1710">
        <f>SUM(N21:N22)</f>
        <v>10435000</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355078</v>
      </c>
      <c r="D27" s="467">
        <f>125972+20075</f>
        <v>146047</v>
      </c>
      <c r="E27" s="467"/>
      <c r="F27" s="467">
        <v>71646</v>
      </c>
      <c r="G27" s="467"/>
      <c r="H27" s="467">
        <f>904355+156107</f>
        <v>1060462</v>
      </c>
      <c r="I27" s="467"/>
      <c r="J27" s="467">
        <v>5162</v>
      </c>
      <c r="K27" s="467">
        <f>648136+120000</f>
        <v>768136</v>
      </c>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-190162</v>
      </c>
      <c r="D31" s="467">
        <v>-6966</v>
      </c>
      <c r="E31" s="467"/>
      <c r="F31" s="466"/>
      <c r="G31" s="467"/>
      <c r="H31" s="467"/>
      <c r="I31" s="467"/>
      <c r="J31" s="467"/>
      <c r="K31" s="467"/>
      <c r="L31" s="468"/>
      <c r="M31" s="468"/>
      <c r="N31" s="468"/>
    </row>
    <row r="32" spans="1:14" ht="13.5" customHeight="1" x14ac:dyDescent="0.2">
      <c r="A32" s="490" t="s">
        <v>673</v>
      </c>
      <c r="B32" s="491">
        <v>490</v>
      </c>
      <c r="C32" s="492">
        <v>7504154</v>
      </c>
      <c r="D32" s="492">
        <v>828873</v>
      </c>
      <c r="E32" s="474">
        <v>475575</v>
      </c>
      <c r="F32" s="474">
        <v>218291</v>
      </c>
      <c r="G32" s="474">
        <v>141789</v>
      </c>
      <c r="H32" s="474"/>
      <c r="I32" s="474">
        <v>287</v>
      </c>
      <c r="J32" s="474">
        <v>287</v>
      </c>
      <c r="K32" s="479">
        <v>194658</v>
      </c>
      <c r="L32" s="468"/>
      <c r="M32" s="468"/>
      <c r="N32" s="468"/>
    </row>
    <row r="33" spans="1:14" ht="13.5" customHeight="1" x14ac:dyDescent="0.2">
      <c r="A33" s="493" t="s">
        <v>321</v>
      </c>
      <c r="B33" s="491">
        <v>493</v>
      </c>
      <c r="C33" s="467"/>
      <c r="D33" s="467">
        <v>1500000</v>
      </c>
      <c r="E33" s="467"/>
      <c r="F33" s="467"/>
      <c r="G33" s="467"/>
      <c r="H33" s="467"/>
      <c r="I33" s="467"/>
      <c r="J33" s="467"/>
      <c r="K33" s="467"/>
      <c r="L33" s="467">
        <v>14364</v>
      </c>
      <c r="M33" s="468"/>
      <c r="N33" s="469"/>
    </row>
    <row r="34" spans="1:14" ht="13.5" customHeight="1" thickBot="1" x14ac:dyDescent="0.25">
      <c r="A34" s="1760" t="s">
        <v>675</v>
      </c>
      <c r="B34" s="1761"/>
      <c r="C34" s="1762">
        <f>SUM(C25:C33)</f>
        <v>7669070</v>
      </c>
      <c r="D34" s="1762">
        <f t="shared" ref="D34:K34" si="1">SUM(D25:D33)</f>
        <v>2467954</v>
      </c>
      <c r="E34" s="1762">
        <f t="shared" si="1"/>
        <v>475575</v>
      </c>
      <c r="F34" s="1762">
        <f t="shared" si="1"/>
        <v>289937</v>
      </c>
      <c r="G34" s="1762">
        <f t="shared" si="1"/>
        <v>141789</v>
      </c>
      <c r="H34" s="1762">
        <f t="shared" si="1"/>
        <v>1060462</v>
      </c>
      <c r="I34" s="1762">
        <f t="shared" si="1"/>
        <v>287</v>
      </c>
      <c r="J34" s="1762">
        <f t="shared" si="1"/>
        <v>5449</v>
      </c>
      <c r="K34" s="1762">
        <f t="shared" si="1"/>
        <v>962794</v>
      </c>
      <c r="L34" s="1743">
        <f>SUM(L33)</f>
        <v>14364</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10435000</v>
      </c>
    </row>
    <row r="37" spans="1:14" ht="13.5" thickBot="1" x14ac:dyDescent="0.25">
      <c r="A37" s="1758" t="s">
        <v>674</v>
      </c>
      <c r="B37" s="1763"/>
      <c r="C37" s="477"/>
      <c r="D37" s="477"/>
      <c r="E37" s="477"/>
      <c r="F37" s="477"/>
      <c r="G37" s="477"/>
      <c r="H37" s="477"/>
      <c r="I37" s="477"/>
      <c r="J37" s="477"/>
      <c r="K37" s="477"/>
      <c r="L37" s="480"/>
      <c r="M37" s="468"/>
      <c r="N37" s="1710">
        <f>SUM(N36:N36)</f>
        <v>10435000</v>
      </c>
    </row>
    <row r="38" spans="1:14" s="329" customFormat="1" ht="13.5" customHeight="1" thickTop="1" x14ac:dyDescent="0.2">
      <c r="A38" s="496" t="s">
        <v>440</v>
      </c>
      <c r="B38" s="483">
        <v>714</v>
      </c>
      <c r="C38" s="466"/>
      <c r="D38" s="466">
        <v>802466</v>
      </c>
      <c r="E38" s="466">
        <v>589232</v>
      </c>
      <c r="F38" s="466">
        <v>1273235</v>
      </c>
      <c r="G38" s="466">
        <v>385211</v>
      </c>
      <c r="H38" s="466"/>
      <c r="I38" s="466"/>
      <c r="J38" s="467">
        <v>374812</v>
      </c>
      <c r="K38" s="466">
        <v>1051291</v>
      </c>
      <c r="L38" s="481"/>
      <c r="M38" s="497"/>
      <c r="N38" s="497"/>
    </row>
    <row r="39" spans="1:14" s="329" customFormat="1" ht="13.5" customHeight="1" x14ac:dyDescent="0.2">
      <c r="A39" s="496" t="s">
        <v>360</v>
      </c>
      <c r="B39" s="483">
        <v>730</v>
      </c>
      <c r="C39" s="466">
        <v>15576594</v>
      </c>
      <c r="D39" s="466"/>
      <c r="E39" s="466"/>
      <c r="F39" s="466"/>
      <c r="G39" s="466"/>
      <c r="H39" s="466">
        <v>-46514</v>
      </c>
      <c r="I39" s="466">
        <v>365141</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60271629</v>
      </c>
      <c r="N40" s="497"/>
    </row>
    <row r="41" spans="1:14" ht="13.5" customHeight="1" thickBot="1" x14ac:dyDescent="0.25">
      <c r="A41" s="1758" t="s">
        <v>676</v>
      </c>
      <c r="B41" s="1728"/>
      <c r="C41" s="1710">
        <f>(SUM(C34,C37,C38,C39))</f>
        <v>23245664</v>
      </c>
      <c r="D41" s="1710">
        <f t="shared" ref="D41:L41" si="2">SUM(D34,D37,D38:D39)</f>
        <v>3270420</v>
      </c>
      <c r="E41" s="1710">
        <f t="shared" si="2"/>
        <v>1064807</v>
      </c>
      <c r="F41" s="1710">
        <f t="shared" si="2"/>
        <v>1563172</v>
      </c>
      <c r="G41" s="1710">
        <f t="shared" si="2"/>
        <v>527000</v>
      </c>
      <c r="H41" s="1710">
        <f t="shared" si="2"/>
        <v>1013948</v>
      </c>
      <c r="I41" s="1710">
        <f t="shared" si="2"/>
        <v>365428</v>
      </c>
      <c r="J41" s="1710">
        <f t="shared" si="2"/>
        <v>380261</v>
      </c>
      <c r="K41" s="1710">
        <f t="shared" si="2"/>
        <v>2014085</v>
      </c>
      <c r="L41" s="1710">
        <f t="shared" si="2"/>
        <v>14364</v>
      </c>
      <c r="M41" s="1710">
        <f>SUM(M40)</f>
        <v>60271629</v>
      </c>
      <c r="N41" s="1710">
        <f>SUM(N37)</f>
        <v>10435000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0" activePane="bottomLeft" state="frozenSplit"/>
      <selection activeCell="A47" sqref="A47"/>
      <selection pane="bottomLeft" activeCell="D27" sqref="D2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1954" t="s">
        <v>1579</v>
      </c>
      <c r="B4" s="1955">
        <v>1000</v>
      </c>
      <c r="C4" s="1764">
        <f>'Revenues 9-14'!C109</f>
        <v>18975765</v>
      </c>
      <c r="D4" s="1764">
        <f>'Revenues 9-14'!D109</f>
        <v>2055140</v>
      </c>
      <c r="E4" s="1764">
        <f>'Revenues 9-14'!E109</f>
        <v>1108279</v>
      </c>
      <c r="F4" s="1764">
        <f>'Revenues 9-14'!F109</f>
        <v>647758</v>
      </c>
      <c r="G4" s="1764">
        <f>'Revenues 9-14'!G109</f>
        <v>385359</v>
      </c>
      <c r="H4" s="1764">
        <f>'Revenues 9-14'!H109</f>
        <v>48937</v>
      </c>
      <c r="I4" s="1764">
        <f>'Revenues 9-14'!I109</f>
        <v>268</v>
      </c>
      <c r="J4" s="1764">
        <f>'Revenues 9-14'!J109</f>
        <v>22752</v>
      </c>
      <c r="K4" s="1764">
        <f>'Revenues 9-14'!K109</f>
        <v>295698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1167814</v>
      </c>
      <c r="D6" s="1765">
        <f>'Revenues 9-14'!D173</f>
        <v>0</v>
      </c>
      <c r="E6" s="1765">
        <f>'Revenues 9-14'!E173</f>
        <v>0</v>
      </c>
      <c r="F6" s="1765">
        <f>'Revenues 9-14'!F173</f>
        <v>382899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375656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20519235</v>
      </c>
      <c r="D8" s="1710">
        <f t="shared" ref="D8:K8" si="0">SUM(D4:D7)</f>
        <v>2055140</v>
      </c>
      <c r="E8" s="1710">
        <f t="shared" si="0"/>
        <v>1108279</v>
      </c>
      <c r="F8" s="1710">
        <f t="shared" si="0"/>
        <v>1030657</v>
      </c>
      <c r="G8" s="1710">
        <f t="shared" si="0"/>
        <v>385359</v>
      </c>
      <c r="H8" s="1710">
        <f t="shared" si="0"/>
        <v>48937</v>
      </c>
      <c r="I8" s="1710">
        <f t="shared" si="0"/>
        <v>268</v>
      </c>
      <c r="J8" s="1710">
        <f t="shared" si="0"/>
        <v>22752</v>
      </c>
      <c r="K8" s="1710">
        <f t="shared" si="0"/>
        <v>295698</v>
      </c>
      <c r="L8" s="347"/>
    </row>
    <row r="9" spans="1:13" ht="15.75" thickTop="1" x14ac:dyDescent="0.2">
      <c r="A9" s="514" t="s">
        <v>1752</v>
      </c>
      <c r="B9" s="515">
        <v>3998</v>
      </c>
      <c r="C9" s="481">
        <v>9014262</v>
      </c>
      <c r="D9" s="516"/>
      <c r="E9" s="481"/>
      <c r="F9" s="481"/>
      <c r="G9" s="517"/>
      <c r="H9" s="481"/>
      <c r="I9" s="509" t="s">
        <v>1231</v>
      </c>
      <c r="J9" s="478"/>
      <c r="K9" s="481"/>
      <c r="L9" s="347"/>
    </row>
    <row r="10" spans="1:13" s="519" customFormat="1" ht="13.5" thickBot="1" x14ac:dyDescent="0.25">
      <c r="A10" s="1758" t="s">
        <v>1235</v>
      </c>
      <c r="B10" s="1731"/>
      <c r="C10" s="1710">
        <f>SUM(C8:C9)</f>
        <v>29533497</v>
      </c>
      <c r="D10" s="1710">
        <f t="shared" ref="D10:K10" si="1">SUM(D8:D9)</f>
        <v>2055140</v>
      </c>
      <c r="E10" s="1710">
        <f t="shared" si="1"/>
        <v>1108279</v>
      </c>
      <c r="F10" s="1710">
        <f t="shared" si="1"/>
        <v>1030657</v>
      </c>
      <c r="G10" s="1710">
        <f t="shared" si="1"/>
        <v>385359</v>
      </c>
      <c r="H10" s="1710">
        <f t="shared" si="1"/>
        <v>48937</v>
      </c>
      <c r="I10" s="1710">
        <f t="shared" si="1"/>
        <v>268</v>
      </c>
      <c r="J10" s="1710">
        <f t="shared" si="1"/>
        <v>22752</v>
      </c>
      <c r="K10" s="1710">
        <f t="shared" si="1"/>
        <v>295698</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12748107</v>
      </c>
      <c r="D12" s="520" t="s">
        <v>1231</v>
      </c>
      <c r="E12" s="468" t="s">
        <v>1231</v>
      </c>
      <c r="F12" s="468" t="s">
        <v>1231</v>
      </c>
      <c r="G12" s="1764">
        <f>'Expenditures 15-22'!K229</f>
        <v>258017</v>
      </c>
      <c r="H12" s="521"/>
      <c r="I12" s="468" t="s">
        <v>1231</v>
      </c>
      <c r="J12" s="468" t="s">
        <v>1231</v>
      </c>
      <c r="K12" s="521" t="s">
        <v>1231</v>
      </c>
      <c r="L12" s="347"/>
    </row>
    <row r="13" spans="1:13" ht="15.75" customHeight="1" x14ac:dyDescent="0.2">
      <c r="A13" s="1598" t="s">
        <v>477</v>
      </c>
      <c r="B13" s="1600">
        <v>2000</v>
      </c>
      <c r="C13" s="1765">
        <f>'Expenditures 15-22'!K74</f>
        <v>4651788</v>
      </c>
      <c r="D13" s="1765">
        <f>'Expenditures 15-22'!K129</f>
        <v>2071684</v>
      </c>
      <c r="E13" s="469" t="s">
        <v>1231</v>
      </c>
      <c r="F13" s="1765">
        <f>'Expenditures 15-22'!K184</f>
        <v>1144879</v>
      </c>
      <c r="G13" s="1765">
        <f>'Expenditures 15-22'!K279</f>
        <v>296478</v>
      </c>
      <c r="H13" s="1765">
        <f>'Expenditures 15-22'!K303</f>
        <v>7090165</v>
      </c>
      <c r="I13" s="468" t="s">
        <v>1231</v>
      </c>
      <c r="J13" s="1765">
        <f>'Expenditures 15-22'!K330</f>
        <v>212535</v>
      </c>
      <c r="K13" s="1769">
        <f>'Expenditures 15-22'!K352</f>
        <v>648136</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1897380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1048663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19297275</v>
      </c>
      <c r="D17" s="1710">
        <f t="shared" si="2"/>
        <v>2071684</v>
      </c>
      <c r="E17" s="1710">
        <f t="shared" si="2"/>
        <v>1048663</v>
      </c>
      <c r="F17" s="1710">
        <f t="shared" si="2"/>
        <v>1144879</v>
      </c>
      <c r="G17" s="1710">
        <f t="shared" si="2"/>
        <v>554495</v>
      </c>
      <c r="H17" s="1710">
        <f t="shared" si="2"/>
        <v>7090165</v>
      </c>
      <c r="I17" s="468"/>
      <c r="J17" s="1710">
        <f>SUM(J12:J16)</f>
        <v>212535</v>
      </c>
      <c r="K17" s="1710">
        <f>SUM(K12:K16)</f>
        <v>648136</v>
      </c>
      <c r="L17" s="347"/>
    </row>
    <row r="18" spans="1:12" ht="15" customHeight="1" thickTop="1" x14ac:dyDescent="0.2">
      <c r="A18" s="1766" t="s">
        <v>1753</v>
      </c>
      <c r="B18" s="1767">
        <v>4180</v>
      </c>
      <c r="C18" s="1764">
        <f t="shared" ref="C18:H18" si="3">C9</f>
        <v>9014262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28311537</v>
      </c>
      <c r="D19" s="1710">
        <f t="shared" si="4"/>
        <v>2071684</v>
      </c>
      <c r="E19" s="1710">
        <f t="shared" si="4"/>
        <v>1048663</v>
      </c>
      <c r="F19" s="1710">
        <f t="shared" si="4"/>
        <v>1144879</v>
      </c>
      <c r="G19" s="1710">
        <f t="shared" si="4"/>
        <v>554495</v>
      </c>
      <c r="H19" s="1710">
        <f t="shared" si="4"/>
        <v>7090165</v>
      </c>
      <c r="I19" s="468"/>
      <c r="J19" s="1710">
        <f>SUM(J17:J18)</f>
        <v>212535</v>
      </c>
      <c r="K19" s="1710">
        <f>SUM(K17:K18)</f>
        <v>648136</v>
      </c>
      <c r="L19" s="347"/>
    </row>
    <row r="20" spans="1:12" ht="16.5" thickTop="1" thickBot="1" x14ac:dyDescent="0.25">
      <c r="A20" s="2141" t="s">
        <v>1754</v>
      </c>
      <c r="B20" s="2142"/>
      <c r="C20" s="1768">
        <f>C8-C17</f>
        <v>1221960</v>
      </c>
      <c r="D20" s="1768">
        <f t="shared" ref="D20:K20" si="5">D8-D17</f>
        <v>-16544</v>
      </c>
      <c r="E20" s="1768">
        <f t="shared" si="5"/>
        <v>59616</v>
      </c>
      <c r="F20" s="1768">
        <f t="shared" si="5"/>
        <v>-114222</v>
      </c>
      <c r="G20" s="1768">
        <f t="shared" si="5"/>
        <v>-169136</v>
      </c>
      <c r="H20" s="1768">
        <f t="shared" si="5"/>
        <v>-7041228</v>
      </c>
      <c r="I20" s="1768">
        <f t="shared" si="5"/>
        <v>268</v>
      </c>
      <c r="J20" s="1768">
        <f t="shared" si="5"/>
        <v>-189783</v>
      </c>
      <c r="K20" s="1768">
        <f t="shared" si="5"/>
        <v>-352438</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v>4500000</v>
      </c>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6000000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5" t="s">
        <v>392</v>
      </c>
      <c r="B44" s="2156"/>
      <c r="C44" s="1725">
        <f>SUM(C24:C43)</f>
        <v>0</v>
      </c>
      <c r="D44" s="1725">
        <f t="shared" ref="D44:K44" si="6">SUM(D24:D43)</f>
        <v>4500000</v>
      </c>
      <c r="E44" s="1725">
        <f t="shared" si="6"/>
        <v>0</v>
      </c>
      <c r="F44" s="1725">
        <f t="shared" si="6"/>
        <v>0</v>
      </c>
      <c r="G44" s="1725">
        <f t="shared" si="6"/>
        <v>0</v>
      </c>
      <c r="H44" s="1725">
        <f t="shared" si="6"/>
        <v>6000000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v>3500000</v>
      </c>
      <c r="D50" s="467"/>
      <c r="E50" s="467"/>
      <c r="F50" s="467"/>
      <c r="G50" s="467"/>
      <c r="H50" s="467"/>
      <c r="I50" s="477"/>
      <c r="J50" s="467">
        <v>1000000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v>6000000</v>
      </c>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1" t="s">
        <v>460</v>
      </c>
      <c r="B76" s="2132"/>
      <c r="C76" s="1725">
        <f t="shared" ref="C76:K76" si="7">SUM(C47:C75)</f>
        <v>3500000</v>
      </c>
      <c r="D76" s="1725">
        <f t="shared" si="7"/>
        <v>6000000</v>
      </c>
      <c r="E76" s="1725">
        <f t="shared" si="7"/>
        <v>0</v>
      </c>
      <c r="F76" s="1725">
        <f t="shared" si="7"/>
        <v>0</v>
      </c>
      <c r="G76" s="1725">
        <f t="shared" si="7"/>
        <v>0</v>
      </c>
      <c r="H76" s="1725">
        <f t="shared" si="7"/>
        <v>0</v>
      </c>
      <c r="I76" s="1725">
        <f t="shared" si="7"/>
        <v>0</v>
      </c>
      <c r="J76" s="1725">
        <f t="shared" si="7"/>
        <v>1000000</v>
      </c>
      <c r="K76" s="1725">
        <f t="shared" si="7"/>
        <v>0</v>
      </c>
      <c r="L76" s="524"/>
    </row>
    <row r="77" spans="1:12" ht="14.25" thickTop="1" thickBot="1" x14ac:dyDescent="0.25">
      <c r="A77" s="2133" t="s">
        <v>1239</v>
      </c>
      <c r="B77" s="2134"/>
      <c r="C77" s="1725">
        <f t="shared" ref="C77:K77" si="8">C44-C76</f>
        <v>-3500000</v>
      </c>
      <c r="D77" s="1725">
        <f t="shared" si="8"/>
        <v>-1500000</v>
      </c>
      <c r="E77" s="1725">
        <f t="shared" si="8"/>
        <v>0</v>
      </c>
      <c r="F77" s="1725">
        <f t="shared" si="8"/>
        <v>0</v>
      </c>
      <c r="G77" s="1725">
        <f t="shared" si="8"/>
        <v>0</v>
      </c>
      <c r="H77" s="1725">
        <f t="shared" si="8"/>
        <v>6000000</v>
      </c>
      <c r="I77" s="1725">
        <f t="shared" si="8"/>
        <v>0</v>
      </c>
      <c r="J77" s="1725">
        <f t="shared" si="8"/>
        <v>-1000000</v>
      </c>
      <c r="K77" s="1725">
        <f t="shared" si="8"/>
        <v>0</v>
      </c>
      <c r="L77" s="347"/>
    </row>
    <row r="78" spans="1:12" ht="21.75" customHeight="1" thickTop="1" thickBot="1" x14ac:dyDescent="0.25">
      <c r="A78" s="2137" t="s">
        <v>618</v>
      </c>
      <c r="B78" s="2138"/>
      <c r="C78" s="1724">
        <f t="shared" ref="C78:K78" si="9">C20+C77</f>
        <v>-2278040</v>
      </c>
      <c r="D78" s="1724">
        <f t="shared" si="9"/>
        <v>-1516544</v>
      </c>
      <c r="E78" s="1724">
        <f t="shared" si="9"/>
        <v>59616</v>
      </c>
      <c r="F78" s="1724">
        <f t="shared" si="9"/>
        <v>-114222</v>
      </c>
      <c r="G78" s="1724">
        <f t="shared" si="9"/>
        <v>-169136</v>
      </c>
      <c r="H78" s="1724">
        <f t="shared" si="9"/>
        <v>-1041228</v>
      </c>
      <c r="I78" s="1724">
        <f t="shared" si="9"/>
        <v>268</v>
      </c>
      <c r="J78" s="1724">
        <f t="shared" si="9"/>
        <v>-1189783</v>
      </c>
      <c r="K78" s="1724">
        <f t="shared" si="9"/>
        <v>-352438</v>
      </c>
      <c r="L78" s="533"/>
    </row>
    <row r="79" spans="1:12" ht="13.5" thickTop="1" x14ac:dyDescent="0.2">
      <c r="A79" s="1516" t="s">
        <v>2073</v>
      </c>
      <c r="B79" s="534"/>
      <c r="C79" s="478">
        <v>17854634</v>
      </c>
      <c r="D79" s="535">
        <v>2319010</v>
      </c>
      <c r="E79" s="535">
        <v>529616</v>
      </c>
      <c r="F79" s="535">
        <v>1387457</v>
      </c>
      <c r="G79" s="535">
        <v>554347</v>
      </c>
      <c r="H79" s="535">
        <v>994714</v>
      </c>
      <c r="I79" s="535">
        <v>364873</v>
      </c>
      <c r="J79" s="535">
        <v>1564595</v>
      </c>
      <c r="K79" s="535">
        <v>1403729</v>
      </c>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15576594</v>
      </c>
      <c r="D81" s="1710">
        <f>SUM(D78:D80)</f>
        <v>802466</v>
      </c>
      <c r="E81" s="1710">
        <f t="shared" ref="E81:K81" si="10">SUM(E78:E80)</f>
        <v>589232</v>
      </c>
      <c r="F81" s="1710">
        <f t="shared" si="10"/>
        <v>1273235</v>
      </c>
      <c r="G81" s="1710">
        <f t="shared" si="10"/>
        <v>385211</v>
      </c>
      <c r="H81" s="1710">
        <f t="shared" si="10"/>
        <v>-46514</v>
      </c>
      <c r="I81" s="1710">
        <f t="shared" si="10"/>
        <v>365141</v>
      </c>
      <c r="J81" s="1710">
        <f t="shared" si="10"/>
        <v>374812</v>
      </c>
      <c r="K81" s="1710">
        <f t="shared" si="10"/>
        <v>1051291</v>
      </c>
      <c r="L81" s="347"/>
    </row>
    <row r="82" spans="1:12" ht="0.75" customHeight="1" thickTop="1" thickBot="1" x14ac:dyDescent="0.25">
      <c r="A82" s="536" t="s">
        <v>361</v>
      </c>
      <c r="B82" s="537"/>
      <c r="C82" s="538">
        <f>(C81-C79)</f>
        <v>-2278040</v>
      </c>
      <c r="D82" s="538">
        <f t="shared" ref="D82:K82" si="11">(D81-D79)</f>
        <v>-1516544</v>
      </c>
      <c r="E82" s="538">
        <f t="shared" si="11"/>
        <v>59616</v>
      </c>
      <c r="F82" s="538">
        <f t="shared" si="11"/>
        <v>-114222</v>
      </c>
      <c r="G82" s="538">
        <f t="shared" si="11"/>
        <v>-169136</v>
      </c>
      <c r="H82" s="538">
        <f t="shared" si="11"/>
        <v>-1041228</v>
      </c>
      <c r="I82" s="538">
        <f t="shared" si="11"/>
        <v>268</v>
      </c>
      <c r="J82" s="538">
        <f t="shared" si="11"/>
        <v>-1189783</v>
      </c>
      <c r="K82" s="538">
        <f t="shared" si="11"/>
        <v>-352438</v>
      </c>
    </row>
    <row r="83" spans="1:12" ht="14.25" hidden="1" thickTop="1" thickBot="1" x14ac:dyDescent="0.25">
      <c r="A83" s="539" t="s">
        <v>362</v>
      </c>
      <c r="B83" s="464"/>
      <c r="C83" s="540">
        <f>C82/C81</f>
        <v>-0.14624763282653447</v>
      </c>
      <c r="D83" s="540">
        <f t="shared" ref="D83:K83" si="12">D82/D81</f>
        <v>-1.8898545234315223</v>
      </c>
      <c r="E83" s="540">
        <f t="shared" si="12"/>
        <v>0.10117576777907514</v>
      </c>
      <c r="F83" s="540">
        <f t="shared" si="12"/>
        <v>-8.9710069233095227E-2</v>
      </c>
      <c r="G83" s="540">
        <f t="shared" si="12"/>
        <v>-0.43907365054476638</v>
      </c>
      <c r="H83" s="540">
        <f t="shared" si="12"/>
        <v>22.385260351722064</v>
      </c>
      <c r="I83" s="540">
        <f t="shared" si="12"/>
        <v>7.3396304441298015E-4</v>
      </c>
      <c r="J83" s="540">
        <f t="shared" si="12"/>
        <v>-3.1743460721641785</v>
      </c>
      <c r="K83" s="540">
        <f t="shared" si="12"/>
        <v>-0.33524304878477984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17105888</v>
      </c>
      <c r="D5" s="481">
        <v>1923017</v>
      </c>
      <c r="E5" s="466">
        <v>1107164</v>
      </c>
      <c r="F5" s="548">
        <v>506323</v>
      </c>
      <c r="G5" s="466">
        <v>176836</v>
      </c>
      <c r="H5" s="466"/>
      <c r="I5" s="466">
        <v>668</v>
      </c>
      <c r="J5" s="467">
        <v>668</v>
      </c>
      <c r="K5" s="466">
        <v>310173</v>
      </c>
    </row>
    <row r="6" spans="1:12" ht="15" x14ac:dyDescent="0.2">
      <c r="A6" s="463" t="s">
        <v>1761</v>
      </c>
      <c r="B6" s="470">
        <v>1130</v>
      </c>
      <c r="C6" s="466"/>
      <c r="D6" s="466"/>
      <c r="E6" s="475"/>
      <c r="F6" s="475"/>
      <c r="G6" s="468"/>
      <c r="H6" s="468"/>
      <c r="I6" s="468"/>
      <c r="J6" s="468"/>
      <c r="K6" s="468"/>
    </row>
    <row r="7" spans="1:12" x14ac:dyDescent="0.2">
      <c r="A7" s="463" t="s">
        <v>112</v>
      </c>
      <c r="B7" s="549">
        <v>1140</v>
      </c>
      <c r="C7" s="466">
        <v>303590</v>
      </c>
      <c r="D7" s="466"/>
      <c r="E7" s="468"/>
      <c r="F7" s="467"/>
      <c r="G7" s="467"/>
      <c r="H7" s="467"/>
      <c r="I7" s="468"/>
      <c r="J7" s="468"/>
      <c r="K7" s="468"/>
    </row>
    <row r="8" spans="1:12" x14ac:dyDescent="0.2">
      <c r="A8" s="463" t="s">
        <v>433</v>
      </c>
      <c r="B8" s="470">
        <v>1150</v>
      </c>
      <c r="C8" s="475"/>
      <c r="D8" s="475"/>
      <c r="E8" s="477"/>
      <c r="F8" s="477"/>
      <c r="G8" s="481">
        <v>151983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17409478</v>
      </c>
      <c r="D12" s="1729">
        <f t="shared" si="0"/>
        <v>1923017</v>
      </c>
      <c r="E12" s="1729">
        <f t="shared" si="0"/>
        <v>1107164</v>
      </c>
      <c r="F12" s="1729">
        <f t="shared" si="0"/>
        <v>506323</v>
      </c>
      <c r="G12" s="1729">
        <f t="shared" si="0"/>
        <v>328819</v>
      </c>
      <c r="H12" s="1729">
        <f t="shared" si="0"/>
        <v>0</v>
      </c>
      <c r="I12" s="1729">
        <f t="shared" si="0"/>
        <v>668</v>
      </c>
      <c r="J12" s="1729">
        <f t="shared" si="0"/>
        <v>668</v>
      </c>
      <c r="K12" s="1710">
        <f t="shared" si="0"/>
        <v>310173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388512</v>
      </c>
      <c r="D16" s="466"/>
      <c r="E16" s="466"/>
      <c r="F16" s="466">
        <v>140644</v>
      </c>
      <c r="G16" s="466">
        <v>52090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388512</v>
      </c>
      <c r="D18" s="1732">
        <f t="shared" ref="D18:K18" si="1">SUM(D14:D17)</f>
        <v>0</v>
      </c>
      <c r="E18" s="1732">
        <f t="shared" si="1"/>
        <v>0</v>
      </c>
      <c r="F18" s="1732">
        <f t="shared" si="1"/>
        <v>140644</v>
      </c>
      <c r="G18" s="1732">
        <f t="shared" si="1"/>
        <v>52090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202350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41748</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244098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111198</v>
      </c>
      <c r="D65" s="466">
        <v>1955</v>
      </c>
      <c r="E65" s="466">
        <v>1115</v>
      </c>
      <c r="F65" s="467">
        <v>791</v>
      </c>
      <c r="G65" s="466">
        <v>4450</v>
      </c>
      <c r="H65" s="466">
        <v>3937</v>
      </c>
      <c r="I65" s="466">
        <v>-400</v>
      </c>
      <c r="J65" s="467">
        <v>22084</v>
      </c>
      <c r="K65" s="466">
        <v>-14475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111198</v>
      </c>
      <c r="D67" s="1710">
        <f t="shared" ref="D67:K67" si="2">SUM(D65:D66)</f>
        <v>1955</v>
      </c>
      <c r="E67" s="1710">
        <f t="shared" si="2"/>
        <v>1115</v>
      </c>
      <c r="F67" s="1710">
        <f t="shared" si="2"/>
        <v>791</v>
      </c>
      <c r="G67" s="1710">
        <f t="shared" si="2"/>
        <v>4450</v>
      </c>
      <c r="H67" s="1710">
        <f t="shared" si="2"/>
        <v>3937</v>
      </c>
      <c r="I67" s="1710">
        <f t="shared" si="2"/>
        <v>-400</v>
      </c>
      <c r="J67" s="1710">
        <f t="shared" si="2"/>
        <v>22084</v>
      </c>
      <c r="K67" s="1710">
        <f t="shared" si="2"/>
        <v>-14475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290409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290409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96959</v>
      </c>
      <c r="D79" s="466"/>
      <c r="E79" s="468"/>
      <c r="F79" s="468"/>
      <c r="G79" s="468"/>
      <c r="H79" s="468"/>
      <c r="I79" s="468"/>
      <c r="J79" s="468"/>
      <c r="K79" s="468"/>
    </row>
    <row r="80" spans="1:11" ht="12.75" customHeight="1" x14ac:dyDescent="0.2">
      <c r="A80" s="463" t="s">
        <v>572</v>
      </c>
      <c r="B80" s="470">
        <v>1730</v>
      </c>
      <c r="C80" s="551">
        <v>3313</v>
      </c>
      <c r="D80" s="466"/>
      <c r="E80" s="468"/>
      <c r="F80" s="468"/>
      <c r="G80" s="468"/>
      <c r="H80" s="468"/>
      <c r="I80" s="468"/>
      <c r="J80" s="468"/>
      <c r="K80" s="468"/>
    </row>
    <row r="81" spans="1:11" ht="12.75" customHeight="1" x14ac:dyDescent="0.2">
      <c r="A81" s="463" t="s">
        <v>26</v>
      </c>
      <c r="B81" s="470">
        <v>1790</v>
      </c>
      <c r="C81" s="551">
        <v>32080</v>
      </c>
      <c r="D81" s="466"/>
      <c r="E81" s="468"/>
      <c r="F81" s="468"/>
      <c r="G81" s="468"/>
      <c r="H81" s="468"/>
      <c r="I81" s="468"/>
      <c r="J81" s="468"/>
      <c r="K81" s="468"/>
    </row>
    <row r="82" spans="1:11" ht="12.75" customHeight="1" thickBot="1" x14ac:dyDescent="0.25">
      <c r="A82" s="1730" t="s">
        <v>259</v>
      </c>
      <c r="B82" s="1731"/>
      <c r="C82" s="1729">
        <f>SUM(C77:C81)</f>
        <v>132352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45167</v>
      </c>
      <c r="D84" s="468"/>
      <c r="E84" s="468"/>
      <c r="F84" s="468"/>
      <c r="G84" s="468"/>
      <c r="H84" s="468"/>
      <c r="I84" s="468"/>
      <c r="J84" s="468"/>
      <c r="K84" s="468"/>
    </row>
    <row r="85" spans="1:11" ht="12.75" customHeight="1" x14ac:dyDescent="0.2">
      <c r="A85" s="463" t="s">
        <v>574</v>
      </c>
      <c r="B85" s="470">
        <v>1812</v>
      </c>
      <c r="C85" s="551">
        <v>38814</v>
      </c>
      <c r="D85" s="468"/>
      <c r="E85" s="468"/>
      <c r="F85" s="468"/>
      <c r="G85" s="468"/>
      <c r="H85" s="468"/>
      <c r="I85" s="468"/>
      <c r="J85" s="468"/>
      <c r="K85" s="468"/>
    </row>
    <row r="86" spans="1:11" ht="12.75" customHeight="1" x14ac:dyDescent="0.2">
      <c r="A86" s="463" t="s">
        <v>1056</v>
      </c>
      <c r="B86" s="470">
        <v>1813</v>
      </c>
      <c r="C86" s="551">
        <v>12671</v>
      </c>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1905</v>
      </c>
      <c r="D88" s="468"/>
      <c r="E88" s="468"/>
      <c r="F88" s="468"/>
      <c r="G88" s="468"/>
      <c r="H88" s="468"/>
      <c r="I88" s="468"/>
      <c r="J88" s="468"/>
      <c r="K88" s="468"/>
    </row>
    <row r="89" spans="1:11" ht="12.75" customHeight="1" x14ac:dyDescent="0.2">
      <c r="A89" s="463" t="s">
        <v>738</v>
      </c>
      <c r="B89" s="470">
        <v>1822</v>
      </c>
      <c r="C89" s="551">
        <v>2295</v>
      </c>
      <c r="D89" s="468"/>
      <c r="E89" s="468"/>
      <c r="F89" s="468"/>
      <c r="G89" s="468"/>
      <c r="H89" s="468"/>
      <c r="I89" s="468"/>
      <c r="J89" s="468"/>
      <c r="K89" s="468"/>
    </row>
    <row r="90" spans="1:11" ht="12.75" customHeight="1" x14ac:dyDescent="0.2">
      <c r="A90" s="463" t="s">
        <v>141</v>
      </c>
      <c r="B90" s="470">
        <v>1823</v>
      </c>
      <c r="C90" s="551">
        <v>4100</v>
      </c>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10</v>
      </c>
      <c r="D92" s="468"/>
      <c r="E92" s="468"/>
      <c r="F92" s="468"/>
      <c r="G92" s="468"/>
      <c r="H92" s="468"/>
      <c r="I92" s="468"/>
      <c r="J92" s="468"/>
      <c r="K92" s="468"/>
    </row>
    <row r="93" spans="1:11" ht="12.75" customHeight="1" thickBot="1" x14ac:dyDescent="0.25">
      <c r="A93" s="1730" t="s">
        <v>261</v>
      </c>
      <c r="B93" s="1731"/>
      <c r="C93" s="1710">
        <f>SUM(C84:C92)</f>
        <v>104962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125139</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251393</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v>2439</v>
      </c>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43363</v>
      </c>
      <c r="D107" s="466">
        <v>2590</v>
      </c>
      <c r="E107" s="466"/>
      <c r="F107" s="466"/>
      <c r="G107" s="466"/>
      <c r="H107" s="466">
        <v>45000</v>
      </c>
      <c r="I107" s="466"/>
      <c r="J107" s="467"/>
      <c r="K107" s="466"/>
    </row>
    <row r="108" spans="1:12" ht="12.75" customHeight="1" thickBot="1" x14ac:dyDescent="0.25">
      <c r="A108" s="1730" t="s">
        <v>508</v>
      </c>
      <c r="B108" s="1734"/>
      <c r="C108" s="1729">
        <f>SUM(C95:C107)</f>
        <v>294756</v>
      </c>
      <c r="D108" s="1729">
        <f t="shared" ref="D108:K108" si="3">SUM(D95:D107)</f>
        <v>130168</v>
      </c>
      <c r="E108" s="1729">
        <f t="shared" si="3"/>
        <v>0</v>
      </c>
      <c r="F108" s="1729">
        <f t="shared" si="3"/>
        <v>0</v>
      </c>
      <c r="G108" s="1729">
        <f t="shared" si="3"/>
        <v>0</v>
      </c>
      <c r="H108" s="1729">
        <f t="shared" si="3"/>
        <v>45000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18975765</v>
      </c>
      <c r="D109" s="1737">
        <f t="shared" si="4"/>
        <v>2055140</v>
      </c>
      <c r="E109" s="1737">
        <f t="shared" si="4"/>
        <v>1108279</v>
      </c>
      <c r="F109" s="1737">
        <f t="shared" si="4"/>
        <v>647758</v>
      </c>
      <c r="G109" s="1737">
        <f t="shared" si="4"/>
        <v>385359</v>
      </c>
      <c r="H109" s="1737">
        <f t="shared" si="4"/>
        <v>48937</v>
      </c>
      <c r="I109" s="1737">
        <f t="shared" si="4"/>
        <v>268</v>
      </c>
      <c r="J109" s="1737">
        <f t="shared" si="4"/>
        <v>22752</v>
      </c>
      <c r="K109" s="1724">
        <f t="shared" si="4"/>
        <v>295698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1159947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1159947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1705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1705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3925</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3925</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152782</v>
      </c>
      <c r="G151" s="467"/>
      <c r="H151" s="468"/>
      <c r="I151" s="468"/>
      <c r="J151" s="468"/>
      <c r="K151" s="468"/>
    </row>
    <row r="152" spans="1:11" ht="12.75" customHeight="1" x14ac:dyDescent="0.2">
      <c r="A152" s="463" t="s">
        <v>1117</v>
      </c>
      <c r="B152" s="562">
        <v>3510</v>
      </c>
      <c r="C152" s="551"/>
      <c r="D152" s="466"/>
      <c r="E152" s="561"/>
      <c r="F152" s="466">
        <v>230117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382899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2237</v>
      </c>
      <c r="D171" s="580"/>
      <c r="E171" s="580"/>
      <c r="F171" s="580"/>
      <c r="G171" s="581"/>
      <c r="H171" s="582"/>
      <c r="I171" s="581"/>
      <c r="J171" s="581"/>
      <c r="K171" s="582"/>
    </row>
    <row r="172" spans="1:11" ht="12.75" customHeight="1" thickTop="1" thickBot="1" x14ac:dyDescent="0.25">
      <c r="A172" s="2159" t="s">
        <v>418</v>
      </c>
      <c r="B172" s="2160"/>
      <c r="C172" s="1744">
        <f t="shared" ref="C172:K172" si="6">SUM(C131,C140,C144,C145:C149,C154,C155:C170,C171)</f>
        <v>7867</v>
      </c>
      <c r="D172" s="1744">
        <f t="shared" si="6"/>
        <v>0</v>
      </c>
      <c r="E172" s="1744">
        <f t="shared" si="6"/>
        <v>0</v>
      </c>
      <c r="F172" s="1744">
        <f t="shared" si="6"/>
        <v>382899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1167814</v>
      </c>
      <c r="D173" s="1737">
        <f>SUM(D121,D172)</f>
        <v>0</v>
      </c>
      <c r="E173" s="1737">
        <f>SUM(E121,E172)</f>
        <v>0</v>
      </c>
      <c r="F173" s="1737">
        <f t="shared" ref="F173:K173" si="7">SUM(F121,F172)</f>
        <v>382899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1" t="s">
        <v>1572</v>
      </c>
      <c r="B175" s="216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5" t="s">
        <v>1764</v>
      </c>
      <c r="B178" s="216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69" t="s">
        <v>1763</v>
      </c>
      <c r="B179" s="217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7" t="s">
        <v>818</v>
      </c>
      <c r="B184" s="216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3" t="s">
        <v>1906</v>
      </c>
      <c r="B185" s="216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v>19915</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19915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335342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335342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15519</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4880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375656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375656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20519235</v>
      </c>
      <c r="D275" s="1737">
        <f t="shared" si="12"/>
        <v>2055140</v>
      </c>
      <c r="E275" s="1737">
        <f t="shared" si="12"/>
        <v>1108279</v>
      </c>
      <c r="F275" s="1737">
        <f t="shared" si="12"/>
        <v>1030657</v>
      </c>
      <c r="G275" s="1737">
        <f t="shared" si="12"/>
        <v>385359</v>
      </c>
      <c r="H275" s="1737">
        <f t="shared" si="12"/>
        <v>48937</v>
      </c>
      <c r="I275" s="1737">
        <f t="shared" si="12"/>
        <v>268</v>
      </c>
      <c r="J275" s="1737">
        <f t="shared" si="12"/>
        <v>22752</v>
      </c>
      <c r="K275" s="1724">
        <f t="shared" si="12"/>
        <v>295698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24" activePane="bottomLeft" state="frozen"/>
      <selection activeCell="A47" sqref="A47"/>
      <selection pane="bottomLeft" activeCell="L125" sqref="L12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6913864</v>
      </c>
      <c r="D5" s="466">
        <v>1044197</v>
      </c>
      <c r="E5" s="466">
        <v>251023</v>
      </c>
      <c r="F5" s="466">
        <v>515105</v>
      </c>
      <c r="G5" s="466">
        <v>196867</v>
      </c>
      <c r="H5" s="466"/>
      <c r="I5" s="467">
        <v>127196</v>
      </c>
      <c r="J5" s="467">
        <v>416131</v>
      </c>
      <c r="K5" s="1693">
        <f>SUM(C5:J5)</f>
        <v>9464383</v>
      </c>
      <c r="L5" s="466">
        <v>9788762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69799</v>
      </c>
      <c r="D7" s="467">
        <v>15213</v>
      </c>
      <c r="E7" s="467"/>
      <c r="F7" s="467">
        <v>479</v>
      </c>
      <c r="G7" s="467">
        <v>570</v>
      </c>
      <c r="H7" s="467"/>
      <c r="I7" s="467">
        <v>142</v>
      </c>
      <c r="J7" s="467"/>
      <c r="K7" s="1693">
        <f t="shared" ref="K7:K32" si="0">SUM(C7:J7)</f>
        <v>86203</v>
      </c>
      <c r="L7" s="466">
        <v>105438</v>
      </c>
    </row>
    <row r="8" spans="1:14" x14ac:dyDescent="0.2">
      <c r="A8" s="1526" t="s">
        <v>166</v>
      </c>
      <c r="B8" s="615">
        <v>1200</v>
      </c>
      <c r="C8" s="466">
        <v>1032782</v>
      </c>
      <c r="D8" s="466">
        <v>166983</v>
      </c>
      <c r="E8" s="466">
        <v>1845</v>
      </c>
      <c r="F8" s="466">
        <v>3236</v>
      </c>
      <c r="G8" s="466">
        <v>667</v>
      </c>
      <c r="H8" s="466">
        <v>490</v>
      </c>
      <c r="I8" s="467">
        <v>1428</v>
      </c>
      <c r="J8" s="467"/>
      <c r="K8" s="1693">
        <f t="shared" si="0"/>
        <v>1207431</v>
      </c>
      <c r="L8" s="466">
        <v>1351124</v>
      </c>
    </row>
    <row r="9" spans="1:14" x14ac:dyDescent="0.2">
      <c r="A9" s="1526" t="s">
        <v>745</v>
      </c>
      <c r="B9" s="615" t="s">
        <v>1025</v>
      </c>
      <c r="C9" s="467"/>
      <c r="D9" s="467"/>
      <c r="E9" s="467"/>
      <c r="F9" s="467">
        <v>951</v>
      </c>
      <c r="G9" s="467"/>
      <c r="H9" s="467"/>
      <c r="I9" s="467"/>
      <c r="J9" s="467"/>
      <c r="K9" s="1693">
        <f t="shared" si="0"/>
        <v>951</v>
      </c>
      <c r="L9" s="466">
        <v>965</v>
      </c>
    </row>
    <row r="10" spans="1:14" x14ac:dyDescent="0.2">
      <c r="A10" s="1526" t="s">
        <v>746</v>
      </c>
      <c r="B10" s="615">
        <v>1250</v>
      </c>
      <c r="C10" s="466">
        <v>602810</v>
      </c>
      <c r="D10" s="466">
        <v>133215</v>
      </c>
      <c r="E10" s="466"/>
      <c r="F10" s="466">
        <v>1043</v>
      </c>
      <c r="G10" s="466">
        <v>11000</v>
      </c>
      <c r="H10" s="466"/>
      <c r="I10" s="467"/>
      <c r="J10" s="467"/>
      <c r="K10" s="1693">
        <f t="shared" si="0"/>
        <v>748068</v>
      </c>
      <c r="L10" s="466">
        <v>767204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115049</v>
      </c>
      <c r="D14" s="466">
        <v>2151</v>
      </c>
      <c r="E14" s="466"/>
      <c r="F14" s="466">
        <v>12</v>
      </c>
      <c r="G14" s="466"/>
      <c r="H14" s="466"/>
      <c r="I14" s="467"/>
      <c r="J14" s="467"/>
      <c r="K14" s="1693">
        <f t="shared" si="0"/>
        <v>117212</v>
      </c>
      <c r="L14" s="466">
        <v>142602</v>
      </c>
    </row>
    <row r="15" spans="1:14" x14ac:dyDescent="0.2">
      <c r="A15" s="1526" t="s">
        <v>1021</v>
      </c>
      <c r="B15" s="615">
        <v>1600</v>
      </c>
      <c r="C15" s="466">
        <v>44701</v>
      </c>
      <c r="D15" s="466">
        <v>541</v>
      </c>
      <c r="E15" s="466"/>
      <c r="F15" s="466">
        <v>2819</v>
      </c>
      <c r="G15" s="466"/>
      <c r="H15" s="466"/>
      <c r="I15" s="467"/>
      <c r="J15" s="467"/>
      <c r="K15" s="1693">
        <f t="shared" si="0"/>
        <v>48061</v>
      </c>
      <c r="L15" s="466">
        <v>63030</v>
      </c>
    </row>
    <row r="16" spans="1:14" x14ac:dyDescent="0.2">
      <c r="A16" s="1526" t="s">
        <v>1044</v>
      </c>
      <c r="B16" s="615" t="s">
        <v>444</v>
      </c>
      <c r="C16" s="466">
        <v>378356</v>
      </c>
      <c r="D16" s="466">
        <v>53289</v>
      </c>
      <c r="E16" s="466"/>
      <c r="F16" s="466">
        <v>5986</v>
      </c>
      <c r="G16" s="466"/>
      <c r="H16" s="466"/>
      <c r="I16" s="467"/>
      <c r="J16" s="467"/>
      <c r="K16" s="1693">
        <f t="shared" si="0"/>
        <v>437631</v>
      </c>
      <c r="L16" s="466">
        <v>431540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531868</v>
      </c>
      <c r="D18" s="466">
        <v>104623</v>
      </c>
      <c r="E18" s="466">
        <v>445</v>
      </c>
      <c r="F18" s="466">
        <v>1231</v>
      </c>
      <c r="G18" s="466"/>
      <c r="H18" s="466"/>
      <c r="I18" s="467"/>
      <c r="J18" s="467"/>
      <c r="K18" s="1693">
        <f t="shared" si="0"/>
        <v>638167</v>
      </c>
      <c r="L18" s="466">
        <v>656807</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9689229</v>
      </c>
      <c r="D33" s="1692">
        <f t="shared" ref="D33:L33" si="1">SUM(D5:D32)</f>
        <v>1520212</v>
      </c>
      <c r="E33" s="1692">
        <f t="shared" si="1"/>
        <v>253313</v>
      </c>
      <c r="F33" s="1692">
        <f t="shared" si="1"/>
        <v>530862</v>
      </c>
      <c r="G33" s="1692">
        <f t="shared" si="1"/>
        <v>209104</v>
      </c>
      <c r="H33" s="1692">
        <f t="shared" si="1"/>
        <v>490</v>
      </c>
      <c r="I33" s="1692">
        <f t="shared" si="1"/>
        <v>128766</v>
      </c>
      <c r="J33" s="1692">
        <f t="shared" si="1"/>
        <v>416131</v>
      </c>
      <c r="K33" s="1692">
        <f t="shared" si="1"/>
        <v>12748107</v>
      </c>
      <c r="L33" s="1692">
        <f t="shared" si="1"/>
        <v>13307472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270860</v>
      </c>
      <c r="D36" s="481">
        <v>15172</v>
      </c>
      <c r="E36" s="481"/>
      <c r="F36" s="481">
        <v>753</v>
      </c>
      <c r="G36" s="481"/>
      <c r="H36" s="481"/>
      <c r="I36" s="467"/>
      <c r="J36" s="467"/>
      <c r="K36" s="1693">
        <f t="shared" ref="K36:K41" si="2">SUM(C36:J36)</f>
        <v>286785</v>
      </c>
      <c r="L36" s="466">
        <v>285924</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246514</v>
      </c>
      <c r="D38" s="466">
        <v>59086</v>
      </c>
      <c r="E38" s="466">
        <v>1527</v>
      </c>
      <c r="F38" s="466">
        <v>3026</v>
      </c>
      <c r="G38" s="466">
        <v>802</v>
      </c>
      <c r="H38" s="466">
        <v>251</v>
      </c>
      <c r="I38" s="467"/>
      <c r="J38" s="467"/>
      <c r="K38" s="1693">
        <f t="shared" si="2"/>
        <v>311206</v>
      </c>
      <c r="L38" s="466">
        <v>319396</v>
      </c>
    </row>
    <row r="39" spans="1:14" x14ac:dyDescent="0.2">
      <c r="A39" s="1526" t="s">
        <v>208</v>
      </c>
      <c r="B39" s="615">
        <v>2140</v>
      </c>
      <c r="C39" s="466">
        <v>153812</v>
      </c>
      <c r="D39" s="466">
        <v>8110</v>
      </c>
      <c r="E39" s="466">
        <v>30</v>
      </c>
      <c r="F39" s="466">
        <v>585</v>
      </c>
      <c r="G39" s="466"/>
      <c r="H39" s="466"/>
      <c r="I39" s="467"/>
      <c r="J39" s="467"/>
      <c r="K39" s="1693">
        <f t="shared" si="2"/>
        <v>162537</v>
      </c>
      <c r="L39" s="466">
        <v>165036</v>
      </c>
    </row>
    <row r="40" spans="1:14" x14ac:dyDescent="0.2">
      <c r="A40" s="1526" t="s">
        <v>209</v>
      </c>
      <c r="B40" s="615">
        <v>2150</v>
      </c>
      <c r="C40" s="466">
        <v>247421</v>
      </c>
      <c r="D40" s="466">
        <v>24507</v>
      </c>
      <c r="E40" s="466"/>
      <c r="F40" s="466">
        <v>912</v>
      </c>
      <c r="G40" s="466"/>
      <c r="H40" s="466"/>
      <c r="I40" s="467"/>
      <c r="J40" s="467"/>
      <c r="K40" s="1693">
        <f t="shared" si="2"/>
        <v>272840</v>
      </c>
      <c r="L40" s="466">
        <v>260975</v>
      </c>
    </row>
    <row r="41" spans="1:14" x14ac:dyDescent="0.2">
      <c r="A41" s="1526" t="s">
        <v>1768</v>
      </c>
      <c r="B41" s="615">
        <v>2190</v>
      </c>
      <c r="C41" s="466">
        <v>46348</v>
      </c>
      <c r="D41" s="466">
        <v>97</v>
      </c>
      <c r="E41" s="466"/>
      <c r="F41" s="466"/>
      <c r="G41" s="466"/>
      <c r="H41" s="466"/>
      <c r="I41" s="467"/>
      <c r="J41" s="467"/>
      <c r="K41" s="1693">
        <f t="shared" si="2"/>
        <v>46445</v>
      </c>
      <c r="L41" s="466">
        <v>54692</v>
      </c>
    </row>
    <row r="42" spans="1:14" ht="12.75" customHeight="1" thickBot="1" x14ac:dyDescent="0.25">
      <c r="A42" s="1690" t="s">
        <v>581</v>
      </c>
      <c r="B42" s="1691" t="s">
        <v>740</v>
      </c>
      <c r="C42" s="1692">
        <f>SUM(C36:C41)</f>
        <v>964955</v>
      </c>
      <c r="D42" s="1692">
        <f t="shared" ref="D42:L42" si="3">SUM(D36:D41)</f>
        <v>106972</v>
      </c>
      <c r="E42" s="1692">
        <f t="shared" si="3"/>
        <v>1557</v>
      </c>
      <c r="F42" s="1692">
        <f t="shared" si="3"/>
        <v>5276</v>
      </c>
      <c r="G42" s="1692">
        <f t="shared" si="3"/>
        <v>802</v>
      </c>
      <c r="H42" s="1692">
        <f t="shared" si="3"/>
        <v>251</v>
      </c>
      <c r="I42" s="1692">
        <f t="shared" si="3"/>
        <v>0</v>
      </c>
      <c r="J42" s="1692">
        <f t="shared" si="3"/>
        <v>0</v>
      </c>
      <c r="K42" s="1692">
        <f t="shared" si="3"/>
        <v>1079813</v>
      </c>
      <c r="L42" s="1692">
        <f t="shared" si="3"/>
        <v>1086023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56312</v>
      </c>
      <c r="D44" s="481">
        <v>3271</v>
      </c>
      <c r="E44" s="481">
        <v>33463</v>
      </c>
      <c r="F44" s="481">
        <v>1299</v>
      </c>
      <c r="G44" s="481"/>
      <c r="H44" s="481"/>
      <c r="I44" s="467"/>
      <c r="J44" s="467"/>
      <c r="K44" s="1694">
        <f>SUM(C44:J44)</f>
        <v>94345</v>
      </c>
      <c r="L44" s="481">
        <v>140655</v>
      </c>
    </row>
    <row r="45" spans="1:14" x14ac:dyDescent="0.2">
      <c r="A45" s="1526" t="s">
        <v>869</v>
      </c>
      <c r="B45" s="615">
        <v>2220</v>
      </c>
      <c r="C45" s="466">
        <v>398113</v>
      </c>
      <c r="D45" s="466">
        <v>33075</v>
      </c>
      <c r="E45" s="466"/>
      <c r="F45" s="466">
        <v>31557</v>
      </c>
      <c r="G45" s="466"/>
      <c r="H45" s="466"/>
      <c r="I45" s="467"/>
      <c r="J45" s="467"/>
      <c r="K45" s="1694">
        <f>SUM(C45:J45)</f>
        <v>462745</v>
      </c>
      <c r="L45" s="466">
        <v>367206</v>
      </c>
    </row>
    <row r="46" spans="1:14" x14ac:dyDescent="0.2">
      <c r="A46" s="1526" t="s">
        <v>870</v>
      </c>
      <c r="B46" s="615">
        <v>2230</v>
      </c>
      <c r="C46" s="466"/>
      <c r="D46" s="466"/>
      <c r="E46" s="466"/>
      <c r="F46" s="466"/>
      <c r="G46" s="466"/>
      <c r="H46" s="466"/>
      <c r="I46" s="467"/>
      <c r="J46" s="467"/>
      <c r="K46" s="1694">
        <f>SUM(C46:J46)</f>
        <v>0</v>
      </c>
      <c r="L46" s="466">
        <v>241</v>
      </c>
    </row>
    <row r="47" spans="1:14" ht="12.75" customHeight="1" thickBot="1" x14ac:dyDescent="0.25">
      <c r="A47" s="1690" t="s">
        <v>582</v>
      </c>
      <c r="B47" s="1691" t="s">
        <v>32</v>
      </c>
      <c r="C47" s="1692">
        <f>SUM(C44:C46)</f>
        <v>454425</v>
      </c>
      <c r="D47" s="1692">
        <f t="shared" ref="D47:K47" si="4">SUM(D44:D46)</f>
        <v>36346</v>
      </c>
      <c r="E47" s="1692">
        <f t="shared" si="4"/>
        <v>33463</v>
      </c>
      <c r="F47" s="1692">
        <f t="shared" si="4"/>
        <v>32856</v>
      </c>
      <c r="G47" s="1692">
        <f t="shared" si="4"/>
        <v>0</v>
      </c>
      <c r="H47" s="1692">
        <f t="shared" si="4"/>
        <v>0</v>
      </c>
      <c r="I47" s="1692">
        <f t="shared" si="4"/>
        <v>0</v>
      </c>
      <c r="J47" s="1692">
        <f t="shared" si="4"/>
        <v>0</v>
      </c>
      <c r="K47" s="1692">
        <f t="shared" si="4"/>
        <v>557090</v>
      </c>
      <c r="L47" s="1692">
        <f>SUM(L44:L46)</f>
        <v>508102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229416</v>
      </c>
      <c r="F49" s="481">
        <v>3745</v>
      </c>
      <c r="G49" s="481"/>
      <c r="H49" s="481">
        <v>14776</v>
      </c>
      <c r="I49" s="467"/>
      <c r="J49" s="467"/>
      <c r="K49" s="1694">
        <f>SUM(C49:J49)</f>
        <v>247937</v>
      </c>
      <c r="L49" s="481">
        <v>323911</v>
      </c>
    </row>
    <row r="50" spans="1:14" x14ac:dyDescent="0.2">
      <c r="A50" s="1526" t="s">
        <v>872</v>
      </c>
      <c r="B50" s="615">
        <v>2320</v>
      </c>
      <c r="C50" s="466">
        <v>286760</v>
      </c>
      <c r="D50" s="466">
        <v>29497</v>
      </c>
      <c r="E50" s="466">
        <v>3819</v>
      </c>
      <c r="F50" s="466">
        <v>459</v>
      </c>
      <c r="G50" s="466"/>
      <c r="H50" s="466">
        <v>4898</v>
      </c>
      <c r="I50" s="467"/>
      <c r="J50" s="467"/>
      <c r="K50" s="1694">
        <f>SUM(C50:J50)</f>
        <v>325433</v>
      </c>
      <c r="L50" s="466">
        <v>273943</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286760</v>
      </c>
      <c r="D53" s="1692">
        <f t="shared" ref="D53:L53" si="5">SUM(D49:D52)</f>
        <v>29497</v>
      </c>
      <c r="E53" s="1692">
        <f t="shared" si="5"/>
        <v>233235</v>
      </c>
      <c r="F53" s="1692">
        <f t="shared" si="5"/>
        <v>4204</v>
      </c>
      <c r="G53" s="1692">
        <f t="shared" si="5"/>
        <v>0</v>
      </c>
      <c r="H53" s="1692">
        <f t="shared" si="5"/>
        <v>19674</v>
      </c>
      <c r="I53" s="1692">
        <f t="shared" si="5"/>
        <v>0</v>
      </c>
      <c r="J53" s="1692">
        <f t="shared" si="5"/>
        <v>0</v>
      </c>
      <c r="K53" s="1692">
        <f t="shared" si="5"/>
        <v>573370</v>
      </c>
      <c r="L53" s="1692">
        <f t="shared" si="5"/>
        <v>597854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822860</v>
      </c>
      <c r="D55" s="481">
        <v>184990</v>
      </c>
      <c r="E55" s="481">
        <v>5582</v>
      </c>
      <c r="F55" s="481">
        <v>5061</v>
      </c>
      <c r="G55" s="481"/>
      <c r="H55" s="481">
        <v>412</v>
      </c>
      <c r="I55" s="467"/>
      <c r="J55" s="467"/>
      <c r="K55" s="1694">
        <f>SUM(C55:J55)</f>
        <v>1018905</v>
      </c>
      <c r="L55" s="481">
        <v>1008018</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822860</v>
      </c>
      <c r="D57" s="1696">
        <f t="shared" ref="D57:K57" si="6">SUM(D55:D56)</f>
        <v>184990</v>
      </c>
      <c r="E57" s="1696">
        <f t="shared" si="6"/>
        <v>5582</v>
      </c>
      <c r="F57" s="1696">
        <f t="shared" si="6"/>
        <v>5061</v>
      </c>
      <c r="G57" s="1696">
        <f t="shared" si="6"/>
        <v>0</v>
      </c>
      <c r="H57" s="1696">
        <f t="shared" si="6"/>
        <v>412</v>
      </c>
      <c r="I57" s="1696">
        <f t="shared" si="6"/>
        <v>0</v>
      </c>
      <c r="J57" s="1696">
        <f t="shared" si="6"/>
        <v>0</v>
      </c>
      <c r="K57" s="1696">
        <f t="shared" si="6"/>
        <v>1018905</v>
      </c>
      <c r="L57" s="1692">
        <f>SUM(L55:L56)</f>
        <v>1008018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176895</v>
      </c>
      <c r="D59" s="481">
        <v>28116</v>
      </c>
      <c r="E59" s="481"/>
      <c r="F59" s="481"/>
      <c r="G59" s="481"/>
      <c r="H59" s="481"/>
      <c r="I59" s="467"/>
      <c r="J59" s="467"/>
      <c r="K59" s="1694">
        <f t="shared" ref="K59:K64" si="7">SUM(C59:J59)</f>
        <v>205011</v>
      </c>
      <c r="L59" s="481">
        <v>193909</v>
      </c>
      <c r="M59" s="610"/>
      <c r="N59" s="610"/>
    </row>
    <row r="60" spans="1:14" s="343" customFormat="1" x14ac:dyDescent="0.2">
      <c r="A60" s="1526" t="s">
        <v>483</v>
      </c>
      <c r="B60" s="615">
        <v>2520</v>
      </c>
      <c r="C60" s="466">
        <v>139052</v>
      </c>
      <c r="D60" s="466">
        <v>38646</v>
      </c>
      <c r="E60" s="466">
        <v>84295</v>
      </c>
      <c r="F60" s="466">
        <v>7738</v>
      </c>
      <c r="G60" s="466"/>
      <c r="H60" s="466">
        <v>32908</v>
      </c>
      <c r="I60" s="467"/>
      <c r="J60" s="467"/>
      <c r="K60" s="1694">
        <f t="shared" si="7"/>
        <v>302639</v>
      </c>
      <c r="L60" s="466">
        <v>371239</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226447</v>
      </c>
      <c r="D63" s="466">
        <v>50332</v>
      </c>
      <c r="E63" s="466">
        <v>29339</v>
      </c>
      <c r="F63" s="466">
        <v>250123</v>
      </c>
      <c r="G63" s="466"/>
      <c r="H63" s="466">
        <v>738</v>
      </c>
      <c r="I63" s="467">
        <v>385</v>
      </c>
      <c r="J63" s="467"/>
      <c r="K63" s="1694">
        <f t="shared" si="7"/>
        <v>557364</v>
      </c>
      <c r="L63" s="466">
        <v>453621</v>
      </c>
    </row>
    <row r="64" spans="1:14" s="610" customFormat="1" x14ac:dyDescent="0.2">
      <c r="A64" s="1531" t="s">
        <v>103</v>
      </c>
      <c r="B64" s="631">
        <v>2570</v>
      </c>
      <c r="C64" s="481"/>
      <c r="D64" s="481"/>
      <c r="E64" s="481">
        <v>197</v>
      </c>
      <c r="F64" s="481">
        <v>339</v>
      </c>
      <c r="G64" s="481"/>
      <c r="H64" s="481"/>
      <c r="I64" s="467"/>
      <c r="J64" s="467"/>
      <c r="K64" s="1694">
        <f t="shared" si="7"/>
        <v>536</v>
      </c>
      <c r="L64" s="481">
        <v>9680</v>
      </c>
    </row>
    <row r="65" spans="1:14" s="343" customFormat="1" ht="12.75" customHeight="1" thickBot="1" x14ac:dyDescent="0.25">
      <c r="A65" s="1690" t="s">
        <v>743</v>
      </c>
      <c r="B65" s="1691" t="s">
        <v>35</v>
      </c>
      <c r="C65" s="1692">
        <f>SUM(C59:C64)</f>
        <v>542394</v>
      </c>
      <c r="D65" s="1692">
        <f t="shared" ref="D65:L65" si="8">SUM(D59:D64)</f>
        <v>117094</v>
      </c>
      <c r="E65" s="1692">
        <f t="shared" si="8"/>
        <v>113831</v>
      </c>
      <c r="F65" s="1692">
        <f t="shared" si="8"/>
        <v>258200</v>
      </c>
      <c r="G65" s="1692">
        <f t="shared" si="8"/>
        <v>0</v>
      </c>
      <c r="H65" s="1692">
        <f t="shared" si="8"/>
        <v>33646</v>
      </c>
      <c r="I65" s="1692">
        <f t="shared" si="8"/>
        <v>385</v>
      </c>
      <c r="J65" s="1692">
        <f t="shared" si="8"/>
        <v>0</v>
      </c>
      <c r="K65" s="1692">
        <f t="shared" si="8"/>
        <v>1065550</v>
      </c>
      <c r="L65" s="1692">
        <f t="shared" si="8"/>
        <v>1028449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213503</v>
      </c>
      <c r="D67" s="466">
        <v>33044</v>
      </c>
      <c r="E67" s="466">
        <v>-7053</v>
      </c>
      <c r="F67" s="466">
        <v>-885</v>
      </c>
      <c r="G67" s="466"/>
      <c r="H67" s="466">
        <v>3085</v>
      </c>
      <c r="I67" s="467"/>
      <c r="J67" s="467"/>
      <c r="K67" s="1694">
        <f>SUM(C67:J67)</f>
        <v>241694</v>
      </c>
      <c r="L67" s="481">
        <v>256127</v>
      </c>
      <c r="M67" s="610"/>
      <c r="N67" s="610"/>
    </row>
    <row r="68" spans="1:14" s="343" customFormat="1" x14ac:dyDescent="0.2">
      <c r="A68" s="1526" t="s">
        <v>628</v>
      </c>
      <c r="B68" s="615">
        <v>2620</v>
      </c>
      <c r="C68" s="466"/>
      <c r="D68" s="466"/>
      <c r="E68" s="466"/>
      <c r="F68" s="466"/>
      <c r="G68" s="466"/>
      <c r="H68" s="466"/>
      <c r="I68" s="467"/>
      <c r="J68" s="467"/>
      <c r="K68" s="1694">
        <f>SUM(C68:J68)</f>
        <v>0</v>
      </c>
      <c r="L68" s="466">
        <v>22572</v>
      </c>
      <c r="M68" s="610"/>
      <c r="N68" s="610"/>
    </row>
    <row r="69" spans="1:14" s="343" customFormat="1" x14ac:dyDescent="0.2">
      <c r="A69" s="1526" t="s">
        <v>1121</v>
      </c>
      <c r="B69" s="615">
        <v>2630</v>
      </c>
      <c r="C69" s="466">
        <v>60900</v>
      </c>
      <c r="D69" s="466">
        <v>9048</v>
      </c>
      <c r="E69" s="466">
        <v>40550</v>
      </c>
      <c r="F69" s="466">
        <v>4614</v>
      </c>
      <c r="G69" s="466"/>
      <c r="H69" s="466">
        <v>254</v>
      </c>
      <c r="I69" s="467"/>
      <c r="J69" s="467"/>
      <c r="K69" s="1694">
        <f>SUM(C69:J69)</f>
        <v>115366</v>
      </c>
      <c r="L69" s="466">
        <v>143130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v>1600</v>
      </c>
      <c r="M71" s="610"/>
      <c r="N71" s="610"/>
    </row>
    <row r="72" spans="1:14" s="343" customFormat="1" ht="12.75" customHeight="1" thickBot="1" x14ac:dyDescent="0.25">
      <c r="A72" s="1690" t="s">
        <v>37</v>
      </c>
      <c r="B72" s="1697" t="s">
        <v>36</v>
      </c>
      <c r="C72" s="1692">
        <f>SUM(C67:C71)</f>
        <v>274403</v>
      </c>
      <c r="D72" s="1692">
        <f t="shared" ref="D72:K72" si="9">SUM(D67:D71)</f>
        <v>42092</v>
      </c>
      <c r="E72" s="1692">
        <f t="shared" si="9"/>
        <v>33497</v>
      </c>
      <c r="F72" s="1692">
        <f t="shared" si="9"/>
        <v>3729</v>
      </c>
      <c r="G72" s="1692">
        <f t="shared" si="9"/>
        <v>0</v>
      </c>
      <c r="H72" s="1692">
        <f t="shared" si="9"/>
        <v>3339</v>
      </c>
      <c r="I72" s="1692">
        <f t="shared" si="9"/>
        <v>0</v>
      </c>
      <c r="J72" s="1692">
        <f t="shared" si="9"/>
        <v>0</v>
      </c>
      <c r="K72" s="1692">
        <f t="shared" si="9"/>
        <v>357060</v>
      </c>
      <c r="L72" s="1692">
        <f>SUM(L67:L71)</f>
        <v>423429</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3345797</v>
      </c>
      <c r="D74" s="1699">
        <f t="shared" ref="D74:K74" si="10">SUM(D42,D47,D53,D57,D65,D72,D73)</f>
        <v>516991</v>
      </c>
      <c r="E74" s="1699">
        <f t="shared" si="10"/>
        <v>421165</v>
      </c>
      <c r="F74" s="1699">
        <f t="shared" si="10"/>
        <v>309326</v>
      </c>
      <c r="G74" s="1699">
        <f t="shared" si="10"/>
        <v>802</v>
      </c>
      <c r="H74" s="1699">
        <f t="shared" si="10"/>
        <v>57322</v>
      </c>
      <c r="I74" s="1699">
        <f t="shared" si="10"/>
        <v>385</v>
      </c>
      <c r="J74" s="1699">
        <f t="shared" si="10"/>
        <v>0</v>
      </c>
      <c r="K74" s="1699">
        <f t="shared" si="10"/>
        <v>4651788</v>
      </c>
      <c r="L74" s="1699">
        <f>SUM(L42,L47,L53,L57,L65,L72,L73)</f>
        <v>4651875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965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28712</v>
      </c>
      <c r="F79" s="617"/>
      <c r="G79" s="617"/>
      <c r="H79" s="466">
        <v>1868668</v>
      </c>
      <c r="I79" s="477"/>
      <c r="J79" s="477"/>
      <c r="K79" s="1693">
        <f t="shared" si="11"/>
        <v>1897380</v>
      </c>
      <c r="L79" s="466">
        <v>1387000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28712</v>
      </c>
      <c r="F84" s="617"/>
      <c r="G84" s="617"/>
      <c r="H84" s="1692">
        <f>SUM(H78:H83)</f>
        <v>1868668</v>
      </c>
      <c r="I84" s="477"/>
      <c r="J84" s="477"/>
      <c r="K84" s="1692">
        <f>SUM(K78:K83)</f>
        <v>1897380</v>
      </c>
      <c r="L84" s="1692">
        <f>SUM(L78:L83)</f>
        <v>1387000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28712</v>
      </c>
      <c r="F102" s="617"/>
      <c r="G102" s="617"/>
      <c r="H102" s="1699">
        <f>SUM(H84,H92,H100,H101)</f>
        <v>1868668</v>
      </c>
      <c r="I102" s="477"/>
      <c r="J102" s="477"/>
      <c r="K102" s="1699">
        <f>SUM(K84,K92,K100,K101)</f>
        <v>1897380</v>
      </c>
      <c r="L102" s="1699">
        <f>SUM(L84,L92,L100,L101)</f>
        <v>1387000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13035026</v>
      </c>
      <c r="D114" s="1692">
        <f t="shared" ref="D114:K114" si="13">SUM(D33,D74,D75,D102,D112,D113)</f>
        <v>2037203</v>
      </c>
      <c r="E114" s="1692">
        <f t="shared" si="13"/>
        <v>703190</v>
      </c>
      <c r="F114" s="1692">
        <f t="shared" si="13"/>
        <v>840188</v>
      </c>
      <c r="G114" s="1692">
        <f t="shared" si="13"/>
        <v>209906</v>
      </c>
      <c r="H114" s="1692">
        <f>SUM(H33,H74,H75,H102,H112,H113)</f>
        <v>1926480</v>
      </c>
      <c r="I114" s="1692">
        <f t="shared" si="13"/>
        <v>129151</v>
      </c>
      <c r="J114" s="1692">
        <f t="shared" si="13"/>
        <v>416131</v>
      </c>
      <c r="K114" s="1692">
        <f t="shared" si="13"/>
        <v>19297275</v>
      </c>
      <c r="L114" s="1692">
        <f>SUM(L33,L74,L75,L102,L112,L113)</f>
        <v>19347312</v>
      </c>
    </row>
    <row r="115" spans="1:14" ht="13.5" thickTop="1" x14ac:dyDescent="0.2">
      <c r="A115" s="2171" t="s">
        <v>1053</v>
      </c>
      <c r="B115" s="2172"/>
      <c r="C115" s="619"/>
      <c r="D115" s="619"/>
      <c r="E115" s="619"/>
      <c r="F115" s="619"/>
      <c r="G115" s="619"/>
      <c r="H115" s="619"/>
      <c r="I115" s="619"/>
      <c r="J115" s="619"/>
      <c r="K115" s="1706">
        <f>'Revenues 9-14'!C275-'Expenditures 15-22'!K114</f>
        <v>1221960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487493</v>
      </c>
      <c r="D124" s="466">
        <v>65568</v>
      </c>
      <c r="E124" s="466">
        <v>802497</v>
      </c>
      <c r="F124" s="466">
        <v>408291</v>
      </c>
      <c r="G124" s="466">
        <v>271631</v>
      </c>
      <c r="H124" s="466">
        <v>1340</v>
      </c>
      <c r="I124" s="467">
        <v>34864</v>
      </c>
      <c r="J124" s="467"/>
      <c r="K124" s="1692">
        <f>SUM(C124:J124)</f>
        <v>2071684</v>
      </c>
      <c r="L124" s="466">
        <v>2217290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487493</v>
      </c>
      <c r="D127" s="1692">
        <f t="shared" ref="D127:L127" si="14">SUM(D122:D126)</f>
        <v>65568</v>
      </c>
      <c r="E127" s="1692">
        <f t="shared" si="14"/>
        <v>802497</v>
      </c>
      <c r="F127" s="1692">
        <f t="shared" si="14"/>
        <v>408291</v>
      </c>
      <c r="G127" s="1692">
        <f t="shared" si="14"/>
        <v>271631</v>
      </c>
      <c r="H127" s="1692">
        <f t="shared" si="14"/>
        <v>1340</v>
      </c>
      <c r="I127" s="1692">
        <f t="shared" si="14"/>
        <v>34864</v>
      </c>
      <c r="J127" s="1692">
        <f t="shared" si="14"/>
        <v>0</v>
      </c>
      <c r="K127" s="1692">
        <f t="shared" si="14"/>
        <v>2071684</v>
      </c>
      <c r="L127" s="1692">
        <f t="shared" si="14"/>
        <v>2217290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487493</v>
      </c>
      <c r="D129" s="1699">
        <f t="shared" ref="D129:L129" si="15">SUM(D120,D127,D128)</f>
        <v>65568</v>
      </c>
      <c r="E129" s="1699">
        <f t="shared" si="15"/>
        <v>802497</v>
      </c>
      <c r="F129" s="1699">
        <f t="shared" si="15"/>
        <v>408291</v>
      </c>
      <c r="G129" s="1699">
        <f t="shared" si="15"/>
        <v>271631</v>
      </c>
      <c r="H129" s="1699">
        <f t="shared" si="15"/>
        <v>1340</v>
      </c>
      <c r="I129" s="1699">
        <f t="shared" si="15"/>
        <v>34864</v>
      </c>
      <c r="J129" s="1699">
        <f t="shared" si="15"/>
        <v>0</v>
      </c>
      <c r="K129" s="1699">
        <f t="shared" si="15"/>
        <v>2071684</v>
      </c>
      <c r="L129" s="1699">
        <f t="shared" si="15"/>
        <v>2217290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68"/>
      <c r="C151" s="1692">
        <f>SUM(C129,C130,C139,C149,C150)</f>
        <v>487493</v>
      </c>
      <c r="D151" s="1692">
        <f t="shared" ref="D151:K151" si="16">SUM(D129,D130,D139,D149,D150)</f>
        <v>65568</v>
      </c>
      <c r="E151" s="1692">
        <f t="shared" si="16"/>
        <v>802497</v>
      </c>
      <c r="F151" s="1692">
        <f t="shared" si="16"/>
        <v>408291</v>
      </c>
      <c r="G151" s="1692">
        <f t="shared" si="16"/>
        <v>271631</v>
      </c>
      <c r="H151" s="1692">
        <f t="shared" si="16"/>
        <v>1340</v>
      </c>
      <c r="I151" s="1692">
        <f t="shared" si="16"/>
        <v>34864</v>
      </c>
      <c r="J151" s="1692">
        <f t="shared" si="16"/>
        <v>0</v>
      </c>
      <c r="K151" s="1692">
        <f t="shared" si="16"/>
        <v>2071684</v>
      </c>
      <c r="L151" s="1692">
        <f>SUM(L129,L130,L139,L149,L150)</f>
        <v>2217290</v>
      </c>
    </row>
    <row r="152" spans="1:14" ht="12.75" customHeight="1" thickTop="1" x14ac:dyDescent="0.2">
      <c r="A152" s="2191" t="s">
        <v>1240</v>
      </c>
      <c r="B152" s="2192"/>
      <c r="C152" s="619"/>
      <c r="D152" s="619"/>
      <c r="E152" s="619"/>
      <c r="F152" s="619"/>
      <c r="G152" s="619"/>
      <c r="H152" s="619"/>
      <c r="I152" s="619"/>
      <c r="J152" s="617"/>
      <c r="K152" s="1706">
        <f>'Revenues 9-14'!D275-'Expenditures 15-22'!K151</f>
        <v>-16544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363663</v>
      </c>
      <c r="I169" s="617"/>
      <c r="J169" s="617"/>
      <c r="K169" s="1693">
        <f>SUM(C169:H169)</f>
        <v>363663</v>
      </c>
      <c r="L169" s="657">
        <v>329300</v>
      </c>
    </row>
    <row r="170" spans="1:14" ht="33.75" customHeight="1" x14ac:dyDescent="0.2">
      <c r="A170" s="670" t="s">
        <v>1769</v>
      </c>
      <c r="B170" s="672" t="s">
        <v>31</v>
      </c>
      <c r="C170" s="617"/>
      <c r="D170" s="617"/>
      <c r="E170" s="617"/>
      <c r="F170" s="617"/>
      <c r="G170" s="617"/>
      <c r="H170" s="569">
        <v>685000</v>
      </c>
      <c r="I170" s="617"/>
      <c r="J170" s="617"/>
      <c r="K170" s="1693">
        <f>SUM(C170:J170)</f>
        <v>685000</v>
      </c>
      <c r="L170" s="569">
        <v>720000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1048663</v>
      </c>
      <c r="I172" s="639"/>
      <c r="J172" s="617"/>
      <c r="K172" s="1699">
        <f>SUM(K168,K169,K170,K171)</f>
        <v>1048663</v>
      </c>
      <c r="L172" s="1699">
        <f>SUM(L168,L169,L170,L171)</f>
        <v>1049300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1048663</v>
      </c>
      <c r="I174" s="639"/>
      <c r="J174" s="617"/>
      <c r="K174" s="1699">
        <f>SUM(K160,K172,K173)</f>
        <v>1048663</v>
      </c>
      <c r="L174" s="1699">
        <f>SUM(L160,L172,L173)</f>
        <v>1049300</v>
      </c>
    </row>
    <row r="175" spans="1:14" ht="13.5" thickTop="1" x14ac:dyDescent="0.2">
      <c r="A175" s="2171" t="s">
        <v>1053</v>
      </c>
      <c r="B175" s="2172"/>
      <c r="C175" s="617"/>
      <c r="D175" s="617"/>
      <c r="E175" s="617"/>
      <c r="F175" s="617"/>
      <c r="G175" s="617"/>
      <c r="H175" s="619"/>
      <c r="I175" s="617"/>
      <c r="J175" s="617"/>
      <c r="K175" s="1706">
        <f>'Revenues 9-14'!E275-'Expenditures 15-22'!K174</f>
        <v>59616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1144879</v>
      </c>
      <c r="F182" s="466"/>
      <c r="G182" s="466"/>
      <c r="H182" s="466"/>
      <c r="I182" s="467"/>
      <c r="J182" s="467"/>
      <c r="K182" s="1693">
        <f>SUM(C182:J182)</f>
        <v>1144879</v>
      </c>
      <c r="L182" s="466">
        <v>1343300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1144879</v>
      </c>
      <c r="F184" s="1699">
        <f t="shared" si="17"/>
        <v>0</v>
      </c>
      <c r="G184" s="1699">
        <f t="shared" si="17"/>
        <v>0</v>
      </c>
      <c r="H184" s="1699">
        <f t="shared" si="17"/>
        <v>0</v>
      </c>
      <c r="I184" s="1699">
        <f t="shared" si="17"/>
        <v>0</v>
      </c>
      <c r="J184" s="1699">
        <f t="shared" si="17"/>
        <v>0</v>
      </c>
      <c r="K184" s="1699">
        <f>SUM(K180,K182,K183)</f>
        <v>1144879</v>
      </c>
      <c r="L184" s="1699">
        <f>SUM(L180, L182:L183)</f>
        <v>1343300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1144879</v>
      </c>
      <c r="F210" s="1692">
        <f>SUM(F184,F185)</f>
        <v>0</v>
      </c>
      <c r="G210" s="1692">
        <f>SUM(G184,G185)</f>
        <v>0</v>
      </c>
      <c r="H210" s="1692">
        <f>SUM(H184,H185,H196,H208,H209)</f>
        <v>0</v>
      </c>
      <c r="I210" s="1692">
        <f>SUM(I184,I185)</f>
        <v>0</v>
      </c>
      <c r="J210" s="1692">
        <f>SUM(J184,J185)</f>
        <v>0</v>
      </c>
      <c r="K210" s="1693">
        <f>SUM(K184,K185,K196,K208,K209)</f>
        <v>1144879</v>
      </c>
      <c r="L210" s="1692">
        <f>SUM(L184,L185,L196,L208,L209)</f>
        <v>1343300</v>
      </c>
    </row>
    <row r="211" spans="1:14" ht="13.5" thickTop="1" x14ac:dyDescent="0.2">
      <c r="A211" s="2171" t="s">
        <v>1053</v>
      </c>
      <c r="B211" s="2172"/>
      <c r="C211" s="619"/>
      <c r="D211" s="619"/>
      <c r="E211" s="619"/>
      <c r="F211" s="619"/>
      <c r="G211" s="619"/>
      <c r="H211" s="619"/>
      <c r="I211" s="617"/>
      <c r="J211" s="617"/>
      <c r="K211" s="1706">
        <f>'Revenues 9-14'!F275-'Expenditures 15-22'!K210</f>
        <v>-114222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165859</v>
      </c>
      <c r="E215" s="617"/>
      <c r="F215" s="617"/>
      <c r="G215" s="617"/>
      <c r="H215" s="617"/>
      <c r="I215" s="617"/>
      <c r="J215" s="617"/>
      <c r="K215" s="1693">
        <f>D215</f>
        <v>165859</v>
      </c>
      <c r="L215" s="466">
        <v>153000</v>
      </c>
    </row>
    <row r="216" spans="1:14" x14ac:dyDescent="0.2">
      <c r="A216" s="1526" t="s">
        <v>165</v>
      </c>
      <c r="B216" s="615" t="s">
        <v>1024</v>
      </c>
      <c r="C216" s="617"/>
      <c r="D216" s="467">
        <v>780</v>
      </c>
      <c r="E216" s="617"/>
      <c r="F216" s="617"/>
      <c r="G216" s="617"/>
      <c r="H216" s="617"/>
      <c r="I216" s="617"/>
      <c r="J216" s="617"/>
      <c r="K216" s="1693">
        <f t="shared" ref="K216:K228" si="19">D216</f>
        <v>780</v>
      </c>
      <c r="L216" s="466">
        <v>7500</v>
      </c>
    </row>
    <row r="217" spans="1:14" x14ac:dyDescent="0.2">
      <c r="A217" s="1526" t="s">
        <v>166</v>
      </c>
      <c r="B217" s="615">
        <v>1200</v>
      </c>
      <c r="C217" s="617"/>
      <c r="D217" s="466">
        <v>53273</v>
      </c>
      <c r="E217" s="617"/>
      <c r="F217" s="617"/>
      <c r="G217" s="617"/>
      <c r="H217" s="617"/>
      <c r="I217" s="617"/>
      <c r="J217" s="617"/>
      <c r="K217" s="1693">
        <f t="shared" si="19"/>
        <v>53273</v>
      </c>
      <c r="L217" s="466">
        <v>65000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20069</v>
      </c>
      <c r="E219" s="617"/>
      <c r="F219" s="617"/>
      <c r="G219" s="617"/>
      <c r="H219" s="617"/>
      <c r="I219" s="617"/>
      <c r="J219" s="617"/>
      <c r="K219" s="1693">
        <f t="shared" si="19"/>
        <v>20069</v>
      </c>
      <c r="L219" s="466">
        <v>13500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3667</v>
      </c>
      <c r="E223" s="617"/>
      <c r="F223" s="617"/>
      <c r="G223" s="617"/>
      <c r="H223" s="617"/>
      <c r="I223" s="617"/>
      <c r="J223" s="617"/>
      <c r="K223" s="1693">
        <f t="shared" si="19"/>
        <v>3667</v>
      </c>
      <c r="L223" s="466">
        <v>6000</v>
      </c>
    </row>
    <row r="224" spans="1:14" x14ac:dyDescent="0.2">
      <c r="A224" s="1526" t="s">
        <v>1021</v>
      </c>
      <c r="B224" s="615">
        <v>1600</v>
      </c>
      <c r="C224" s="617"/>
      <c r="D224" s="466">
        <v>1238</v>
      </c>
      <c r="E224" s="617"/>
      <c r="F224" s="617"/>
      <c r="G224" s="617"/>
      <c r="H224" s="617"/>
      <c r="I224" s="617"/>
      <c r="J224" s="617"/>
      <c r="K224" s="1693">
        <f t="shared" si="19"/>
        <v>1238</v>
      </c>
      <c r="L224" s="466">
        <v>3000</v>
      </c>
    </row>
    <row r="225" spans="1:12" x14ac:dyDescent="0.2">
      <c r="A225" s="1526" t="s">
        <v>1044</v>
      </c>
      <c r="B225" s="615">
        <v>1650</v>
      </c>
      <c r="C225" s="617"/>
      <c r="D225" s="466">
        <v>5194</v>
      </c>
      <c r="E225" s="617"/>
      <c r="F225" s="617"/>
      <c r="G225" s="617"/>
      <c r="H225" s="617"/>
      <c r="I225" s="617"/>
      <c r="J225" s="617"/>
      <c r="K225" s="1693">
        <f t="shared" si="19"/>
        <v>5194</v>
      </c>
      <c r="L225" s="466">
        <v>5000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7937</v>
      </c>
      <c r="E227" s="617"/>
      <c r="F227" s="617"/>
      <c r="G227" s="617"/>
      <c r="H227" s="617"/>
      <c r="I227" s="617"/>
      <c r="J227" s="617"/>
      <c r="K227" s="1693">
        <f t="shared" si="19"/>
        <v>7937</v>
      </c>
      <c r="L227" s="466">
        <v>12000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258017</v>
      </c>
      <c r="E229" s="617"/>
      <c r="F229" s="617"/>
      <c r="G229" s="617"/>
      <c r="H229" s="617"/>
      <c r="I229" s="617"/>
      <c r="J229" s="617"/>
      <c r="K229" s="1692">
        <f>SUM(K215:K228)</f>
        <v>258017</v>
      </c>
      <c r="L229" s="1692">
        <f>SUM(L215:L228)</f>
        <v>265000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3829</v>
      </c>
      <c r="E232" s="617"/>
      <c r="F232" s="617"/>
      <c r="G232" s="617"/>
      <c r="H232" s="617"/>
      <c r="I232" s="617"/>
      <c r="J232" s="617"/>
      <c r="K232" s="1693">
        <f t="shared" ref="K232:K237" si="20">D232</f>
        <v>3829</v>
      </c>
      <c r="L232" s="466">
        <v>4000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47013</v>
      </c>
      <c r="E234" s="617"/>
      <c r="F234" s="617"/>
      <c r="G234" s="617"/>
      <c r="H234" s="617"/>
      <c r="I234" s="617"/>
      <c r="J234" s="617"/>
      <c r="K234" s="1693">
        <f t="shared" si="20"/>
        <v>47013</v>
      </c>
      <c r="L234" s="466">
        <v>24000</v>
      </c>
    </row>
    <row r="235" spans="1:12" x14ac:dyDescent="0.2">
      <c r="A235" s="1526" t="s">
        <v>208</v>
      </c>
      <c r="B235" s="615">
        <v>2140</v>
      </c>
      <c r="C235" s="617"/>
      <c r="D235" s="466">
        <v>2197</v>
      </c>
      <c r="E235" s="617"/>
      <c r="F235" s="617"/>
      <c r="G235" s="617"/>
      <c r="H235" s="617"/>
      <c r="I235" s="617"/>
      <c r="J235" s="617"/>
      <c r="K235" s="1693">
        <f t="shared" si="20"/>
        <v>2197</v>
      </c>
      <c r="L235" s="466">
        <v>2000</v>
      </c>
    </row>
    <row r="236" spans="1:12" x14ac:dyDescent="0.2">
      <c r="A236" s="1526" t="s">
        <v>209</v>
      </c>
      <c r="B236" s="615">
        <v>2150</v>
      </c>
      <c r="C236" s="617"/>
      <c r="D236" s="466">
        <v>3390</v>
      </c>
      <c r="E236" s="617"/>
      <c r="F236" s="617"/>
      <c r="G236" s="617"/>
      <c r="H236" s="617"/>
      <c r="I236" s="617"/>
      <c r="J236" s="617"/>
      <c r="K236" s="1693">
        <f t="shared" si="20"/>
        <v>3390</v>
      </c>
      <c r="L236" s="466">
        <v>4000</v>
      </c>
    </row>
    <row r="237" spans="1:12" x14ac:dyDescent="0.2">
      <c r="A237" s="1526" t="s">
        <v>167</v>
      </c>
      <c r="B237" s="615">
        <v>2190</v>
      </c>
      <c r="C237" s="617"/>
      <c r="D237" s="466">
        <v>3130</v>
      </c>
      <c r="E237" s="617"/>
      <c r="F237" s="617"/>
      <c r="G237" s="617"/>
      <c r="H237" s="617"/>
      <c r="I237" s="617"/>
      <c r="J237" s="617"/>
      <c r="K237" s="1693">
        <f t="shared" si="20"/>
        <v>3130</v>
      </c>
      <c r="L237" s="466">
        <v>4000</v>
      </c>
    </row>
    <row r="238" spans="1:12" ht="12.75" customHeight="1" thickBot="1" x14ac:dyDescent="0.25">
      <c r="A238" s="1690" t="s">
        <v>581</v>
      </c>
      <c r="B238" s="1697" t="s">
        <v>740</v>
      </c>
      <c r="C238" s="617"/>
      <c r="D238" s="1692">
        <f>SUM(D232:D237)</f>
        <v>59559</v>
      </c>
      <c r="E238" s="617"/>
      <c r="F238" s="617"/>
      <c r="G238" s="617"/>
      <c r="H238" s="617"/>
      <c r="I238" s="617"/>
      <c r="J238" s="617"/>
      <c r="K238" s="1692">
        <f>SUM(K232:K237)</f>
        <v>59559</v>
      </c>
      <c r="L238" s="1692">
        <f>SUM(L232:L237)</f>
        <v>38000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776</v>
      </c>
      <c r="E240" s="617"/>
      <c r="F240" s="617"/>
      <c r="G240" s="617"/>
      <c r="H240" s="617"/>
      <c r="I240" s="617"/>
      <c r="J240" s="617"/>
      <c r="K240" s="1694">
        <f>D240</f>
        <v>776</v>
      </c>
      <c r="L240" s="481">
        <v>1000</v>
      </c>
    </row>
    <row r="241" spans="1:12" x14ac:dyDescent="0.2">
      <c r="A241" s="1526" t="s">
        <v>869</v>
      </c>
      <c r="B241" s="615">
        <v>2220</v>
      </c>
      <c r="C241" s="617"/>
      <c r="D241" s="466">
        <v>5612</v>
      </c>
      <c r="E241" s="617"/>
      <c r="F241" s="617"/>
      <c r="G241" s="617"/>
      <c r="H241" s="617"/>
      <c r="I241" s="617"/>
      <c r="J241" s="617"/>
      <c r="K241" s="1694">
        <f>D241</f>
        <v>5612</v>
      </c>
      <c r="L241" s="466">
        <v>2000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6388</v>
      </c>
      <c r="E243" s="617"/>
      <c r="F243" s="617"/>
      <c r="G243" s="617"/>
      <c r="H243" s="617"/>
      <c r="I243" s="617"/>
      <c r="J243" s="617"/>
      <c r="K243" s="1692">
        <f>SUM(K240:K242)</f>
        <v>6388</v>
      </c>
      <c r="L243" s="1692">
        <f>SUM(L240:L242)</f>
        <v>3000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4157</v>
      </c>
      <c r="E246" s="617"/>
      <c r="F246" s="617"/>
      <c r="G246" s="617"/>
      <c r="H246" s="617"/>
      <c r="I246" s="617"/>
      <c r="J246" s="617"/>
      <c r="K246" s="1694">
        <f t="shared" ref="K246:K256" si="21">D246</f>
        <v>4157</v>
      </c>
      <c r="L246" s="466">
        <v>16771</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4157</v>
      </c>
      <c r="E257" s="617"/>
      <c r="F257" s="617"/>
      <c r="G257" s="617"/>
      <c r="H257" s="617"/>
      <c r="I257" s="617"/>
      <c r="J257" s="617"/>
      <c r="K257" s="1692">
        <f>SUM(K245:K256)</f>
        <v>4157</v>
      </c>
      <c r="L257" s="1692">
        <f>SUM(L245:L256)</f>
        <v>16771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41395</v>
      </c>
      <c r="E259" s="617"/>
      <c r="F259" s="617"/>
      <c r="G259" s="617"/>
      <c r="H259" s="617"/>
      <c r="I259" s="617"/>
      <c r="J259" s="617"/>
      <c r="K259" s="1694">
        <f>D259</f>
        <v>41395</v>
      </c>
      <c r="L259" s="481">
        <v>36000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41395</v>
      </c>
      <c r="E261" s="617"/>
      <c r="F261" s="617"/>
      <c r="G261" s="617"/>
      <c r="H261" s="617"/>
      <c r="I261" s="617"/>
      <c r="J261" s="617"/>
      <c r="K261" s="1692">
        <f>SUM(K259:K260)</f>
        <v>41395</v>
      </c>
      <c r="L261" s="1692">
        <f>SUM(L259:L260)</f>
        <v>36000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2547</v>
      </c>
      <c r="E263" s="617"/>
      <c r="F263" s="617"/>
      <c r="G263" s="617"/>
      <c r="H263" s="617"/>
      <c r="I263" s="617"/>
      <c r="J263" s="617"/>
      <c r="K263" s="1694">
        <f>D263</f>
        <v>2547</v>
      </c>
      <c r="L263" s="481">
        <v>3000</v>
      </c>
    </row>
    <row r="264" spans="1:14" x14ac:dyDescent="0.2">
      <c r="A264" s="1526" t="s">
        <v>483</v>
      </c>
      <c r="B264" s="686">
        <v>2520</v>
      </c>
      <c r="C264" s="617"/>
      <c r="D264" s="466">
        <v>25983</v>
      </c>
      <c r="E264" s="617"/>
      <c r="F264" s="617"/>
      <c r="G264" s="617"/>
      <c r="H264" s="617"/>
      <c r="I264" s="617"/>
      <c r="J264" s="617"/>
      <c r="K264" s="1694">
        <f t="shared" ref="K264:K269" si="22">D264</f>
        <v>25983</v>
      </c>
      <c r="L264" s="466">
        <v>41000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93331</v>
      </c>
      <c r="E266" s="617"/>
      <c r="F266" s="617"/>
      <c r="G266" s="617"/>
      <c r="H266" s="617"/>
      <c r="I266" s="617"/>
      <c r="J266" s="617"/>
      <c r="K266" s="1694">
        <f t="shared" si="22"/>
        <v>93331</v>
      </c>
      <c r="L266" s="466">
        <v>77000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40470</v>
      </c>
      <c r="E268" s="617"/>
      <c r="F268" s="617"/>
      <c r="G268" s="617"/>
      <c r="H268" s="617"/>
      <c r="I268" s="617"/>
      <c r="J268" s="617"/>
      <c r="K268" s="1694">
        <f t="shared" si="22"/>
        <v>40470</v>
      </c>
      <c r="L268" s="466">
        <v>28500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162331</v>
      </c>
      <c r="E270" s="617"/>
      <c r="F270" s="617"/>
      <c r="G270" s="617"/>
      <c r="H270" s="617"/>
      <c r="I270" s="617"/>
      <c r="J270" s="617"/>
      <c r="K270" s="1692">
        <f>SUM(K263:K269)</f>
        <v>162331</v>
      </c>
      <c r="L270" s="1692">
        <f>SUM(L263:L269)</f>
        <v>149500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10835</v>
      </c>
      <c r="E272" s="617"/>
      <c r="F272" s="617"/>
      <c r="G272" s="617"/>
      <c r="H272" s="617"/>
      <c r="I272" s="617"/>
      <c r="J272" s="617"/>
      <c r="K272" s="1694">
        <f>D272</f>
        <v>10835</v>
      </c>
      <c r="L272" s="481">
        <v>11000</v>
      </c>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11813</v>
      </c>
      <c r="E274" s="617"/>
      <c r="F274" s="617"/>
      <c r="G274" s="617"/>
      <c r="H274" s="617"/>
      <c r="I274" s="617"/>
      <c r="J274" s="617"/>
      <c r="K274" s="1694">
        <f>D274</f>
        <v>11813</v>
      </c>
      <c r="L274" s="466">
        <v>10000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22648</v>
      </c>
      <c r="E277" s="617"/>
      <c r="F277" s="617"/>
      <c r="G277" s="617"/>
      <c r="H277" s="617"/>
      <c r="I277" s="617"/>
      <c r="J277" s="617"/>
      <c r="K277" s="1692">
        <f>SUM(K272:K276)</f>
        <v>22648</v>
      </c>
      <c r="L277" s="1692">
        <f>SUM(L272:L276)</f>
        <v>21000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296478</v>
      </c>
      <c r="E279" s="617"/>
      <c r="F279" s="617"/>
      <c r="G279" s="617"/>
      <c r="H279" s="617"/>
      <c r="I279" s="617"/>
      <c r="J279" s="617"/>
      <c r="K279" s="1699">
        <f>SUM(K238,K243,K257,K261,K270,K277,K278)</f>
        <v>296478</v>
      </c>
      <c r="L279" s="1699">
        <f>SUM(L238,L243,L257,L261,L270,L277,L278)</f>
        <v>264271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554495</v>
      </c>
      <c r="E295" s="617"/>
      <c r="F295" s="617"/>
      <c r="G295" s="617"/>
      <c r="H295" s="1692">
        <f>H293</f>
        <v>0</v>
      </c>
      <c r="I295" s="617"/>
      <c r="J295" s="617"/>
      <c r="K295" s="1692">
        <f>SUM(K229,K279,K280,K285,K293,K294)</f>
        <v>554495</v>
      </c>
      <c r="L295" s="1692">
        <f>SUM(L229,L279,L280,L285,L293,L294)</f>
        <v>529271</v>
      </c>
    </row>
    <row r="296" spans="1:14" ht="13.5" thickTop="1" x14ac:dyDescent="0.2">
      <c r="A296" s="2171" t="s">
        <v>1053</v>
      </c>
      <c r="B296" s="2172"/>
      <c r="C296" s="617"/>
      <c r="D296" s="619"/>
      <c r="E296" s="617"/>
      <c r="F296" s="617"/>
      <c r="G296" s="617"/>
      <c r="H296" s="688"/>
      <c r="I296" s="617"/>
      <c r="J296" s="617"/>
      <c r="K296" s="1706">
        <f>'Revenues 9-14'!G275-'Expenditures 15-22'!K295</f>
        <v>-169136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605428</v>
      </c>
      <c r="F301" s="466"/>
      <c r="G301" s="466">
        <v>6484737</v>
      </c>
      <c r="H301" s="466"/>
      <c r="I301" s="467"/>
      <c r="J301" s="467"/>
      <c r="K301" s="1693">
        <f>SUM(C301:J301)</f>
        <v>7090165</v>
      </c>
      <c r="L301" s="467">
        <v>6545668</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605428</v>
      </c>
      <c r="F303" s="1699">
        <f t="shared" si="23"/>
        <v>0</v>
      </c>
      <c r="G303" s="1699">
        <f t="shared" si="23"/>
        <v>6484737</v>
      </c>
      <c r="H303" s="1699">
        <f t="shared" si="23"/>
        <v>0</v>
      </c>
      <c r="I303" s="1699">
        <f t="shared" si="23"/>
        <v>0</v>
      </c>
      <c r="J303" s="1699">
        <f t="shared" si="23"/>
        <v>0</v>
      </c>
      <c r="K303" s="1699">
        <f t="shared" si="23"/>
        <v>7090165</v>
      </c>
      <c r="L303" s="1699">
        <f t="shared" si="23"/>
        <v>6545668</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605428</v>
      </c>
      <c r="F312" s="1692">
        <f>SUM(F303)</f>
        <v>0</v>
      </c>
      <c r="G312" s="1692">
        <f>SUM(G303)</f>
        <v>6484737</v>
      </c>
      <c r="H312" s="1692">
        <f>SUM(H303,H310)</f>
        <v>0</v>
      </c>
      <c r="I312" s="1692">
        <f>SUM(I303)</f>
        <v>0</v>
      </c>
      <c r="J312" s="1692">
        <f>SUM(J303)</f>
        <v>0</v>
      </c>
      <c r="K312" s="1692">
        <f>SUM(K303,K310,K311)</f>
        <v>7090165</v>
      </c>
      <c r="L312" s="1692">
        <f>SUM(L303,L310,L311)</f>
        <v>6545668</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-7041228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150513</v>
      </c>
      <c r="F322" s="467"/>
      <c r="G322" s="467"/>
      <c r="H322" s="467"/>
      <c r="I322" s="467"/>
      <c r="J322" s="467"/>
      <c r="K322" s="1693">
        <f t="shared" si="24"/>
        <v>150513</v>
      </c>
      <c r="L322" s="467">
        <v>150500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v>5162</v>
      </c>
      <c r="H325" s="467"/>
      <c r="I325" s="467"/>
      <c r="J325" s="467"/>
      <c r="K325" s="1693">
        <f t="shared" si="24"/>
        <v>5162</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v>56860</v>
      </c>
      <c r="F328" s="474"/>
      <c r="G328" s="474"/>
      <c r="H328" s="474"/>
      <c r="I328" s="474"/>
      <c r="J328" s="474"/>
      <c r="K328" s="1721">
        <f>SUM(C328:J328)</f>
        <v>56860</v>
      </c>
      <c r="L328" s="474">
        <v>55410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207373</v>
      </c>
      <c r="F330" s="1692">
        <f t="shared" si="25"/>
        <v>0</v>
      </c>
      <c r="G330" s="1692">
        <f t="shared" si="25"/>
        <v>5162</v>
      </c>
      <c r="H330" s="1692">
        <f t="shared" si="25"/>
        <v>0</v>
      </c>
      <c r="I330" s="1692">
        <f t="shared" si="25"/>
        <v>0</v>
      </c>
      <c r="J330" s="1692">
        <f t="shared" si="25"/>
        <v>0</v>
      </c>
      <c r="K330" s="1692">
        <f>SUM(K319:K329)</f>
        <v>212535</v>
      </c>
      <c r="L330" s="1692">
        <f>SUM(L319:L329)</f>
        <v>205910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207373</v>
      </c>
      <c r="F342" s="1692">
        <f>SUM(F330)</f>
        <v>0</v>
      </c>
      <c r="G342" s="1692">
        <f>SUM(G330)</f>
        <v>5162</v>
      </c>
      <c r="H342" s="1692">
        <f>SUM(H330,H334,H340)</f>
        <v>0</v>
      </c>
      <c r="I342" s="1692">
        <f>SUM(I330)</f>
        <v>0</v>
      </c>
      <c r="J342" s="1692">
        <f>SUM(J330)</f>
        <v>0</v>
      </c>
      <c r="K342" s="1692">
        <f>SUM(K330,K334,K340)</f>
        <v>212535</v>
      </c>
      <c r="L342" s="1699">
        <f>SUM(L330,L340,L341)</f>
        <v>205910</v>
      </c>
    </row>
    <row r="343" spans="1:14" ht="12.75" customHeight="1" thickTop="1" x14ac:dyDescent="0.2">
      <c r="A343" s="2184" t="s">
        <v>1053</v>
      </c>
      <c r="B343" s="2185"/>
      <c r="C343" s="617"/>
      <c r="D343" s="617"/>
      <c r="E343" s="617"/>
      <c r="F343" s="617"/>
      <c r="G343" s="617"/>
      <c r="H343" s="617"/>
      <c r="I343" s="617"/>
      <c r="J343" s="617"/>
      <c r="K343" s="1706">
        <f>'Revenues 9-14'!J275-'Expenditures 15-22'!K342</f>
        <v>-189783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648136</v>
      </c>
      <c r="H348" s="466"/>
      <c r="I348" s="467"/>
      <c r="J348" s="467"/>
      <c r="K348" s="1693">
        <f>SUM(C348:J348)</f>
        <v>648136</v>
      </c>
      <c r="L348" s="466">
        <v>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648136</v>
      </c>
      <c r="H350" s="1692">
        <f t="shared" si="26"/>
        <v>0</v>
      </c>
      <c r="I350" s="1692">
        <f t="shared" si="26"/>
        <v>0</v>
      </c>
      <c r="J350" s="1692">
        <f t="shared" si="26"/>
        <v>0</v>
      </c>
      <c r="K350" s="1692">
        <f t="shared" si="26"/>
        <v>648136</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648136</v>
      </c>
      <c r="H352" s="1692">
        <f t="shared" si="27"/>
        <v>0</v>
      </c>
      <c r="I352" s="1692">
        <f t="shared" si="27"/>
        <v>0</v>
      </c>
      <c r="J352" s="1692">
        <f t="shared" si="27"/>
        <v>0</v>
      </c>
      <c r="K352" s="1692">
        <f t="shared" si="27"/>
        <v>648136</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648136</v>
      </c>
      <c r="H367" s="1692">
        <f t="shared" si="28"/>
        <v>0</v>
      </c>
      <c r="I367" s="1692">
        <f t="shared" si="28"/>
        <v>0</v>
      </c>
      <c r="J367" s="1692">
        <f t="shared" si="28"/>
        <v>0</v>
      </c>
      <c r="K367" s="1692">
        <f t="shared" si="28"/>
        <v>648136</v>
      </c>
      <c r="L367" s="1692">
        <f t="shared" si="28"/>
        <v>0</v>
      </c>
    </row>
    <row r="368" spans="1:14" ht="13.5" thickTop="1" x14ac:dyDescent="0.2">
      <c r="A368" s="2171" t="s">
        <v>1053</v>
      </c>
      <c r="B368" s="2172"/>
      <c r="C368" s="655"/>
      <c r="D368" s="655"/>
      <c r="E368" s="627"/>
      <c r="F368" s="627"/>
      <c r="G368" s="627"/>
      <c r="H368" s="627"/>
      <c r="I368" s="627"/>
      <c r="J368" s="624"/>
      <c r="K368" s="1693">
        <f>'Revenues 9-14'!K275-'Expenditures 15-22'!K367</f>
        <v>-352438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http://purl.org/dc/dcmitype/"/>
    <ds:schemaRef ds:uri="4d435f69-8686-490b-bd6d-b153bf22ab50"/>
    <ds:schemaRef ds:uri="http://purl.org/dc/terms/"/>
    <ds:schemaRef ds:uri="http://schemas.microsoft.com/office/infopath/2007/PartnerControls"/>
    <ds:schemaRef ds:uri="http://schemas.microsoft.com/sharepoint/v3"/>
    <ds:schemaRef ds:uri="http://purl.org/dc/elements/1.1/"/>
    <ds:schemaRef ds:uri="http://schemas.openxmlformats.org/package/2006/metadata/core-properties"/>
    <ds:schemaRef ds:uri="http://schemas.microsoft.com/office/2006/documentManagement/types"/>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2018-12-17T19:05:07Z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